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5" windowWidth="21840" windowHeight="6345" tabRatio="936"/>
  </bookViews>
  <sheets>
    <sheet name="4 Factor Composite FY15FINAL" sheetId="90" r:id="rId1"/>
    <sheet name="3 Factor Composite FY15FINAL" sheetId="74" r:id="rId2"/>
    <sheet name="Composite FY13FINAL-old" sheetId="44" state="hidden" r:id="rId3"/>
    <sheet name="Composite FY13 w Impairment" sheetId="43" state="hidden" r:id="rId4"/>
    <sheet name="Composite FY13" sheetId="18" state="hidden" r:id="rId5"/>
    <sheet name="Mid States FY14" sheetId="12" r:id="rId6"/>
    <sheet name="CO KS FY14" sheetId="13" r:id="rId7"/>
    <sheet name="COdiv 2013" sheetId="19" r:id="rId8"/>
    <sheet name="West Texas FY15" sheetId="14" r:id="rId9"/>
    <sheet name="Div 002 Rates" sheetId="4" r:id="rId10"/>
    <sheet name="Div 012 Rates" sheetId="9" r:id="rId11"/>
    <sheet name="Sum customer count" sheetId="75" r:id="rId12"/>
    <sheet name="Summary customer count 2013-old" sheetId="33" state="hidden" r:id="rId13"/>
    <sheet name="Summary LA" sheetId="83" r:id="rId14"/>
    <sheet name="Summary WTX" sheetId="84" r:id="rId15"/>
    <sheet name="Summary Kentucky-Midstates" sheetId="85" r:id="rId16"/>
    <sheet name="Summary CO-KS" sheetId="86" r:id="rId17"/>
    <sheet name="Summary MS" sheetId="87" r:id="rId18"/>
    <sheet name="Summary Mid Tex" sheetId="88" r:id="rId19"/>
    <sheet name="Summary AtmosPipeline" sheetId="89" r:id="rId20"/>
    <sheet name="COKS" sheetId="66" state="hidden" r:id="rId21"/>
    <sheet name="KY, MdSt" sheetId="65" state="hidden" r:id="rId22"/>
    <sheet name="Liberty" sheetId="69" state="hidden" r:id="rId23"/>
    <sheet name="Liberty (2)" sheetId="73" state="hidden" r:id="rId24"/>
  </sheets>
  <externalReferences>
    <externalReference r:id="rId25"/>
  </externalReferences>
  <definedNames>
    <definedName name="ALL" localSheetId="1">#REF!</definedName>
    <definedName name="ALL" localSheetId="0">#REF!</definedName>
    <definedName name="ALL" localSheetId="3">#REF!</definedName>
    <definedName name="ALL" localSheetId="2">#REF!</definedName>
    <definedName name="ALL" localSheetId="23">#REF!</definedName>
    <definedName name="ALL" localSheetId="11">#REF!</definedName>
    <definedName name="ALL">#REF!</definedName>
    <definedName name="csAllowDetailBudgeting">1</definedName>
    <definedName name="csAllowLocalConsolidation">1</definedName>
    <definedName name="csAppName">"BudgetWeb"</definedName>
    <definedName name="csDE_CorporateItems_Dim01">"="</definedName>
    <definedName name="csDE_CorporateItems_Dim02">"="</definedName>
    <definedName name="csDE_CorporateItems_Dim03">"="</definedName>
    <definedName name="csDE_CorporateItems_Dim06">"="</definedName>
    <definedName name="csDE_CorporateItems_Dim07">"="</definedName>
    <definedName name="csDE_CorporateItems_Dim08">"="</definedName>
    <definedName name="csDE_CorporateItems_Dim09">"="</definedName>
    <definedName name="csDE_CorporateItems_Dim10">"="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input" localSheetId="1">#REF!</definedName>
    <definedName name="input" localSheetId="0">#REF!</definedName>
    <definedName name="input" localSheetId="3">#REF!</definedName>
    <definedName name="input" localSheetId="2">#REF!</definedName>
    <definedName name="input" localSheetId="23">#REF!</definedName>
    <definedName name="input" localSheetId="11">#REF!</definedName>
    <definedName name="input">#REF!</definedName>
    <definedName name="METER" localSheetId="1">#REF!</definedName>
    <definedName name="METER" localSheetId="0">#REF!</definedName>
    <definedName name="METER" localSheetId="3">#REF!</definedName>
    <definedName name="METER" localSheetId="2">#REF!</definedName>
    <definedName name="METER" localSheetId="23">#REF!</definedName>
    <definedName name="METER" localSheetId="11">#REF!</definedName>
    <definedName name="METER">#REF!</definedName>
    <definedName name="PLANT" localSheetId="1">#REF!</definedName>
    <definedName name="PLANT" localSheetId="0">#REF!</definedName>
    <definedName name="PLANT" localSheetId="3">#REF!</definedName>
    <definedName name="PLANT" localSheetId="2">#REF!</definedName>
    <definedName name="PLANT" localSheetId="23">#REF!</definedName>
    <definedName name="PLANT" localSheetId="11">#REF!</definedName>
    <definedName name="PLANT">#REF!</definedName>
    <definedName name="_xlnm.Print_Area" localSheetId="1">'3 Factor Composite FY15FINAL'!$A$1:$AG$219</definedName>
    <definedName name="_xlnm.Print_Area" localSheetId="0">'4 Factor Composite FY15FINAL'!$A$1:$AG$263</definedName>
    <definedName name="_xlnm.Print_Area" localSheetId="20">COKS!$A$1:$P$41</definedName>
    <definedName name="_xlnm.Print_Area" localSheetId="2">'Composite FY13FINAL-old'!$A$1:$AG$166</definedName>
    <definedName name="_xlnm.Print_Area" localSheetId="21">'KY, MdSt'!$A$1:$N$41</definedName>
    <definedName name="_xlnm.Print_Area" localSheetId="22">Liberty!$A$1:$J$41</definedName>
    <definedName name="_xlnm.Print_Area" localSheetId="23">'Liberty (2)'!$A$1:$J$41</definedName>
    <definedName name="Print_Area_MI">'[1]Short Summary'!$A$7:$E$64</definedName>
    <definedName name="_xlnm.Print_Titles" localSheetId="1">'3 Factor Composite FY15FINAL'!$3:$6</definedName>
    <definedName name="_xlnm.Print_Titles" localSheetId="0">'4 Factor Composite FY15FINAL'!$3:$6</definedName>
    <definedName name="_xlnm.Print_Titles" localSheetId="4">'Composite FY13'!$3:$6</definedName>
    <definedName name="_xlnm.Print_Titles" localSheetId="3">'Composite FY13 w Impairment'!$3:$6</definedName>
    <definedName name="_xlnm.Print_Titles" localSheetId="2">'Composite FY13FINAL-old'!$3:$6</definedName>
    <definedName name="report" localSheetId="1">#REF!</definedName>
    <definedName name="report" localSheetId="0">#REF!</definedName>
    <definedName name="report" localSheetId="3">#REF!</definedName>
    <definedName name="report" localSheetId="2">#REF!</definedName>
    <definedName name="report" localSheetId="23">#REF!</definedName>
    <definedName name="report" localSheetId="11">#REF!</definedName>
    <definedName name="report">#REF!</definedName>
  </definedNames>
  <calcPr calcId="145621"/>
</workbook>
</file>

<file path=xl/calcChain.xml><?xml version="1.0" encoding="utf-8"?>
<calcChain xmlns="http://schemas.openxmlformats.org/spreadsheetml/2006/main">
  <c r="H12" i="12" l="1"/>
  <c r="H11" i="12"/>
  <c r="F12" i="12"/>
  <c r="F11" i="12"/>
  <c r="D12" i="12"/>
  <c r="D11" i="12"/>
  <c r="D10" i="12"/>
  <c r="F10" i="12"/>
  <c r="H10" i="12"/>
  <c r="J10" i="12" l="1"/>
  <c r="C11" i="12" l="1"/>
  <c r="S244" i="90" l="1"/>
  <c r="Q244" i="90"/>
  <c r="O244" i="90"/>
  <c r="M244" i="90"/>
  <c r="K244" i="90"/>
  <c r="AE244" i="90"/>
  <c r="AE242" i="90"/>
  <c r="M242" i="90"/>
  <c r="O242" i="90"/>
  <c r="Q242" i="90"/>
  <c r="S242" i="90"/>
  <c r="K242" i="90"/>
  <c r="AE236" i="90"/>
  <c r="AE235" i="90"/>
  <c r="AE233" i="90"/>
  <c r="K236" i="90"/>
  <c r="M236" i="90"/>
  <c r="O236" i="90"/>
  <c r="Q236" i="90"/>
  <c r="S236" i="90"/>
  <c r="T236" i="90"/>
  <c r="I236" i="90"/>
  <c r="K235" i="90"/>
  <c r="M235" i="90"/>
  <c r="O235" i="90"/>
  <c r="Q235" i="90"/>
  <c r="S235" i="90"/>
  <c r="K233" i="90"/>
  <c r="M233" i="90"/>
  <c r="O233" i="90"/>
  <c r="Q233" i="90"/>
  <c r="S233" i="90"/>
  <c r="I235" i="90"/>
  <c r="I233" i="90"/>
  <c r="AE216" i="74"/>
  <c r="M216" i="74"/>
  <c r="O216" i="74"/>
  <c r="Q216" i="74"/>
  <c r="S216" i="74"/>
  <c r="K216" i="74"/>
  <c r="AE215" i="74"/>
  <c r="M215" i="74"/>
  <c r="O215" i="74"/>
  <c r="Q215" i="74"/>
  <c r="S215" i="74"/>
  <c r="K215" i="74"/>
  <c r="AE214" i="74"/>
  <c r="M214" i="74"/>
  <c r="O214" i="74"/>
  <c r="Q214" i="74"/>
  <c r="S214" i="74"/>
  <c r="K214" i="74"/>
  <c r="AE211" i="74"/>
  <c r="K211" i="74"/>
  <c r="M211" i="74"/>
  <c r="O211" i="74"/>
  <c r="Q211" i="74"/>
  <c r="S211" i="74"/>
  <c r="I211" i="74"/>
  <c r="AE210" i="74"/>
  <c r="K210" i="74"/>
  <c r="M210" i="74"/>
  <c r="O210" i="74"/>
  <c r="Q210" i="74"/>
  <c r="S210" i="74"/>
  <c r="I210" i="74"/>
  <c r="AE209" i="74"/>
  <c r="K209" i="74"/>
  <c r="M209" i="74"/>
  <c r="O209" i="74"/>
  <c r="Q209" i="74"/>
  <c r="S209" i="74"/>
  <c r="I209" i="74"/>
  <c r="C218" i="74"/>
  <c r="I242" i="90" l="1"/>
  <c r="G242" i="90" s="1"/>
  <c r="Q241" i="90"/>
  <c r="AE241" i="90"/>
  <c r="O241" i="90"/>
  <c r="S239" i="90"/>
  <c r="K239" i="90"/>
  <c r="S241" i="90"/>
  <c r="AE239" i="90"/>
  <c r="G236" i="90"/>
  <c r="G235" i="90"/>
  <c r="K241" i="90" s="1"/>
  <c r="G233" i="90"/>
  <c r="G211" i="74"/>
  <c r="I216" i="74" s="1"/>
  <c r="G216" i="74" s="1"/>
  <c r="M218" i="74"/>
  <c r="Q218" i="74"/>
  <c r="S218" i="74"/>
  <c r="G209" i="74"/>
  <c r="K218" i="74"/>
  <c r="O218" i="74"/>
  <c r="G210" i="74"/>
  <c r="O239" i="90" l="1"/>
  <c r="Q239" i="90"/>
  <c r="M241" i="90"/>
  <c r="M239" i="90"/>
  <c r="AE218" i="74"/>
  <c r="I218" i="74" s="1"/>
  <c r="G218" i="74" s="1"/>
  <c r="I214" i="74"/>
  <c r="G214" i="74" s="1"/>
  <c r="I215" i="74"/>
  <c r="G215" i="74" s="1"/>
  <c r="AE220" i="90"/>
  <c r="W220" i="90"/>
  <c r="AE203" i="90"/>
  <c r="K203" i="90"/>
  <c r="M203" i="90"/>
  <c r="O203" i="90"/>
  <c r="Q203" i="90"/>
  <c r="S203" i="90"/>
  <c r="I203" i="90"/>
  <c r="G203" i="90" s="1"/>
  <c r="S184" i="90"/>
  <c r="O184" i="90"/>
  <c r="M184" i="90"/>
  <c r="K184" i="90"/>
  <c r="AE166" i="90"/>
  <c r="K166" i="90"/>
  <c r="M166" i="90"/>
  <c r="O166" i="90"/>
  <c r="Q166" i="90"/>
  <c r="S166" i="90"/>
  <c r="U166" i="90"/>
  <c r="I166" i="90"/>
  <c r="U148" i="90"/>
  <c r="U154" i="90" s="1"/>
  <c r="I148" i="90"/>
  <c r="I154" i="90" s="1"/>
  <c r="G148" i="90"/>
  <c r="W130" i="90"/>
  <c r="U130" i="90"/>
  <c r="I130" i="90"/>
  <c r="K113" i="90"/>
  <c r="M113" i="90"/>
  <c r="O113" i="90"/>
  <c r="Q113" i="90"/>
  <c r="S113" i="90"/>
  <c r="I113" i="90"/>
  <c r="O97" i="90"/>
  <c r="M97" i="90"/>
  <c r="S81" i="90"/>
  <c r="K81" i="90"/>
  <c r="I81" i="90"/>
  <c r="AE65" i="90"/>
  <c r="K65" i="90"/>
  <c r="M65" i="90"/>
  <c r="O65" i="90"/>
  <c r="Q65" i="90"/>
  <c r="S65" i="90"/>
  <c r="U65" i="90"/>
  <c r="W65" i="90"/>
  <c r="I65" i="90"/>
  <c r="K49" i="90"/>
  <c r="M49" i="90"/>
  <c r="O49" i="90"/>
  <c r="Q49" i="90"/>
  <c r="S49" i="90"/>
  <c r="U49" i="90"/>
  <c r="W49" i="90"/>
  <c r="I49" i="90"/>
  <c r="V38" i="74"/>
  <c r="W38" i="74"/>
  <c r="O209" i="90" l="1"/>
  <c r="Q209" i="90"/>
  <c r="S209" i="90"/>
  <c r="K209" i="90"/>
  <c r="I209" i="90" s="1"/>
  <c r="G209" i="90" s="1"/>
  <c r="AE209" i="90"/>
  <c r="S87" i="90"/>
  <c r="O55" i="90"/>
  <c r="M55" i="90"/>
  <c r="M209" i="90"/>
  <c r="S71" i="90"/>
  <c r="Q55" i="90"/>
  <c r="Q71" i="90"/>
  <c r="G154" i="90"/>
  <c r="G81" i="90"/>
  <c r="G97" i="90"/>
  <c r="O103" i="90" s="1"/>
  <c r="G130" i="90"/>
  <c r="V136" i="90" s="1"/>
  <c r="G49" i="90"/>
  <c r="S55" i="90" s="1"/>
  <c r="K87" i="90"/>
  <c r="G113" i="90"/>
  <c r="O119" i="90" s="1"/>
  <c r="G166" i="90"/>
  <c r="Q172" i="90" s="1"/>
  <c r="K119" i="90"/>
  <c r="G220" i="90"/>
  <c r="G184" i="90"/>
  <c r="O190" i="90" s="1"/>
  <c r="I87" i="90"/>
  <c r="G87" i="90" s="1"/>
  <c r="G65" i="90"/>
  <c r="M27" i="90"/>
  <c r="O27" i="90"/>
  <c r="Q27" i="90"/>
  <c r="S27" i="90"/>
  <c r="U27" i="90"/>
  <c r="K27" i="90"/>
  <c r="I27" i="90"/>
  <c r="K172" i="90" l="1"/>
  <c r="S172" i="90"/>
  <c r="M119" i="90"/>
  <c r="M172" i="90"/>
  <c r="AE226" i="90"/>
  <c r="G226" i="90" s="1"/>
  <c r="W226" i="90"/>
  <c r="O172" i="90"/>
  <c r="Q119" i="90"/>
  <c r="S119" i="90"/>
  <c r="M103" i="90"/>
  <c r="G103" i="90" s="1"/>
  <c r="I172" i="90"/>
  <c r="U55" i="90"/>
  <c r="W55" i="90"/>
  <c r="AE172" i="90"/>
  <c r="U172" i="90"/>
  <c r="S190" i="90"/>
  <c r="M71" i="90"/>
  <c r="U71" i="90"/>
  <c r="O71" i="90"/>
  <c r="W71" i="90"/>
  <c r="K55" i="90"/>
  <c r="AE71" i="90"/>
  <c r="W136" i="90"/>
  <c r="I136" i="90" s="1"/>
  <c r="G136" i="90" s="1"/>
  <c r="U136" i="90"/>
  <c r="M190" i="90"/>
  <c r="K71" i="90"/>
  <c r="G27" i="90"/>
  <c r="O33" i="90" s="1"/>
  <c r="AG253" i="90"/>
  <c r="M252" i="90"/>
  <c r="T252" i="90"/>
  <c r="V252" i="90"/>
  <c r="Z252" i="90"/>
  <c r="AB252" i="90"/>
  <c r="AD252" i="90"/>
  <c r="AF252" i="90"/>
  <c r="AH252" i="90"/>
  <c r="AI252" i="90"/>
  <c r="AJ252" i="90"/>
  <c r="AL252" i="90"/>
  <c r="AN252" i="90"/>
  <c r="AP252" i="90"/>
  <c r="AQ252" i="90"/>
  <c r="AR252" i="90"/>
  <c r="AS252" i="90"/>
  <c r="AT252" i="90"/>
  <c r="AU252" i="90"/>
  <c r="AV252" i="90"/>
  <c r="AX252" i="90"/>
  <c r="AZ252" i="90"/>
  <c r="BA252" i="90"/>
  <c r="BC252" i="90"/>
  <c r="BE252" i="90"/>
  <c r="BF252" i="90"/>
  <c r="T251" i="90"/>
  <c r="V251" i="90"/>
  <c r="Y251" i="90"/>
  <c r="Z251" i="90"/>
  <c r="AA251" i="90"/>
  <c r="AB251" i="90"/>
  <c r="AC251" i="90"/>
  <c r="AD251" i="90"/>
  <c r="AF251" i="90"/>
  <c r="AH251" i="90"/>
  <c r="AI251" i="90"/>
  <c r="AJ251" i="90"/>
  <c r="AK251" i="90"/>
  <c r="AL251" i="90"/>
  <c r="AM251" i="90"/>
  <c r="AN251" i="90"/>
  <c r="AO251" i="90"/>
  <c r="AP251" i="90"/>
  <c r="AQ251" i="90"/>
  <c r="AR251" i="90"/>
  <c r="AS251" i="90"/>
  <c r="AT251" i="90"/>
  <c r="AU251" i="90"/>
  <c r="AV251" i="90"/>
  <c r="AW251" i="90"/>
  <c r="AX251" i="90"/>
  <c r="AY251" i="90"/>
  <c r="AZ251" i="90"/>
  <c r="BA251" i="90"/>
  <c r="BB251" i="90"/>
  <c r="BC251" i="90"/>
  <c r="BD251" i="90"/>
  <c r="BE251" i="90"/>
  <c r="BF251" i="90"/>
  <c r="O250" i="90"/>
  <c r="T250" i="90"/>
  <c r="V250" i="90"/>
  <c r="Z250" i="90"/>
  <c r="AB250" i="90"/>
  <c r="AD250" i="90"/>
  <c r="AF250" i="90"/>
  <c r="AH250" i="90"/>
  <c r="AI250" i="90"/>
  <c r="AJ250" i="90"/>
  <c r="AL250" i="90"/>
  <c r="AN250" i="90"/>
  <c r="AP250" i="90"/>
  <c r="AQ250" i="90"/>
  <c r="AR250" i="90"/>
  <c r="AS250" i="90"/>
  <c r="AT250" i="90"/>
  <c r="AU250" i="90"/>
  <c r="AV250" i="90"/>
  <c r="AX250" i="90"/>
  <c r="AY250" i="90"/>
  <c r="AZ250" i="90"/>
  <c r="BA250" i="90"/>
  <c r="BC250" i="90"/>
  <c r="BD250" i="90"/>
  <c r="BE250" i="90"/>
  <c r="BF250" i="90"/>
  <c r="G253" i="90" l="1"/>
  <c r="AG260" i="90" s="1"/>
  <c r="Q33" i="90"/>
  <c r="I119" i="90"/>
  <c r="G119" i="90" s="1"/>
  <c r="K33" i="90"/>
  <c r="M33" i="90"/>
  <c r="I71" i="90"/>
  <c r="G71" i="90" s="1"/>
  <c r="U33" i="90"/>
  <c r="S33" i="90"/>
  <c r="K190" i="90"/>
  <c r="G190" i="90" s="1"/>
  <c r="I55" i="90"/>
  <c r="G55" i="90" s="1"/>
  <c r="G172" i="90"/>
  <c r="I239" i="90"/>
  <c r="G239" i="90" s="1"/>
  <c r="I33" i="90" l="1"/>
  <c r="G33" i="90" s="1"/>
  <c r="S260" i="90"/>
  <c r="W260" i="90"/>
  <c r="AE260" i="90"/>
  <c r="AM260" i="90"/>
  <c r="AR260" i="90"/>
  <c r="AX260" i="90"/>
  <c r="BD260" i="90"/>
  <c r="Q260" i="90"/>
  <c r="T260" i="90"/>
  <c r="AO260" i="90"/>
  <c r="AS260" i="90"/>
  <c r="AY260" i="90"/>
  <c r="BF260" i="90"/>
  <c r="M260" i="90"/>
  <c r="AI260" i="90"/>
  <c r="BB260" i="90"/>
  <c r="K260" i="90"/>
  <c r="Y260" i="90"/>
  <c r="AA260" i="90"/>
  <c r="AU260" i="90"/>
  <c r="O260" i="90"/>
  <c r="V260" i="90"/>
  <c r="AC260" i="90"/>
  <c r="AK260" i="90"/>
  <c r="AQ260" i="90"/>
  <c r="AW260" i="90"/>
  <c r="BC260" i="90"/>
  <c r="U260" i="90"/>
  <c r="AP260" i="90"/>
  <c r="I260" i="90" l="1"/>
  <c r="G260" i="90" s="1"/>
  <c r="C228" i="90" l="1"/>
  <c r="C204" i="74"/>
  <c r="AE202" i="74"/>
  <c r="AE201" i="74"/>
  <c r="AE200" i="74"/>
  <c r="W202" i="74"/>
  <c r="W201" i="74"/>
  <c r="W200" i="74"/>
  <c r="W197" i="74" l="1"/>
  <c r="W196" i="74"/>
  <c r="W195" i="74"/>
  <c r="AE197" i="74"/>
  <c r="AE196" i="74"/>
  <c r="AE195" i="74"/>
  <c r="S202" i="74"/>
  <c r="Q202" i="74"/>
  <c r="K202" i="74"/>
  <c r="U201" i="74"/>
  <c r="O201" i="74"/>
  <c r="M201" i="74"/>
  <c r="S200" i="74"/>
  <c r="Q200" i="74"/>
  <c r="K200" i="74"/>
  <c r="U202" i="74"/>
  <c r="O202" i="74"/>
  <c r="M202" i="74"/>
  <c r="S201" i="74"/>
  <c r="Q201" i="74"/>
  <c r="K201" i="74"/>
  <c r="G196" i="74"/>
  <c r="U195" i="74"/>
  <c r="U200" i="74" s="1"/>
  <c r="S195" i="74"/>
  <c r="Q195" i="74"/>
  <c r="O195" i="74"/>
  <c r="O200" i="74" s="1"/>
  <c r="M195" i="74"/>
  <c r="M200" i="74" s="1"/>
  <c r="K195" i="74"/>
  <c r="I195" i="74"/>
  <c r="C190" i="74"/>
  <c r="C211" i="90"/>
  <c r="S204" i="74" l="1"/>
  <c r="Q204" i="74"/>
  <c r="I202" i="74"/>
  <c r="G202" i="74" s="1"/>
  <c r="U204" i="74"/>
  <c r="I201" i="74"/>
  <c r="G201" i="74" s="1"/>
  <c r="K204" i="74"/>
  <c r="AE204" i="74"/>
  <c r="M204" i="74"/>
  <c r="I200" i="74"/>
  <c r="G200" i="74" s="1"/>
  <c r="O204" i="74"/>
  <c r="W204" i="74"/>
  <c r="G195" i="74"/>
  <c r="G197" i="74"/>
  <c r="U12" i="74"/>
  <c r="U12" i="90"/>
  <c r="U252" i="90" s="1"/>
  <c r="I204" i="74" l="1"/>
  <c r="G204" i="74" s="1"/>
  <c r="AF202" i="90"/>
  <c r="AD202" i="90"/>
  <c r="M202" i="90"/>
  <c r="AF201" i="90"/>
  <c r="AD201" i="90"/>
  <c r="AF200" i="90"/>
  <c r="AD200" i="90"/>
  <c r="O200" i="90"/>
  <c r="C192" i="90"/>
  <c r="M183" i="90"/>
  <c r="O181" i="90"/>
  <c r="C174" i="90"/>
  <c r="M165" i="90"/>
  <c r="O163" i="90"/>
  <c r="C156" i="90"/>
  <c r="C138" i="90"/>
  <c r="C121" i="90"/>
  <c r="M112" i="90"/>
  <c r="O110" i="90"/>
  <c r="C105" i="90"/>
  <c r="M96" i="90"/>
  <c r="O94" i="90"/>
  <c r="C89" i="90"/>
  <c r="C73" i="90"/>
  <c r="M64" i="90"/>
  <c r="O62" i="90"/>
  <c r="C57" i="90"/>
  <c r="C244" i="90" s="1"/>
  <c r="M48" i="90"/>
  <c r="O46" i="90"/>
  <c r="C35" i="90"/>
  <c r="M26" i="90"/>
  <c r="O24" i="90"/>
  <c r="BD12" i="90"/>
  <c r="BD252" i="90" s="1"/>
  <c r="BB12" i="90"/>
  <c r="BB252" i="90" s="1"/>
  <c r="AY12" i="90"/>
  <c r="AY252" i="90" s="1"/>
  <c r="AW12" i="90"/>
  <c r="AW252" i="90" s="1"/>
  <c r="AO12" i="90"/>
  <c r="AO252" i="90" s="1"/>
  <c r="AM12" i="90"/>
  <c r="AM252" i="90" s="1"/>
  <c r="AK12" i="90"/>
  <c r="AK252" i="90" s="1"/>
  <c r="AE12" i="90"/>
  <c r="AC12" i="90"/>
  <c r="AC252" i="90" s="1"/>
  <c r="AA12" i="90"/>
  <c r="AA252" i="90" s="1"/>
  <c r="Y12" i="90"/>
  <c r="Y252" i="90" s="1"/>
  <c r="W12" i="90"/>
  <c r="S12" i="90"/>
  <c r="S252" i="90" s="1"/>
  <c r="Q12" i="90"/>
  <c r="O12" i="90"/>
  <c r="K12" i="90"/>
  <c r="I12" i="90"/>
  <c r="I252" i="90" s="1"/>
  <c r="AG11" i="90"/>
  <c r="AG251" i="90" s="1"/>
  <c r="AE11" i="90"/>
  <c r="AE234" i="90" s="1"/>
  <c r="W11" i="90"/>
  <c r="U11" i="90"/>
  <c r="S11" i="90"/>
  <c r="S234" i="90" s="1"/>
  <c r="Q11" i="90"/>
  <c r="Q234" i="90" s="1"/>
  <c r="O11" i="90"/>
  <c r="O234" i="90" s="1"/>
  <c r="M11" i="90"/>
  <c r="M234" i="90" s="1"/>
  <c r="K11" i="90"/>
  <c r="K234" i="90" s="1"/>
  <c r="I11" i="90"/>
  <c r="I234" i="90" s="1"/>
  <c r="BB10" i="90"/>
  <c r="BB250" i="90" s="1"/>
  <c r="AW10" i="90"/>
  <c r="AW250" i="90" s="1"/>
  <c r="AO10" i="90"/>
  <c r="AO250" i="90" s="1"/>
  <c r="AM10" i="90"/>
  <c r="AM250" i="90" s="1"/>
  <c r="AK10" i="90"/>
  <c r="AK250" i="90" s="1"/>
  <c r="AE10" i="90"/>
  <c r="AC10" i="90"/>
  <c r="AC250" i="90" s="1"/>
  <c r="AA10" i="90"/>
  <c r="AA250" i="90" s="1"/>
  <c r="Y10" i="90"/>
  <c r="Y250" i="90" s="1"/>
  <c r="W10" i="90"/>
  <c r="U10" i="90"/>
  <c r="U250" i="90" s="1"/>
  <c r="S10" i="90"/>
  <c r="S250" i="90" s="1"/>
  <c r="Q10" i="90"/>
  <c r="M10" i="90"/>
  <c r="K10" i="90"/>
  <c r="K250" i="90" s="1"/>
  <c r="I10" i="90"/>
  <c r="K48" i="90" l="1"/>
  <c r="K252" i="90"/>
  <c r="W129" i="90"/>
  <c r="W252" i="90"/>
  <c r="W219" i="90"/>
  <c r="AE202" i="90"/>
  <c r="AE252" i="90"/>
  <c r="AE219" i="90"/>
  <c r="M46" i="90"/>
  <c r="M250" i="90"/>
  <c r="AE250" i="90"/>
  <c r="AE217" i="90"/>
  <c r="I24" i="90"/>
  <c r="I250" i="90"/>
  <c r="O112" i="90"/>
  <c r="O252" i="90"/>
  <c r="W46" i="90"/>
  <c r="W250" i="90"/>
  <c r="W217" i="90"/>
  <c r="Q24" i="90"/>
  <c r="Q250" i="90"/>
  <c r="Q26" i="90"/>
  <c r="Q252" i="90"/>
  <c r="M62" i="90"/>
  <c r="O63" i="90"/>
  <c r="O251" i="90"/>
  <c r="W251" i="90"/>
  <c r="W218" i="90"/>
  <c r="G218" i="90" s="1"/>
  <c r="W224" i="90" s="1"/>
  <c r="I25" i="90"/>
  <c r="I251" i="90"/>
  <c r="Q47" i="90"/>
  <c r="Q251" i="90"/>
  <c r="AE63" i="90"/>
  <c r="AE251" i="90"/>
  <c r="AE218" i="90"/>
  <c r="K47" i="90"/>
  <c r="K251" i="90"/>
  <c r="S111" i="90"/>
  <c r="S251" i="90"/>
  <c r="M111" i="90"/>
  <c r="M251" i="90"/>
  <c r="U164" i="90"/>
  <c r="U251" i="90"/>
  <c r="S79" i="90"/>
  <c r="I47" i="90"/>
  <c r="S47" i="90"/>
  <c r="G11" i="90"/>
  <c r="BB16" i="90" s="1"/>
  <c r="W127" i="90"/>
  <c r="M25" i="90"/>
  <c r="W62" i="90"/>
  <c r="O64" i="90"/>
  <c r="S202" i="90"/>
  <c r="S183" i="90"/>
  <c r="S112" i="90"/>
  <c r="S26" i="90"/>
  <c r="S165" i="90"/>
  <c r="S80" i="90"/>
  <c r="S64" i="90"/>
  <c r="S48" i="90"/>
  <c r="AG10" i="90"/>
  <c r="AG250" i="90" s="1"/>
  <c r="O201" i="90"/>
  <c r="O111" i="90"/>
  <c r="O95" i="90"/>
  <c r="O164" i="90"/>
  <c r="O182" i="90"/>
  <c r="O47" i="90"/>
  <c r="O25" i="90"/>
  <c r="W128" i="90"/>
  <c r="W47" i="90"/>
  <c r="W63" i="90"/>
  <c r="K200" i="90"/>
  <c r="K163" i="90"/>
  <c r="K181" i="90"/>
  <c r="K110" i="90"/>
  <c r="K78" i="90"/>
  <c r="K46" i="90"/>
  <c r="K24" i="90"/>
  <c r="K62" i="90"/>
  <c r="AG12" i="90"/>
  <c r="AG252" i="90" s="1"/>
  <c r="U163" i="90"/>
  <c r="U127" i="90"/>
  <c r="U145" i="90"/>
  <c r="U46" i="90"/>
  <c r="U24" i="90"/>
  <c r="U62" i="90"/>
  <c r="I129" i="90"/>
  <c r="I112" i="90"/>
  <c r="I202" i="90"/>
  <c r="I147" i="90"/>
  <c r="I165" i="90"/>
  <c r="I80" i="90"/>
  <c r="I64" i="90"/>
  <c r="I26" i="90"/>
  <c r="I48" i="90"/>
  <c r="Q200" i="90"/>
  <c r="Q163" i="90"/>
  <c r="Q62" i="90"/>
  <c r="Q46" i="90"/>
  <c r="I127" i="90"/>
  <c r="I200" i="90"/>
  <c r="I163" i="90"/>
  <c r="I145" i="90"/>
  <c r="I110" i="90"/>
  <c r="I78" i="90"/>
  <c r="G78" i="90" s="1"/>
  <c r="I62" i="90"/>
  <c r="I46" i="90"/>
  <c r="S200" i="90"/>
  <c r="S163" i="90"/>
  <c r="S110" i="90"/>
  <c r="S24" i="90"/>
  <c r="M201" i="90"/>
  <c r="M182" i="90"/>
  <c r="M63" i="90"/>
  <c r="U146" i="90"/>
  <c r="U128" i="90"/>
  <c r="U63" i="90"/>
  <c r="Q112" i="90"/>
  <c r="Q202" i="90"/>
  <c r="Q165" i="90"/>
  <c r="Q64" i="90"/>
  <c r="U25" i="90"/>
  <c r="O26" i="90"/>
  <c r="Q48" i="90"/>
  <c r="K63" i="90"/>
  <c r="W64" i="90"/>
  <c r="Q110" i="90"/>
  <c r="M164" i="90"/>
  <c r="S201" i="90"/>
  <c r="M181" i="90"/>
  <c r="M110" i="90"/>
  <c r="M94" i="90"/>
  <c r="M200" i="90"/>
  <c r="M163" i="90"/>
  <c r="AE200" i="90"/>
  <c r="AE163" i="90"/>
  <c r="AE62" i="90"/>
  <c r="I164" i="90"/>
  <c r="I146" i="90"/>
  <c r="G146" i="90" s="1"/>
  <c r="I128" i="90"/>
  <c r="I201" i="90"/>
  <c r="I111" i="90"/>
  <c r="I79" i="90"/>
  <c r="Q164" i="90"/>
  <c r="Q201" i="90"/>
  <c r="Q111" i="90"/>
  <c r="AE201" i="90"/>
  <c r="AE164" i="90"/>
  <c r="K202" i="90"/>
  <c r="K183" i="90"/>
  <c r="K112" i="90"/>
  <c r="K165" i="90"/>
  <c r="K80" i="90"/>
  <c r="K26" i="90"/>
  <c r="U147" i="90"/>
  <c r="U165" i="90"/>
  <c r="U129" i="90"/>
  <c r="U48" i="90"/>
  <c r="U26" i="90"/>
  <c r="S46" i="90"/>
  <c r="U47" i="90"/>
  <c r="W48" i="90"/>
  <c r="Q63" i="90"/>
  <c r="S181" i="90"/>
  <c r="K182" i="90"/>
  <c r="K164" i="90"/>
  <c r="K111" i="90"/>
  <c r="K79" i="90"/>
  <c r="K25" i="90"/>
  <c r="S182" i="90"/>
  <c r="S164" i="90"/>
  <c r="S25" i="90"/>
  <c r="O165" i="90"/>
  <c r="O183" i="90"/>
  <c r="O202" i="90"/>
  <c r="O96" i="90"/>
  <c r="AE165" i="90"/>
  <c r="AE64" i="90"/>
  <c r="M24" i="90"/>
  <c r="Q25" i="90"/>
  <c r="M47" i="90"/>
  <c r="O48" i="90"/>
  <c r="S62" i="90"/>
  <c r="I63" i="90"/>
  <c r="S63" i="90"/>
  <c r="K64" i="90"/>
  <c r="U64" i="90"/>
  <c r="S78" i="90"/>
  <c r="M95" i="90"/>
  <c r="K201" i="90"/>
  <c r="G96" i="90"/>
  <c r="M102" i="90" s="1"/>
  <c r="G16" i="19"/>
  <c r="O259" i="90" l="1"/>
  <c r="M257" i="90"/>
  <c r="AE257" i="90"/>
  <c r="W259" i="90"/>
  <c r="AG257" i="90"/>
  <c r="Q259" i="90"/>
  <c r="Q257" i="90"/>
  <c r="G217" i="90"/>
  <c r="W223" i="90" s="1"/>
  <c r="W228" i="90" s="1"/>
  <c r="K259" i="90"/>
  <c r="AG259" i="90"/>
  <c r="W257" i="90"/>
  <c r="G250" i="90"/>
  <c r="AE223" i="90"/>
  <c r="W225" i="90"/>
  <c r="G219" i="90"/>
  <c r="AE225" i="90" s="1"/>
  <c r="G252" i="90"/>
  <c r="G47" i="90"/>
  <c r="V40" i="90" s="1"/>
  <c r="AE224" i="90"/>
  <c r="AQ16" i="90"/>
  <c r="G251" i="90"/>
  <c r="O258" i="90" s="1"/>
  <c r="Q16" i="90"/>
  <c r="G79" i="90"/>
  <c r="S85" i="90" s="1"/>
  <c r="AS16" i="90"/>
  <c r="BF16" i="90"/>
  <c r="K170" i="90"/>
  <c r="AC16" i="90"/>
  <c r="M16" i="90"/>
  <c r="AY16" i="90"/>
  <c r="K152" i="90"/>
  <c r="BD16" i="90"/>
  <c r="AE16" i="90"/>
  <c r="K16" i="90"/>
  <c r="AG16" i="90"/>
  <c r="Y16" i="90"/>
  <c r="AK16" i="90"/>
  <c r="S16" i="90"/>
  <c r="O16" i="90"/>
  <c r="AA16" i="90"/>
  <c r="AM16" i="90"/>
  <c r="AO16" i="90"/>
  <c r="U16" i="90"/>
  <c r="W16" i="90"/>
  <c r="AI16" i="90"/>
  <c r="AU16" i="90"/>
  <c r="AW16" i="90"/>
  <c r="G111" i="90"/>
  <c r="O117" i="90" s="1"/>
  <c r="G127" i="90"/>
  <c r="W133" i="90" s="1"/>
  <c r="G48" i="90"/>
  <c r="M54" i="90" s="1"/>
  <c r="G165" i="90"/>
  <c r="M171" i="90" s="1"/>
  <c r="G129" i="90"/>
  <c r="W135" i="90" s="1"/>
  <c r="S100" i="90"/>
  <c r="K100" i="90"/>
  <c r="M40" i="90"/>
  <c r="G64" i="90"/>
  <c r="W53" i="90"/>
  <c r="M152" i="90"/>
  <c r="S152" i="90"/>
  <c r="O152" i="90"/>
  <c r="Q152" i="90"/>
  <c r="G200" i="90"/>
  <c r="O206" i="90" s="1"/>
  <c r="G24" i="90"/>
  <c r="U30" i="90" s="1"/>
  <c r="G182" i="90"/>
  <c r="M188" i="90" s="1"/>
  <c r="G183" i="90"/>
  <c r="G164" i="90"/>
  <c r="U170" i="90" s="1"/>
  <c r="G110" i="90"/>
  <c r="O116" i="90" s="1"/>
  <c r="G26" i="90"/>
  <c r="U32" i="90" s="1"/>
  <c r="G147" i="90"/>
  <c r="U153" i="90" s="1"/>
  <c r="K84" i="90"/>
  <c r="S40" i="90"/>
  <c r="G25" i="90"/>
  <c r="M31" i="90" s="1"/>
  <c r="G95" i="90"/>
  <c r="O101" i="90" s="1"/>
  <c r="O102" i="90"/>
  <c r="G201" i="90"/>
  <c r="AE207" i="90" s="1"/>
  <c r="U152" i="90"/>
  <c r="G46" i="90"/>
  <c r="K52" i="90" s="1"/>
  <c r="G145" i="90"/>
  <c r="U151" i="90" s="1"/>
  <c r="G202" i="90"/>
  <c r="O208" i="90" s="1"/>
  <c r="Q40" i="90"/>
  <c r="S84" i="90"/>
  <c r="G63" i="90"/>
  <c r="U53" i="90"/>
  <c r="U40" i="90"/>
  <c r="G128" i="90"/>
  <c r="U134" i="90" s="1"/>
  <c r="G94" i="90"/>
  <c r="O100" i="90" s="1"/>
  <c r="G62" i="90"/>
  <c r="G163" i="90"/>
  <c r="O169" i="90" s="1"/>
  <c r="G12" i="90"/>
  <c r="G80" i="90"/>
  <c r="K86" i="90" s="1"/>
  <c r="G112" i="90"/>
  <c r="K118" i="90" s="1"/>
  <c r="K54" i="90"/>
  <c r="G10" i="90"/>
  <c r="K169" i="90" s="1"/>
  <c r="G181" i="90"/>
  <c r="M187" i="90" s="1"/>
  <c r="O207" i="90"/>
  <c r="O211" i="90" s="1"/>
  <c r="G29" i="14"/>
  <c r="U138" i="90" l="1"/>
  <c r="O105" i="90"/>
  <c r="M105" i="90" s="1"/>
  <c r="K53" i="90"/>
  <c r="K57" i="90" s="1"/>
  <c r="S53" i="90"/>
  <c r="AX259" i="90"/>
  <c r="AS259" i="90"/>
  <c r="AR259" i="90"/>
  <c r="AQ259" i="90"/>
  <c r="AP259" i="90"/>
  <c r="BF259" i="90"/>
  <c r="V259" i="90"/>
  <c r="I259" i="90" s="1"/>
  <c r="G259" i="90" s="1"/>
  <c r="AU259" i="90"/>
  <c r="AI259" i="90"/>
  <c r="T259" i="90"/>
  <c r="BC259" i="90"/>
  <c r="M259" i="90"/>
  <c r="U259" i="90"/>
  <c r="AW259" i="90"/>
  <c r="Y259" i="90"/>
  <c r="BB259" i="90"/>
  <c r="AC259" i="90"/>
  <c r="S259" i="90"/>
  <c r="AK259" i="90"/>
  <c r="AO259" i="90"/>
  <c r="BD259" i="90"/>
  <c r="AY259" i="90"/>
  <c r="AA259" i="90"/>
  <c r="AM259" i="90"/>
  <c r="K257" i="90"/>
  <c r="O257" i="90"/>
  <c r="O262" i="90" s="1"/>
  <c r="AQ257" i="90"/>
  <c r="BD257" i="90"/>
  <c r="AX257" i="90"/>
  <c r="AR257" i="90"/>
  <c r="AS257" i="90"/>
  <c r="T257" i="90"/>
  <c r="AY257" i="90"/>
  <c r="BF257" i="90"/>
  <c r="AU257" i="90"/>
  <c r="AP257" i="90"/>
  <c r="AI257" i="90"/>
  <c r="BC257" i="90"/>
  <c r="V257" i="90"/>
  <c r="AM257" i="90"/>
  <c r="AA257" i="90"/>
  <c r="U257" i="90"/>
  <c r="AO257" i="90"/>
  <c r="Y257" i="90"/>
  <c r="AW257" i="90"/>
  <c r="AK257" i="90"/>
  <c r="AC257" i="90"/>
  <c r="BB257" i="90"/>
  <c r="S257" i="90"/>
  <c r="AE259" i="90"/>
  <c r="U156" i="90"/>
  <c r="K40" i="90"/>
  <c r="W70" i="90"/>
  <c r="Q225" i="90"/>
  <c r="O225" i="90"/>
  <c r="S225" i="90"/>
  <c r="K225" i="90"/>
  <c r="U225" i="90"/>
  <c r="M225" i="90"/>
  <c r="S68" i="90"/>
  <c r="U223" i="90"/>
  <c r="M223" i="90"/>
  <c r="S223" i="90"/>
  <c r="K223" i="90"/>
  <c r="Q223" i="90"/>
  <c r="O223" i="90"/>
  <c r="O40" i="90"/>
  <c r="M53" i="90"/>
  <c r="AE228" i="90"/>
  <c r="O53" i="90"/>
  <c r="W40" i="90"/>
  <c r="Q53" i="90"/>
  <c r="Q57" i="90" s="1"/>
  <c r="S101" i="90"/>
  <c r="K117" i="90"/>
  <c r="K258" i="90"/>
  <c r="K262" i="90" s="1"/>
  <c r="W258" i="90"/>
  <c r="W262" i="90" s="1"/>
  <c r="AM258" i="90"/>
  <c r="AM262" i="90" s="1"/>
  <c r="AR258" i="90"/>
  <c r="AX258" i="90"/>
  <c r="AX262" i="90" s="1"/>
  <c r="BD258" i="90"/>
  <c r="BD262" i="90" s="1"/>
  <c r="T258" i="90"/>
  <c r="T262" i="90" s="1"/>
  <c r="AG258" i="90"/>
  <c r="AG262" i="90" s="1"/>
  <c r="AS258" i="90"/>
  <c r="BF258" i="90"/>
  <c r="BF262" i="90" s="1"/>
  <c r="AA258" i="90"/>
  <c r="AI258" i="90"/>
  <c r="AI262" i="90" s="1"/>
  <c r="AU258" i="90"/>
  <c r="V258" i="90"/>
  <c r="V262" i="90" s="1"/>
  <c r="AC258" i="90"/>
  <c r="AK258" i="90"/>
  <c r="AQ258" i="90"/>
  <c r="AW258" i="90"/>
  <c r="AW262" i="90" s="1"/>
  <c r="BC258" i="90"/>
  <c r="Y258" i="90"/>
  <c r="AO258" i="90"/>
  <c r="AY258" i="90"/>
  <c r="AY262" i="90" s="1"/>
  <c r="AP258" i="90"/>
  <c r="AP262" i="90" s="1"/>
  <c r="BB258" i="90"/>
  <c r="BB262" i="90" s="1"/>
  <c r="Q117" i="90"/>
  <c r="M258" i="90"/>
  <c r="M262" i="90" s="1"/>
  <c r="AE258" i="90"/>
  <c r="AE262" i="90" s="1"/>
  <c r="S258" i="90"/>
  <c r="S262" i="90" s="1"/>
  <c r="I16" i="90"/>
  <c r="G16" i="90" s="1"/>
  <c r="S69" i="90"/>
  <c r="S73" i="90" s="1"/>
  <c r="U224" i="90"/>
  <c r="M224" i="90"/>
  <c r="Q224" i="90"/>
  <c r="S224" i="90"/>
  <c r="S228" i="90" s="1"/>
  <c r="K224" i="90"/>
  <c r="K228" i="90" s="1"/>
  <c r="O224" i="90"/>
  <c r="K85" i="90"/>
  <c r="K89" i="90" s="1"/>
  <c r="K101" i="90"/>
  <c r="U258" i="90"/>
  <c r="U262" i="90" s="1"/>
  <c r="Q258" i="90"/>
  <c r="Q262" i="90" s="1"/>
  <c r="O188" i="90"/>
  <c r="W54" i="90"/>
  <c r="M101" i="90"/>
  <c r="O54" i="90"/>
  <c r="S116" i="90"/>
  <c r="AE170" i="90"/>
  <c r="AE174" i="90" s="1"/>
  <c r="S170" i="90"/>
  <c r="M170" i="90"/>
  <c r="I152" i="90"/>
  <c r="G152" i="90" s="1"/>
  <c r="S52" i="90"/>
  <c r="Q54" i="90"/>
  <c r="AE68" i="90"/>
  <c r="U133" i="90"/>
  <c r="Q116" i="90"/>
  <c r="Q31" i="90"/>
  <c r="S30" i="90"/>
  <c r="K206" i="90"/>
  <c r="M207" i="90"/>
  <c r="M211" i="90" s="1"/>
  <c r="Q52" i="90"/>
  <c r="S54" i="90"/>
  <c r="U135" i="90"/>
  <c r="I135" i="90" s="1"/>
  <c r="G135" i="90" s="1"/>
  <c r="AE70" i="90"/>
  <c r="AE171" i="90"/>
  <c r="Q171" i="90"/>
  <c r="O171" i="90"/>
  <c r="U69" i="90"/>
  <c r="S70" i="90"/>
  <c r="U52" i="90"/>
  <c r="U57" i="90" s="1"/>
  <c r="K171" i="90"/>
  <c r="K174" i="90" s="1"/>
  <c r="Q208" i="90"/>
  <c r="Q207" i="90"/>
  <c r="U31" i="90"/>
  <c r="U35" i="90" s="1"/>
  <c r="U54" i="90"/>
  <c r="K207" i="90"/>
  <c r="K211" i="90" s="1"/>
  <c r="W69" i="90"/>
  <c r="S171" i="90"/>
  <c r="U171" i="90"/>
  <c r="S31" i="90"/>
  <c r="M117" i="90"/>
  <c r="S117" i="90"/>
  <c r="S121" i="90" s="1"/>
  <c r="AS17" i="90"/>
  <c r="M17" i="90"/>
  <c r="AQ17" i="90"/>
  <c r="AI17" i="90"/>
  <c r="AU17" i="90"/>
  <c r="Q17" i="90"/>
  <c r="AO17" i="90"/>
  <c r="BF17" i="90"/>
  <c r="Y17" i="90"/>
  <c r="AW17" i="90"/>
  <c r="AC17" i="90"/>
  <c r="W17" i="90"/>
  <c r="AA17" i="90"/>
  <c r="AE17" i="90"/>
  <c r="AM17" i="90"/>
  <c r="BB17" i="90"/>
  <c r="U17" i="90"/>
  <c r="AY17" i="90"/>
  <c r="O17" i="90"/>
  <c r="S17" i="90"/>
  <c r="BD17" i="90"/>
  <c r="AK17" i="90"/>
  <c r="K17" i="90"/>
  <c r="O30" i="90"/>
  <c r="Q30" i="90"/>
  <c r="M116" i="90"/>
  <c r="S118" i="90"/>
  <c r="K151" i="90"/>
  <c r="AS15" i="90"/>
  <c r="AY15" i="90"/>
  <c r="AQ15" i="90"/>
  <c r="AI15" i="90"/>
  <c r="BD15" i="90"/>
  <c r="AU15" i="90"/>
  <c r="O15" i="90"/>
  <c r="BF15" i="90"/>
  <c r="Y15" i="90"/>
  <c r="AW15" i="90"/>
  <c r="Q15" i="90"/>
  <c r="AO15" i="90"/>
  <c r="AK15" i="90"/>
  <c r="AK19" i="90" s="1"/>
  <c r="AC15" i="90"/>
  <c r="W15" i="90"/>
  <c r="M15" i="90"/>
  <c r="U15" i="90"/>
  <c r="S15" i="90"/>
  <c r="BB15" i="90"/>
  <c r="AA15" i="90"/>
  <c r="AE15" i="90"/>
  <c r="AE19" i="90" s="1"/>
  <c r="K15" i="90"/>
  <c r="AM15" i="90"/>
  <c r="S102" i="90"/>
  <c r="K102" i="90"/>
  <c r="W100" i="90"/>
  <c r="Q100" i="90"/>
  <c r="I100" i="90"/>
  <c r="Q84" i="90"/>
  <c r="U100" i="90"/>
  <c r="U84" i="90"/>
  <c r="O84" i="90"/>
  <c r="W84" i="90"/>
  <c r="O68" i="90"/>
  <c r="M84" i="90"/>
  <c r="W68" i="90"/>
  <c r="M68" i="90"/>
  <c r="AE169" i="90"/>
  <c r="U101" i="90"/>
  <c r="W101" i="90"/>
  <c r="Q101" i="90"/>
  <c r="W85" i="90"/>
  <c r="O85" i="90"/>
  <c r="Q85" i="90"/>
  <c r="I101" i="90"/>
  <c r="I105" i="90" s="1"/>
  <c r="M85" i="90"/>
  <c r="U85" i="90"/>
  <c r="AE69" i="90"/>
  <c r="O69" i="90"/>
  <c r="M206" i="90"/>
  <c r="K208" i="90"/>
  <c r="AG15" i="90"/>
  <c r="M153" i="90"/>
  <c r="S153" i="90"/>
  <c r="K153" i="90"/>
  <c r="O153" i="90"/>
  <c r="Q153" i="90"/>
  <c r="S206" i="90"/>
  <c r="Q69" i="90"/>
  <c r="K68" i="90"/>
  <c r="Q169" i="90"/>
  <c r="Q70" i="90"/>
  <c r="S187" i="90"/>
  <c r="M30" i="90"/>
  <c r="M35" i="90" s="1"/>
  <c r="S32" i="90"/>
  <c r="U169" i="90"/>
  <c r="U174" i="90" s="1"/>
  <c r="M32" i="90"/>
  <c r="Q32" i="90"/>
  <c r="Q189" i="90"/>
  <c r="I189" i="90"/>
  <c r="M189" i="90"/>
  <c r="M192" i="90" s="1"/>
  <c r="Q188" i="90"/>
  <c r="I188" i="90"/>
  <c r="O32" i="90"/>
  <c r="S188" i="90"/>
  <c r="U102" i="90"/>
  <c r="U86" i="90"/>
  <c r="M86" i="90"/>
  <c r="Q102" i="90"/>
  <c r="W86" i="90"/>
  <c r="O86" i="90"/>
  <c r="W102" i="90"/>
  <c r="Q86" i="90"/>
  <c r="I102" i="90"/>
  <c r="O70" i="90"/>
  <c r="M70" i="90"/>
  <c r="S208" i="90"/>
  <c r="AE206" i="90"/>
  <c r="AE211" i="90" s="1"/>
  <c r="S189" i="90"/>
  <c r="W134" i="90"/>
  <c r="W138" i="90" s="1"/>
  <c r="Q68" i="90"/>
  <c r="M69" i="90"/>
  <c r="M100" i="90"/>
  <c r="Q170" i="90"/>
  <c r="W52" i="90"/>
  <c r="W57" i="90" s="1"/>
  <c r="M52" i="90"/>
  <c r="O52" i="90"/>
  <c r="K69" i="90"/>
  <c r="K73" i="90" s="1"/>
  <c r="I133" i="90"/>
  <c r="G133" i="90" s="1"/>
  <c r="Q206" i="90"/>
  <c r="M169" i="90"/>
  <c r="K32" i="90"/>
  <c r="K31" i="90"/>
  <c r="O170" i="90"/>
  <c r="O174" i="90" s="1"/>
  <c r="U68" i="90"/>
  <c r="S169" i="90"/>
  <c r="S207" i="90"/>
  <c r="O189" i="90"/>
  <c r="U70" i="90"/>
  <c r="K116" i="90"/>
  <c r="O31" i="90"/>
  <c r="K70" i="90"/>
  <c r="S86" i="90"/>
  <c r="S89" i="90" s="1"/>
  <c r="M151" i="90"/>
  <c r="S151" i="90"/>
  <c r="O151" i="90"/>
  <c r="Q151" i="90"/>
  <c r="I187" i="90"/>
  <c r="Q187" i="90"/>
  <c r="O187" i="90"/>
  <c r="M118" i="90"/>
  <c r="O118" i="90"/>
  <c r="O121" i="90" s="1"/>
  <c r="Q118" i="90"/>
  <c r="M208" i="90"/>
  <c r="AE208" i="90"/>
  <c r="K30" i="90"/>
  <c r="AG17" i="90"/>
  <c r="E29" i="14"/>
  <c r="C12" i="13"/>
  <c r="C11" i="13"/>
  <c r="E11" i="13"/>
  <c r="G11" i="13"/>
  <c r="G14" i="13" s="1"/>
  <c r="I40" i="90" l="1"/>
  <c r="G40" i="90" s="1"/>
  <c r="Q174" i="90"/>
  <c r="W73" i="90"/>
  <c r="Q211" i="90"/>
  <c r="Q35" i="90"/>
  <c r="S174" i="90"/>
  <c r="U228" i="90"/>
  <c r="BC262" i="90"/>
  <c r="AC262" i="90"/>
  <c r="AA262" i="90"/>
  <c r="M57" i="90"/>
  <c r="S35" i="90"/>
  <c r="S57" i="90"/>
  <c r="M73" i="90"/>
  <c r="AA19" i="90"/>
  <c r="O192" i="90"/>
  <c r="Q228" i="90"/>
  <c r="Q121" i="90"/>
  <c r="AO262" i="90"/>
  <c r="AQ262" i="90"/>
  <c r="AU262" i="90"/>
  <c r="AS262" i="90"/>
  <c r="I225" i="90"/>
  <c r="G225" i="90" s="1"/>
  <c r="O73" i="90"/>
  <c r="U73" i="90"/>
  <c r="K105" i="90"/>
  <c r="AE73" i="90"/>
  <c r="O35" i="90"/>
  <c r="S211" i="90"/>
  <c r="K35" i="90"/>
  <c r="S192" i="90"/>
  <c r="Q73" i="90"/>
  <c r="BB19" i="90"/>
  <c r="W19" i="90"/>
  <c r="M121" i="90"/>
  <c r="M174" i="90"/>
  <c r="O228" i="90"/>
  <c r="Y262" i="90"/>
  <c r="I262" i="90" s="1"/>
  <c r="G262" i="90" s="1"/>
  <c r="AK262" i="90"/>
  <c r="AR262" i="90"/>
  <c r="K121" i="90"/>
  <c r="O57" i="90"/>
  <c r="I223" i="90"/>
  <c r="G223" i="90" s="1"/>
  <c r="I257" i="90"/>
  <c r="G257" i="90" s="1"/>
  <c r="I53" i="90"/>
  <c r="G53" i="90" s="1"/>
  <c r="S105" i="90"/>
  <c r="I224" i="90"/>
  <c r="G224" i="90" s="1"/>
  <c r="M228" i="90"/>
  <c r="I258" i="90"/>
  <c r="G258" i="90" s="1"/>
  <c r="I85" i="90"/>
  <c r="G85" i="90" s="1"/>
  <c r="I170" i="90"/>
  <c r="G170" i="90" s="1"/>
  <c r="I117" i="90"/>
  <c r="G117" i="90" s="1"/>
  <c r="I118" i="90"/>
  <c r="G118" i="90" s="1"/>
  <c r="I207" i="90"/>
  <c r="G207" i="90" s="1"/>
  <c r="K188" i="90"/>
  <c r="G188" i="90" s="1"/>
  <c r="I54" i="90"/>
  <c r="G54" i="90" s="1"/>
  <c r="U19" i="90"/>
  <c r="Y19" i="90"/>
  <c r="BD19" i="90"/>
  <c r="AS19" i="90"/>
  <c r="I86" i="90"/>
  <c r="G86" i="90" s="1"/>
  <c r="I138" i="90"/>
  <c r="G138" i="90" s="1"/>
  <c r="I171" i="90"/>
  <c r="G171" i="90" s="1"/>
  <c r="M19" i="90"/>
  <c r="O156" i="90"/>
  <c r="AM19" i="90"/>
  <c r="Q19" i="90"/>
  <c r="O19" i="90"/>
  <c r="AQ19" i="90"/>
  <c r="Q156" i="90"/>
  <c r="AW19" i="90"/>
  <c r="AU19" i="90"/>
  <c r="AY19" i="90"/>
  <c r="I32" i="90"/>
  <c r="G32" i="90" s="1"/>
  <c r="S19" i="90"/>
  <c r="I17" i="90"/>
  <c r="G17" i="90" s="1"/>
  <c r="AG19" i="90"/>
  <c r="BF19" i="90"/>
  <c r="AI19" i="90"/>
  <c r="O89" i="90"/>
  <c r="G100" i="90"/>
  <c r="AO19" i="90"/>
  <c r="K156" i="90"/>
  <c r="I151" i="90"/>
  <c r="G151" i="90" s="1"/>
  <c r="M89" i="90"/>
  <c r="I69" i="90"/>
  <c r="G69" i="90" s="1"/>
  <c r="I84" i="90"/>
  <c r="G84" i="90" s="1"/>
  <c r="U105" i="90"/>
  <c r="W105" i="90"/>
  <c r="K19" i="90"/>
  <c r="I15" i="90"/>
  <c r="G15" i="90" s="1"/>
  <c r="AC19" i="90"/>
  <c r="I52" i="90"/>
  <c r="G52" i="90" s="1"/>
  <c r="K187" i="90"/>
  <c r="I31" i="90"/>
  <c r="G31" i="90" s="1"/>
  <c r="I206" i="90"/>
  <c r="G206" i="90" s="1"/>
  <c r="I116" i="90"/>
  <c r="G116" i="90" s="1"/>
  <c r="G101" i="90"/>
  <c r="U89" i="90"/>
  <c r="Q105" i="90"/>
  <c r="I169" i="90"/>
  <c r="G169" i="90" s="1"/>
  <c r="Q192" i="90"/>
  <c r="S156" i="90"/>
  <c r="G102" i="90"/>
  <c r="K189" i="90"/>
  <c r="G189" i="90" s="1"/>
  <c r="I68" i="90"/>
  <c r="G68" i="90" s="1"/>
  <c r="I208" i="90"/>
  <c r="G208" i="90" s="1"/>
  <c r="I30" i="90"/>
  <c r="G30" i="90" s="1"/>
  <c r="I192" i="90"/>
  <c r="G187" i="90"/>
  <c r="M156" i="90"/>
  <c r="I70" i="90"/>
  <c r="G70" i="90" s="1"/>
  <c r="I153" i="90"/>
  <c r="G153" i="90" s="1"/>
  <c r="W89" i="90"/>
  <c r="Q89" i="90"/>
  <c r="I134" i="90"/>
  <c r="G134" i="90" s="1"/>
  <c r="G19" i="12"/>
  <c r="G15" i="12"/>
  <c r="Q12" i="74"/>
  <c r="C15" i="12"/>
  <c r="W12" i="74"/>
  <c r="BD12" i="74"/>
  <c r="BB12" i="74"/>
  <c r="AY12" i="74"/>
  <c r="AW12" i="74"/>
  <c r="AO12" i="74"/>
  <c r="AM12" i="74"/>
  <c r="AK12" i="74"/>
  <c r="AE12" i="74"/>
  <c r="AC12" i="74"/>
  <c r="AA12" i="74"/>
  <c r="Y12" i="74"/>
  <c r="S12" i="74"/>
  <c r="O12" i="74"/>
  <c r="K12" i="74"/>
  <c r="I12" i="74"/>
  <c r="I228" i="90" l="1"/>
  <c r="G228" i="90" s="1"/>
  <c r="G105" i="90"/>
  <c r="K192" i="90"/>
  <c r="G192" i="90" s="1"/>
  <c r="I57" i="90"/>
  <c r="G57" i="90" s="1"/>
  <c r="I121" i="90"/>
  <c r="G121" i="90" s="1"/>
  <c r="I211" i="90"/>
  <c r="G211" i="90" s="1"/>
  <c r="AG12" i="74"/>
  <c r="G12" i="74" s="1"/>
  <c r="I174" i="90"/>
  <c r="G174" i="90" s="1"/>
  <c r="I89" i="90"/>
  <c r="G89" i="90" s="1"/>
  <c r="I73" i="90"/>
  <c r="G73" i="90" s="1"/>
  <c r="I19" i="90"/>
  <c r="G19" i="90" s="1"/>
  <c r="I35" i="90"/>
  <c r="I156" i="90"/>
  <c r="G156" i="90" s="1"/>
  <c r="G35" i="90" l="1"/>
  <c r="G234" i="90"/>
  <c r="BB10" i="74"/>
  <c r="AW10" i="74"/>
  <c r="AO10" i="74"/>
  <c r="AM10" i="74"/>
  <c r="AK10" i="74"/>
  <c r="AE10" i="74"/>
  <c r="AC10" i="74"/>
  <c r="Q240" i="90" l="1"/>
  <c r="M240" i="90"/>
  <c r="AE240" i="90"/>
  <c r="O240" i="90"/>
  <c r="K240" i="90"/>
  <c r="S240" i="90"/>
  <c r="I241" i="90"/>
  <c r="G241" i="90" s="1"/>
  <c r="AA10" i="74"/>
  <c r="Y10" i="74"/>
  <c r="W10" i="74"/>
  <c r="U10" i="74"/>
  <c r="S10" i="74"/>
  <c r="Q10" i="74"/>
  <c r="M10" i="74"/>
  <c r="K10" i="74"/>
  <c r="I10" i="74"/>
  <c r="I240" i="90" l="1"/>
  <c r="G240" i="90" s="1"/>
  <c r="I244" i="90"/>
  <c r="G244" i="90" s="1"/>
  <c r="D10" i="75"/>
  <c r="D9" i="75"/>
  <c r="D18" i="89"/>
  <c r="B22" i="88"/>
  <c r="B27" i="88" s="1"/>
  <c r="B22" i="87"/>
  <c r="D9" i="83" l="1"/>
  <c r="D11" i="83"/>
  <c r="D13" i="83"/>
  <c r="D15" i="83"/>
  <c r="B6" i="75"/>
  <c r="D6" i="75" s="1"/>
  <c r="B27" i="87"/>
  <c r="B8" i="75"/>
  <c r="D8" i="75" s="1"/>
  <c r="D24" i="89"/>
  <c r="B7" i="75"/>
  <c r="D7" i="75" s="1"/>
  <c r="G16" i="86"/>
  <c r="E22" i="86"/>
  <c r="G20" i="86"/>
  <c r="G12" i="86"/>
  <c r="E9" i="85"/>
  <c r="D12" i="83"/>
  <c r="E13" i="85"/>
  <c r="E17" i="85"/>
  <c r="D17" i="83"/>
  <c r="C22" i="84"/>
  <c r="G22" i="84"/>
  <c r="K22" i="84"/>
  <c r="O10" i="84"/>
  <c r="O14" i="84"/>
  <c r="O18" i="84"/>
  <c r="E12" i="85"/>
  <c r="E16" i="85"/>
  <c r="E20" i="85"/>
  <c r="D14" i="83"/>
  <c r="D16" i="83"/>
  <c r="D18" i="83"/>
  <c r="D20" i="83"/>
  <c r="C22" i="86"/>
  <c r="G10" i="86"/>
  <c r="G14" i="86"/>
  <c r="G18" i="86"/>
  <c r="D22" i="86"/>
  <c r="G11" i="86"/>
  <c r="G15" i="86"/>
  <c r="G19" i="86"/>
  <c r="G9" i="86"/>
  <c r="F22" i="86"/>
  <c r="G13" i="86"/>
  <c r="G17" i="86"/>
  <c r="C22" i="85"/>
  <c r="D22" i="85"/>
  <c r="E11" i="85"/>
  <c r="E15" i="85"/>
  <c r="E19" i="85"/>
  <c r="E10" i="85"/>
  <c r="E14" i="85"/>
  <c r="E18" i="85"/>
  <c r="E22" i="84"/>
  <c r="I22" i="84"/>
  <c r="M22" i="84"/>
  <c r="O11" i="84"/>
  <c r="O12" i="84"/>
  <c r="O16" i="84"/>
  <c r="O20" i="84"/>
  <c r="B22" i="84"/>
  <c r="F22" i="84"/>
  <c r="J22" i="84"/>
  <c r="N22" i="84"/>
  <c r="O13" i="84"/>
  <c r="O17" i="84"/>
  <c r="D22" i="84"/>
  <c r="H22" i="84"/>
  <c r="L22" i="84"/>
  <c r="O15" i="84"/>
  <c r="O19" i="84"/>
  <c r="C22" i="83"/>
  <c r="D10" i="83"/>
  <c r="D19" i="83"/>
  <c r="B22" i="83"/>
  <c r="B22" i="86"/>
  <c r="B22" i="85"/>
  <c r="O9" i="84"/>
  <c r="C4" i="75" l="1"/>
  <c r="C27" i="83"/>
  <c r="B4" i="75"/>
  <c r="B27" i="83"/>
  <c r="D22" i="83"/>
  <c r="G22" i="86"/>
  <c r="E22" i="85"/>
  <c r="O22" i="84"/>
  <c r="B2" i="75" s="1"/>
  <c r="D2" i="75" s="1"/>
  <c r="D4" i="75"/>
  <c r="AD181" i="74"/>
  <c r="AF181" i="74"/>
  <c r="AD182" i="74"/>
  <c r="AF182" i="74"/>
  <c r="S183" i="74"/>
  <c r="AD183" i="74"/>
  <c r="AF183" i="74"/>
  <c r="G28" i="86" l="1"/>
  <c r="B5" i="75"/>
  <c r="D5" i="75" s="1"/>
  <c r="E28" i="85"/>
  <c r="B3" i="75"/>
  <c r="D3" i="75" s="1"/>
  <c r="G18" i="13"/>
  <c r="D11" i="75"/>
  <c r="O183" i="74"/>
  <c r="M183" i="74"/>
  <c r="AG11" i="74" l="1"/>
  <c r="C29" i="14" l="1"/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11" i="14"/>
  <c r="F13" i="14"/>
  <c r="AE11" i="74"/>
  <c r="AE182" i="74" s="1"/>
  <c r="M11" i="74" l="1"/>
  <c r="M182" i="74" s="1"/>
  <c r="O11" i="74"/>
  <c r="O182" i="74" s="1"/>
  <c r="F11" i="14"/>
  <c r="F26" i="14"/>
  <c r="F24" i="14"/>
  <c r="F22" i="14"/>
  <c r="F20" i="14"/>
  <c r="F18" i="14"/>
  <c r="F16" i="14"/>
  <c r="F14" i="14"/>
  <c r="F12" i="14"/>
  <c r="E33" i="14"/>
  <c r="E35" i="14" s="1"/>
  <c r="F27" i="14"/>
  <c r="F25" i="14"/>
  <c r="F23" i="14"/>
  <c r="F21" i="14"/>
  <c r="F19" i="14"/>
  <c r="F17" i="14"/>
  <c r="F15" i="14"/>
  <c r="F29" i="14" l="1"/>
  <c r="C11" i="75"/>
  <c r="K11" i="74"/>
  <c r="K182" i="74" s="1"/>
  <c r="E16" i="19"/>
  <c r="C16" i="19"/>
  <c r="E15" i="12"/>
  <c r="B11" i="75" l="1"/>
  <c r="I11" i="74"/>
  <c r="I182" i="74" s="1"/>
  <c r="G33" i="14"/>
  <c r="H11" i="14"/>
  <c r="E19" i="12"/>
  <c r="E21" i="12" s="1"/>
  <c r="E23" i="12" s="1"/>
  <c r="C19" i="12"/>
  <c r="C21" i="12" s="1"/>
  <c r="C23" i="12" s="1"/>
  <c r="J11" i="14" l="1"/>
  <c r="M11" i="14" s="1"/>
  <c r="L11" i="14"/>
  <c r="Q11" i="74"/>
  <c r="Q182" i="74" s="1"/>
  <c r="H15" i="12"/>
  <c r="S181" i="74"/>
  <c r="Q183" i="74"/>
  <c r="I183" i="74" l="1"/>
  <c r="AE183" i="74" l="1"/>
  <c r="K183" i="74"/>
  <c r="Q181" i="74"/>
  <c r="AE181" i="74"/>
  <c r="AG10" i="74"/>
  <c r="K181" i="74"/>
  <c r="I181" i="74"/>
  <c r="O181" i="74"/>
  <c r="M181" i="74"/>
  <c r="G181" i="74" l="1"/>
  <c r="S186" i="74" s="1"/>
  <c r="G10" i="74"/>
  <c r="AA15" i="74" s="1"/>
  <c r="M17" i="74"/>
  <c r="I45" i="74"/>
  <c r="K45" i="74"/>
  <c r="M45" i="74"/>
  <c r="O45" i="74"/>
  <c r="Q45" i="74"/>
  <c r="E10" i="33"/>
  <c r="AE11" i="44" s="1"/>
  <c r="AE53" i="44" s="1"/>
  <c r="I25" i="74"/>
  <c r="K25" i="74"/>
  <c r="M25" i="74"/>
  <c r="O25" i="74"/>
  <c r="Q25" i="74"/>
  <c r="AE149" i="74"/>
  <c r="C173" i="74"/>
  <c r="S166" i="74"/>
  <c r="K166" i="74"/>
  <c r="O165" i="74"/>
  <c r="M165" i="74"/>
  <c r="K165" i="74"/>
  <c r="O164" i="74"/>
  <c r="M164" i="74"/>
  <c r="C157" i="74"/>
  <c r="AE150" i="74"/>
  <c r="U150" i="74"/>
  <c r="S150" i="74"/>
  <c r="Q150" i="74"/>
  <c r="K150" i="74"/>
  <c r="I150" i="74"/>
  <c r="Q149" i="74"/>
  <c r="O149" i="74"/>
  <c r="M149" i="74"/>
  <c r="K149" i="74"/>
  <c r="I149" i="74"/>
  <c r="U148" i="74"/>
  <c r="O148" i="74"/>
  <c r="M148" i="74"/>
  <c r="C141" i="74"/>
  <c r="U134" i="74"/>
  <c r="I134" i="74"/>
  <c r="I133" i="74"/>
  <c r="U132" i="74"/>
  <c r="C125" i="74"/>
  <c r="U118" i="74"/>
  <c r="I118" i="74"/>
  <c r="I117" i="74"/>
  <c r="W116" i="74"/>
  <c r="U116" i="74"/>
  <c r="C110" i="74"/>
  <c r="S103" i="74"/>
  <c r="Q103" i="74"/>
  <c r="K103" i="74"/>
  <c r="I103" i="74"/>
  <c r="Q102" i="74"/>
  <c r="O102" i="74"/>
  <c r="M102" i="74"/>
  <c r="K102" i="74"/>
  <c r="I102" i="74"/>
  <c r="O101" i="74"/>
  <c r="M101" i="74"/>
  <c r="C95" i="74"/>
  <c r="O87" i="74"/>
  <c r="M87" i="74"/>
  <c r="O86" i="74"/>
  <c r="M86" i="74"/>
  <c r="C81" i="74"/>
  <c r="S74" i="74"/>
  <c r="K74" i="74"/>
  <c r="I74" i="74"/>
  <c r="K73" i="74"/>
  <c r="I73" i="74"/>
  <c r="C67" i="74"/>
  <c r="AE60" i="74"/>
  <c r="U60" i="74"/>
  <c r="S60" i="74"/>
  <c r="Q60" i="74"/>
  <c r="K60" i="74"/>
  <c r="I60" i="74"/>
  <c r="Q59" i="74"/>
  <c r="O59" i="74"/>
  <c r="M59" i="74"/>
  <c r="K59" i="74"/>
  <c r="I59" i="74"/>
  <c r="W58" i="74"/>
  <c r="U58" i="74"/>
  <c r="O58" i="74"/>
  <c r="M58" i="74"/>
  <c r="C53" i="74"/>
  <c r="U46" i="74"/>
  <c r="S46" i="74"/>
  <c r="Q46" i="74"/>
  <c r="K46" i="74"/>
  <c r="I46" i="74"/>
  <c r="W44" i="74"/>
  <c r="U44" i="74"/>
  <c r="O44" i="74"/>
  <c r="M44" i="74"/>
  <c r="C33" i="74"/>
  <c r="U26" i="74"/>
  <c r="S26" i="74"/>
  <c r="Q26" i="74"/>
  <c r="K26" i="74"/>
  <c r="I26" i="74"/>
  <c r="U24" i="74"/>
  <c r="O24" i="74"/>
  <c r="M24" i="74"/>
  <c r="O46" i="74"/>
  <c r="AE148" i="74"/>
  <c r="S58" i="74"/>
  <c r="K72" i="74"/>
  <c r="G36" i="73"/>
  <c r="F36" i="73"/>
  <c r="E36" i="73"/>
  <c r="H36" i="73"/>
  <c r="D36" i="73"/>
  <c r="C36" i="73"/>
  <c r="B36" i="73"/>
  <c r="I33" i="73"/>
  <c r="I32" i="73"/>
  <c r="I31" i="73"/>
  <c r="I30" i="73"/>
  <c r="I29" i="73"/>
  <c r="I28" i="73"/>
  <c r="I27" i="73"/>
  <c r="I26" i="73"/>
  <c r="I25" i="73"/>
  <c r="I24" i="73"/>
  <c r="I23" i="73"/>
  <c r="I40" i="73" s="1"/>
  <c r="E19" i="73"/>
  <c r="E41" i="73" s="1"/>
  <c r="A18" i="73"/>
  <c r="A35" i="73" s="1"/>
  <c r="A17" i="73"/>
  <c r="A34" i="73" s="1"/>
  <c r="I16" i="73"/>
  <c r="A16" i="73"/>
  <c r="A33" i="73" s="1"/>
  <c r="I15" i="73"/>
  <c r="A15" i="73"/>
  <c r="A32" i="73" s="1"/>
  <c r="I14" i="73"/>
  <c r="A14" i="73"/>
  <c r="A31" i="73" s="1"/>
  <c r="I13" i="73"/>
  <c r="A13" i="73"/>
  <c r="A30" i="73" s="1"/>
  <c r="I12" i="73"/>
  <c r="A12" i="73"/>
  <c r="A29" i="73" s="1"/>
  <c r="I11" i="73"/>
  <c r="A11" i="73"/>
  <c r="A28" i="73" s="1"/>
  <c r="I10" i="73"/>
  <c r="A10" i="73"/>
  <c r="A27" i="73" s="1"/>
  <c r="I9" i="73"/>
  <c r="A9" i="73"/>
  <c r="A26" i="73" s="1"/>
  <c r="I8" i="73"/>
  <c r="A8" i="73"/>
  <c r="A25" i="73" s="1"/>
  <c r="I7" i="73"/>
  <c r="A7" i="73"/>
  <c r="A24" i="73" s="1"/>
  <c r="A3" i="73"/>
  <c r="I148" i="74"/>
  <c r="I132" i="74"/>
  <c r="G132" i="74" s="1"/>
  <c r="I116" i="74"/>
  <c r="I101" i="74"/>
  <c r="I72" i="74"/>
  <c r="Q148" i="74"/>
  <c r="Q101" i="74"/>
  <c r="M150" i="74"/>
  <c r="M166" i="74"/>
  <c r="M103" i="74"/>
  <c r="M88" i="74"/>
  <c r="W118" i="74"/>
  <c r="W60" i="74"/>
  <c r="I24" i="74"/>
  <c r="Q24" i="74"/>
  <c r="M26" i="74"/>
  <c r="K44" i="74"/>
  <c r="S44" i="74"/>
  <c r="W46" i="74"/>
  <c r="K58" i="74"/>
  <c r="K164" i="74"/>
  <c r="K148" i="74"/>
  <c r="K101" i="74"/>
  <c r="S164" i="74"/>
  <c r="S148" i="74"/>
  <c r="S101" i="74"/>
  <c r="S72" i="74"/>
  <c r="O166" i="74"/>
  <c r="O150" i="74"/>
  <c r="O103" i="74"/>
  <c r="O88" i="74"/>
  <c r="O60" i="74"/>
  <c r="K24" i="74"/>
  <c r="S24" i="74"/>
  <c r="O26" i="74"/>
  <c r="I44" i="74"/>
  <c r="Q44" i="74"/>
  <c r="M46" i="74"/>
  <c r="I58" i="74"/>
  <c r="Q58" i="74"/>
  <c r="AE58" i="74"/>
  <c r="AE59" i="74"/>
  <c r="M60" i="74"/>
  <c r="E9" i="33"/>
  <c r="G36" i="69"/>
  <c r="F36" i="69"/>
  <c r="E36" i="69"/>
  <c r="H36" i="69"/>
  <c r="D36" i="69"/>
  <c r="C36" i="69"/>
  <c r="B36" i="69"/>
  <c r="I33" i="69"/>
  <c r="I32" i="69"/>
  <c r="I31" i="69"/>
  <c r="I30" i="69"/>
  <c r="I29" i="69"/>
  <c r="I28" i="69"/>
  <c r="I27" i="69"/>
  <c r="I26" i="69"/>
  <c r="I25" i="69"/>
  <c r="I24" i="69"/>
  <c r="I23" i="69"/>
  <c r="I40" i="69" s="1"/>
  <c r="E19" i="69"/>
  <c r="E41" i="69" s="1"/>
  <c r="A18" i="69"/>
  <c r="A35" i="69" s="1"/>
  <c r="A17" i="69"/>
  <c r="A34" i="69" s="1"/>
  <c r="I16" i="69"/>
  <c r="A16" i="69"/>
  <c r="A33" i="69" s="1"/>
  <c r="I15" i="69"/>
  <c r="A15" i="69"/>
  <c r="A32" i="69" s="1"/>
  <c r="I14" i="69"/>
  <c r="A14" i="69"/>
  <c r="A31" i="69" s="1"/>
  <c r="I13" i="69"/>
  <c r="A13" i="69"/>
  <c r="A30" i="69" s="1"/>
  <c r="I12" i="69"/>
  <c r="A12" i="69"/>
  <c r="A29" i="69" s="1"/>
  <c r="I11" i="69"/>
  <c r="A11" i="69"/>
  <c r="A28" i="69" s="1"/>
  <c r="I10" i="69"/>
  <c r="A10" i="69"/>
  <c r="A27" i="69" s="1"/>
  <c r="I9" i="69"/>
  <c r="A9" i="69"/>
  <c r="A26" i="69" s="1"/>
  <c r="I8" i="69"/>
  <c r="A8" i="69"/>
  <c r="A25" i="69" s="1"/>
  <c r="I7" i="69"/>
  <c r="A7" i="69"/>
  <c r="A24" i="69" s="1"/>
  <c r="A3" i="69"/>
  <c r="J41" i="66"/>
  <c r="I41" i="66"/>
  <c r="H41" i="66"/>
  <c r="G41" i="66"/>
  <c r="O36" i="66"/>
  <c r="N36" i="66"/>
  <c r="J36" i="66"/>
  <c r="I36" i="66"/>
  <c r="H36" i="66"/>
  <c r="G36" i="66"/>
  <c r="J19" i="66"/>
  <c r="I19" i="66"/>
  <c r="H19" i="66"/>
  <c r="G19" i="66"/>
  <c r="A18" i="66"/>
  <c r="A35" i="66" s="1"/>
  <c r="A17" i="66"/>
  <c r="A34" i="66" s="1"/>
  <c r="A16" i="66"/>
  <c r="A33" i="66" s="1"/>
  <c r="A15" i="66"/>
  <c r="A32" i="66" s="1"/>
  <c r="A14" i="66"/>
  <c r="A31" i="66" s="1"/>
  <c r="A13" i="66"/>
  <c r="A30" i="66" s="1"/>
  <c r="A12" i="66"/>
  <c r="A29" i="66" s="1"/>
  <c r="A11" i="66"/>
  <c r="A28" i="66" s="1"/>
  <c r="A10" i="66"/>
  <c r="A27" i="66" s="1"/>
  <c r="A9" i="66"/>
  <c r="A26" i="66" s="1"/>
  <c r="A8" i="66"/>
  <c r="A25" i="66" s="1"/>
  <c r="A7" i="66"/>
  <c r="A24" i="66" s="1"/>
  <c r="A3" i="66"/>
  <c r="I36" i="65"/>
  <c r="K36" i="65"/>
  <c r="J19" i="65"/>
  <c r="I19" i="65"/>
  <c r="A18" i="65"/>
  <c r="A35" i="65" s="1"/>
  <c r="A17" i="65"/>
  <c r="A34" i="65" s="1"/>
  <c r="A16" i="65"/>
  <c r="A33" i="65" s="1"/>
  <c r="A15" i="65"/>
  <c r="A32" i="65" s="1"/>
  <c r="A14" i="65"/>
  <c r="A31" i="65" s="1"/>
  <c r="A13" i="65"/>
  <c r="A30" i="65" s="1"/>
  <c r="A12" i="65"/>
  <c r="A29" i="65" s="1"/>
  <c r="A11" i="65"/>
  <c r="A28" i="65" s="1"/>
  <c r="A10" i="65"/>
  <c r="A27" i="65" s="1"/>
  <c r="A9" i="65"/>
  <c r="A26" i="65" s="1"/>
  <c r="A8" i="65"/>
  <c r="A25" i="65" s="1"/>
  <c r="A7" i="65"/>
  <c r="A24" i="65" s="1"/>
  <c r="A3" i="65"/>
  <c r="W12" i="43"/>
  <c r="W12" i="18"/>
  <c r="W110" i="18" s="1"/>
  <c r="W12" i="44"/>
  <c r="W54" i="44" s="1"/>
  <c r="AG11" i="44"/>
  <c r="C165" i="44"/>
  <c r="S158" i="44"/>
  <c r="K158" i="44"/>
  <c r="O156" i="44"/>
  <c r="M156" i="44"/>
  <c r="C149" i="44"/>
  <c r="AE142" i="44"/>
  <c r="U142" i="44"/>
  <c r="S142" i="44"/>
  <c r="Q142" i="44"/>
  <c r="K142" i="44"/>
  <c r="I142" i="44"/>
  <c r="U140" i="44"/>
  <c r="O140" i="44"/>
  <c r="M140" i="44"/>
  <c r="C133" i="44"/>
  <c r="U126" i="44"/>
  <c r="I126" i="44"/>
  <c r="U124" i="44"/>
  <c r="C117" i="44"/>
  <c r="U110" i="44"/>
  <c r="I110" i="44"/>
  <c r="W108" i="44"/>
  <c r="U108" i="44"/>
  <c r="C103" i="44"/>
  <c r="S96" i="44"/>
  <c r="Q96" i="44"/>
  <c r="K96" i="44"/>
  <c r="I96" i="44"/>
  <c r="O94" i="44"/>
  <c r="M94" i="44"/>
  <c r="C89" i="44"/>
  <c r="O80" i="44"/>
  <c r="M80" i="44"/>
  <c r="G80" i="44" s="1"/>
  <c r="O85" i="44" s="1"/>
  <c r="C75" i="44"/>
  <c r="S68" i="44"/>
  <c r="K68" i="44"/>
  <c r="I68" i="44"/>
  <c r="C61" i="44"/>
  <c r="AE54" i="44"/>
  <c r="U54" i="44"/>
  <c r="S54" i="44"/>
  <c r="Q54" i="44"/>
  <c r="K54" i="44"/>
  <c r="I54" i="44"/>
  <c r="W52" i="44"/>
  <c r="U52" i="44"/>
  <c r="O52" i="44"/>
  <c r="M52" i="44"/>
  <c r="C47" i="44"/>
  <c r="U40" i="44"/>
  <c r="S40" i="44"/>
  <c r="Q40" i="44"/>
  <c r="K40" i="44"/>
  <c r="I40" i="44"/>
  <c r="W38" i="44"/>
  <c r="U38" i="44"/>
  <c r="O38" i="44"/>
  <c r="M38" i="44"/>
  <c r="C33" i="44"/>
  <c r="U26" i="44"/>
  <c r="S26" i="44"/>
  <c r="Q26" i="44"/>
  <c r="K26" i="44"/>
  <c r="I26" i="44"/>
  <c r="U24" i="44"/>
  <c r="O24" i="44"/>
  <c r="M24" i="44"/>
  <c r="AO12" i="44"/>
  <c r="AG12" i="44" s="1"/>
  <c r="O12" i="44"/>
  <c r="O142" i="44" s="1"/>
  <c r="M12" i="44"/>
  <c r="M142" i="44" s="1"/>
  <c r="AE10" i="44"/>
  <c r="AE140" i="44" s="1"/>
  <c r="AO10" i="44"/>
  <c r="AG10" i="44" s="1"/>
  <c r="AC10" i="44"/>
  <c r="AA10" i="44"/>
  <c r="Y10" i="44"/>
  <c r="S10" i="44"/>
  <c r="S156" i="44" s="1"/>
  <c r="Q10" i="44"/>
  <c r="Q140" i="44" s="1"/>
  <c r="K10" i="44"/>
  <c r="K156" i="44" s="1"/>
  <c r="I10" i="44"/>
  <c r="I52" i="44" s="1"/>
  <c r="M157" i="44"/>
  <c r="M141" i="44"/>
  <c r="M95" i="44"/>
  <c r="M81" i="44"/>
  <c r="M39" i="44"/>
  <c r="M25" i="44"/>
  <c r="M53" i="44"/>
  <c r="O141" i="44"/>
  <c r="O157" i="44"/>
  <c r="O53" i="44"/>
  <c r="O95" i="44"/>
  <c r="O81" i="44"/>
  <c r="O39" i="44"/>
  <c r="O25" i="44"/>
  <c r="AK12" i="43"/>
  <c r="AK10" i="43"/>
  <c r="C165" i="43"/>
  <c r="S158" i="43"/>
  <c r="K158" i="43"/>
  <c r="O156" i="43"/>
  <c r="M156" i="43"/>
  <c r="C149" i="43"/>
  <c r="AW142" i="43"/>
  <c r="U142" i="43"/>
  <c r="S142" i="43"/>
  <c r="Q142" i="43"/>
  <c r="K142" i="43"/>
  <c r="I142" i="43"/>
  <c r="U140" i="43"/>
  <c r="O140" i="43"/>
  <c r="M140" i="43"/>
  <c r="C133" i="43"/>
  <c r="U126" i="43"/>
  <c r="I126" i="43"/>
  <c r="U124" i="43"/>
  <c r="C117" i="43"/>
  <c r="U110" i="43"/>
  <c r="I110" i="43"/>
  <c r="W108" i="43"/>
  <c r="U108" i="43"/>
  <c r="C103" i="43"/>
  <c r="S96" i="43"/>
  <c r="Q96" i="43"/>
  <c r="K96" i="43"/>
  <c r="I96" i="43"/>
  <c r="O94" i="43"/>
  <c r="M94" i="43"/>
  <c r="C89" i="43"/>
  <c r="O80" i="43"/>
  <c r="M80" i="43"/>
  <c r="C75" i="43"/>
  <c r="S68" i="43"/>
  <c r="K68" i="43"/>
  <c r="I68" i="43"/>
  <c r="C61" i="43"/>
  <c r="AW54" i="43"/>
  <c r="U54" i="43"/>
  <c r="S54" i="43"/>
  <c r="Q54" i="43"/>
  <c r="K54" i="43"/>
  <c r="I54" i="43"/>
  <c r="W52" i="43"/>
  <c r="U52" i="43"/>
  <c r="O52" i="43"/>
  <c r="M52" i="43"/>
  <c r="C47" i="43"/>
  <c r="U40" i="43"/>
  <c r="S40" i="43"/>
  <c r="Q40" i="43"/>
  <c r="K40" i="43"/>
  <c r="I40" i="43"/>
  <c r="W38" i="43"/>
  <c r="U38" i="43"/>
  <c r="O38" i="43"/>
  <c r="M38" i="43"/>
  <c r="C33" i="43"/>
  <c r="U26" i="43"/>
  <c r="S26" i="43"/>
  <c r="Q26" i="43"/>
  <c r="K26" i="43"/>
  <c r="I26" i="43"/>
  <c r="U24" i="43"/>
  <c r="O24" i="43"/>
  <c r="M24" i="43"/>
  <c r="O12" i="43"/>
  <c r="O142" i="43" s="1"/>
  <c r="M12" i="43"/>
  <c r="M142" i="43" s="1"/>
  <c r="AW10" i="43"/>
  <c r="AG10" i="43"/>
  <c r="AE10" i="43"/>
  <c r="Y10" i="43"/>
  <c r="S10" i="43"/>
  <c r="S140" i="43" s="1"/>
  <c r="Q10" i="43"/>
  <c r="Q94" i="43" s="1"/>
  <c r="K10" i="43"/>
  <c r="K52" i="43" s="1"/>
  <c r="I10" i="43"/>
  <c r="I108" i="43" s="1"/>
  <c r="AW142" i="18"/>
  <c r="C165" i="18"/>
  <c r="C149" i="18"/>
  <c r="C133" i="18"/>
  <c r="C117" i="18"/>
  <c r="C103" i="18"/>
  <c r="C89" i="18"/>
  <c r="C75" i="18"/>
  <c r="C61" i="18"/>
  <c r="C47" i="18"/>
  <c r="C33" i="18"/>
  <c r="AW54" i="18"/>
  <c r="W108" i="18"/>
  <c r="U142" i="18"/>
  <c r="U140" i="18"/>
  <c r="U126" i="18"/>
  <c r="U124" i="18"/>
  <c r="U110" i="18"/>
  <c r="U108" i="18"/>
  <c r="S158" i="18"/>
  <c r="S142" i="18"/>
  <c r="S96" i="18"/>
  <c r="Q142" i="18"/>
  <c r="Q96" i="18"/>
  <c r="O156" i="18"/>
  <c r="O140" i="18"/>
  <c r="O94" i="18"/>
  <c r="O80" i="18"/>
  <c r="M156" i="18"/>
  <c r="M140" i="18"/>
  <c r="K96" i="18"/>
  <c r="M94" i="18"/>
  <c r="M80" i="18"/>
  <c r="K158" i="18"/>
  <c r="K142" i="18"/>
  <c r="I142" i="18"/>
  <c r="I126" i="18"/>
  <c r="I110" i="18"/>
  <c r="I40" i="18"/>
  <c r="AW10" i="18"/>
  <c r="AW140" i="18" s="1"/>
  <c r="AK10" i="18"/>
  <c r="AG10" i="18"/>
  <c r="AE10" i="18"/>
  <c r="Y10" i="18"/>
  <c r="S10" i="18"/>
  <c r="S52" i="18" s="1"/>
  <c r="K10" i="18"/>
  <c r="K156" i="18" s="1"/>
  <c r="Q10" i="18"/>
  <c r="Q38" i="18" s="1"/>
  <c r="I10" i="18"/>
  <c r="I24" i="18" s="1"/>
  <c r="O12" i="18"/>
  <c r="O82" i="18" s="1"/>
  <c r="M12" i="18"/>
  <c r="M158" i="18" s="1"/>
  <c r="S157" i="44"/>
  <c r="S67" i="44"/>
  <c r="S95" i="44"/>
  <c r="S25" i="44"/>
  <c r="S141" i="44"/>
  <c r="S53" i="44"/>
  <c r="S39" i="44"/>
  <c r="M96" i="18"/>
  <c r="M24" i="18"/>
  <c r="O24" i="18"/>
  <c r="U24" i="18"/>
  <c r="I96" i="18"/>
  <c r="K26" i="18"/>
  <c r="Q26" i="18"/>
  <c r="S26" i="18"/>
  <c r="U26" i="18"/>
  <c r="M52" i="18"/>
  <c r="O52" i="18"/>
  <c r="U52" i="18"/>
  <c r="W52" i="18"/>
  <c r="I54" i="18"/>
  <c r="K54" i="18"/>
  <c r="Q54" i="18"/>
  <c r="S54" i="18"/>
  <c r="U54" i="18"/>
  <c r="I68" i="18"/>
  <c r="K68" i="18"/>
  <c r="S68" i="18"/>
  <c r="M38" i="18"/>
  <c r="O38" i="18"/>
  <c r="U38" i="18"/>
  <c r="W38" i="18"/>
  <c r="K40" i="18"/>
  <c r="Q40" i="18"/>
  <c r="S40" i="18"/>
  <c r="U40" i="18"/>
  <c r="H16" i="14"/>
  <c r="F11" i="19"/>
  <c r="D12" i="19"/>
  <c r="H12" i="19"/>
  <c r="I26" i="18"/>
  <c r="F14" i="19"/>
  <c r="Q95" i="44"/>
  <c r="Q25" i="44"/>
  <c r="Q141" i="44"/>
  <c r="Q39" i="44"/>
  <c r="Q53" i="44"/>
  <c r="I141" i="44"/>
  <c r="I109" i="44"/>
  <c r="I67" i="44"/>
  <c r="I25" i="44"/>
  <c r="I125" i="44"/>
  <c r="I95" i="44"/>
  <c r="I39" i="44"/>
  <c r="I53" i="44"/>
  <c r="K141" i="44"/>
  <c r="K53" i="44"/>
  <c r="K67" i="44"/>
  <c r="K25" i="44"/>
  <c r="K157" i="44"/>
  <c r="K95" i="44"/>
  <c r="K39" i="44"/>
  <c r="I94" i="44"/>
  <c r="D14" i="19"/>
  <c r="D11" i="19"/>
  <c r="O158" i="18"/>
  <c r="O54" i="18"/>
  <c r="S38" i="43"/>
  <c r="M40" i="44"/>
  <c r="B4" i="33"/>
  <c r="B8" i="33"/>
  <c r="E8" i="33" s="1"/>
  <c r="W11" i="74"/>
  <c r="W17" i="74" l="1"/>
  <c r="C19" i="65"/>
  <c r="B36" i="66"/>
  <c r="AW11" i="18"/>
  <c r="AW53" i="18" s="1"/>
  <c r="I124" i="18"/>
  <c r="G124" i="18" s="1"/>
  <c r="M129" i="18" s="1"/>
  <c r="O26" i="18"/>
  <c r="Q94" i="18"/>
  <c r="I124" i="44"/>
  <c r="I24" i="44"/>
  <c r="K15" i="74"/>
  <c r="B19" i="73"/>
  <c r="B41" i="73" s="1"/>
  <c r="B19" i="69"/>
  <c r="B41" i="69" s="1"/>
  <c r="M24" i="66"/>
  <c r="S24" i="18"/>
  <c r="S66" i="18"/>
  <c r="O26" i="44"/>
  <c r="Q24" i="44"/>
  <c r="O96" i="44"/>
  <c r="I34" i="73"/>
  <c r="L24" i="65"/>
  <c r="M24" i="65" s="1"/>
  <c r="L26" i="65"/>
  <c r="M26" i="65" s="1"/>
  <c r="I41" i="65"/>
  <c r="F24" i="66"/>
  <c r="P24" i="66" s="1"/>
  <c r="D36" i="66"/>
  <c r="M25" i="66"/>
  <c r="M27" i="66"/>
  <c r="M29" i="66"/>
  <c r="M31" i="66"/>
  <c r="Q52" i="18"/>
  <c r="Q24" i="18"/>
  <c r="G126" i="18"/>
  <c r="S131" i="18" s="1"/>
  <c r="K66" i="43"/>
  <c r="I108" i="44"/>
  <c r="G108" i="44" s="1"/>
  <c r="AE52" i="44"/>
  <c r="AE186" i="74"/>
  <c r="O186" i="74"/>
  <c r="I34" i="69"/>
  <c r="D19" i="69"/>
  <c r="D41" i="69" s="1"/>
  <c r="G19" i="69"/>
  <c r="G41" i="69" s="1"/>
  <c r="L7" i="65"/>
  <c r="M7" i="65" s="1"/>
  <c r="B19" i="66"/>
  <c r="K19" i="66"/>
  <c r="F16" i="66"/>
  <c r="D19" i="66"/>
  <c r="N19" i="66"/>
  <c r="N41" i="66" s="1"/>
  <c r="M14" i="66"/>
  <c r="F18" i="66"/>
  <c r="M18" i="66"/>
  <c r="K36" i="66"/>
  <c r="F28" i="66"/>
  <c r="M28" i="66"/>
  <c r="F30" i="66"/>
  <c r="M30" i="66"/>
  <c r="G22" i="9"/>
  <c r="L16" i="14"/>
  <c r="O142" i="18"/>
  <c r="S156" i="18"/>
  <c r="G156" i="18" s="1"/>
  <c r="Q140" i="18"/>
  <c r="S94" i="18"/>
  <c r="S38" i="18"/>
  <c r="S140" i="18"/>
  <c r="O40" i="18"/>
  <c r="M82" i="43"/>
  <c r="S66" i="43"/>
  <c r="G124" i="44"/>
  <c r="S129" i="44" s="1"/>
  <c r="W110" i="44"/>
  <c r="G110" i="44" s="1"/>
  <c r="M158" i="44"/>
  <c r="W40" i="44"/>
  <c r="AG15" i="74"/>
  <c r="M186" i="74"/>
  <c r="B19" i="65"/>
  <c r="K186" i="74"/>
  <c r="Q186" i="74"/>
  <c r="F32" i="66"/>
  <c r="O96" i="43"/>
  <c r="O54" i="43"/>
  <c r="S52" i="43"/>
  <c r="S156" i="43"/>
  <c r="K156" i="43"/>
  <c r="F34" i="66"/>
  <c r="M35" i="66"/>
  <c r="S140" i="44"/>
  <c r="H19" i="69"/>
  <c r="H41" i="69" s="1"/>
  <c r="I18" i="69"/>
  <c r="G81" i="44"/>
  <c r="M86" i="44" s="1"/>
  <c r="G80" i="18"/>
  <c r="M85" i="18" s="1"/>
  <c r="Q94" i="44"/>
  <c r="I140" i="44"/>
  <c r="G140" i="44" s="1"/>
  <c r="Q145" i="44" s="1"/>
  <c r="Q52" i="44"/>
  <c r="I38" i="44"/>
  <c r="I66" i="44"/>
  <c r="G157" i="44"/>
  <c r="Q162" i="44" s="1"/>
  <c r="O54" i="44"/>
  <c r="O158" i="44"/>
  <c r="Q38" i="44"/>
  <c r="G68" i="44"/>
  <c r="S87" i="44" s="1"/>
  <c r="G126" i="44"/>
  <c r="U131" i="44" s="1"/>
  <c r="AW11" i="43"/>
  <c r="AW53" i="43" s="1"/>
  <c r="K24" i="18"/>
  <c r="W40" i="18"/>
  <c r="Q52" i="43"/>
  <c r="M40" i="43"/>
  <c r="M158" i="43"/>
  <c r="Q24" i="43"/>
  <c r="M54" i="43"/>
  <c r="M96" i="43"/>
  <c r="G67" i="44"/>
  <c r="S86" i="44" s="1"/>
  <c r="AE15" i="74"/>
  <c r="G12" i="44"/>
  <c r="BF17" i="44" s="1"/>
  <c r="K66" i="18"/>
  <c r="K94" i="18"/>
  <c r="I94" i="18"/>
  <c r="W54" i="18"/>
  <c r="S94" i="43"/>
  <c r="S24" i="43"/>
  <c r="K24" i="43"/>
  <c r="K94" i="43"/>
  <c r="K140" i="43"/>
  <c r="K38" i="43"/>
  <c r="G108" i="43"/>
  <c r="W113" i="43" s="1"/>
  <c r="M54" i="44"/>
  <c r="G72" i="74"/>
  <c r="S77" i="74" s="1"/>
  <c r="G116" i="74"/>
  <c r="U121" i="74" s="1"/>
  <c r="G86" i="74"/>
  <c r="M26" i="44"/>
  <c r="G26" i="44" s="1"/>
  <c r="M96" i="44"/>
  <c r="M7" i="66"/>
  <c r="G58" i="74"/>
  <c r="S63" i="74" s="1"/>
  <c r="G88" i="74"/>
  <c r="O93" i="74" s="1"/>
  <c r="G148" i="74"/>
  <c r="AE153" i="74" s="1"/>
  <c r="G118" i="74"/>
  <c r="U123" i="74" s="1"/>
  <c r="G150" i="74"/>
  <c r="U155" i="74" s="1"/>
  <c r="G166" i="74"/>
  <c r="O171" i="74" s="1"/>
  <c r="G44" i="74"/>
  <c r="W49" i="74" s="1"/>
  <c r="G164" i="74"/>
  <c r="S169" i="74" s="1"/>
  <c r="G24" i="74"/>
  <c r="U29" i="74" s="1"/>
  <c r="G101" i="74"/>
  <c r="O106" i="74" s="1"/>
  <c r="G134" i="74"/>
  <c r="M139" i="74" s="1"/>
  <c r="G87" i="74"/>
  <c r="O92" i="74" s="1"/>
  <c r="F7" i="66"/>
  <c r="E14" i="13"/>
  <c r="F11" i="13" s="1"/>
  <c r="G68" i="18"/>
  <c r="S73" i="18" s="1"/>
  <c r="M54" i="18"/>
  <c r="I52" i="18"/>
  <c r="H27" i="14"/>
  <c r="H19" i="14"/>
  <c r="J19" i="14" s="1"/>
  <c r="H14" i="14"/>
  <c r="H23" i="14"/>
  <c r="H17" i="14"/>
  <c r="H21" i="14"/>
  <c r="H25" i="14"/>
  <c r="H26" i="14"/>
  <c r="J26" i="14" s="1"/>
  <c r="C33" i="14"/>
  <c r="C35" i="14" s="1"/>
  <c r="H13" i="19"/>
  <c r="H18" i="14"/>
  <c r="C14" i="13"/>
  <c r="D11" i="13" s="1"/>
  <c r="M40" i="18"/>
  <c r="G126" i="43"/>
  <c r="Q131" i="43" s="1"/>
  <c r="D13" i="19"/>
  <c r="D16" i="19" s="1"/>
  <c r="D15" i="12"/>
  <c r="AW52" i="18"/>
  <c r="K52" i="18"/>
  <c r="K140" i="18"/>
  <c r="G10" i="18"/>
  <c r="AW15" i="18" s="1"/>
  <c r="I108" i="18"/>
  <c r="G108" i="18" s="1"/>
  <c r="W113" i="18" s="1"/>
  <c r="I38" i="18"/>
  <c r="G12" i="18"/>
  <c r="M17" i="18" s="1"/>
  <c r="K38" i="18"/>
  <c r="G110" i="18"/>
  <c r="W115" i="18" s="1"/>
  <c r="M17" i="44"/>
  <c r="AC17" i="44"/>
  <c r="S38" i="44"/>
  <c r="D19" i="73"/>
  <c r="D41" i="73" s="1"/>
  <c r="L9" i="65"/>
  <c r="M9" i="65" s="1"/>
  <c r="L17" i="65"/>
  <c r="M17" i="65" s="1"/>
  <c r="B36" i="65"/>
  <c r="D36" i="65"/>
  <c r="F36" i="65"/>
  <c r="H36" i="65"/>
  <c r="L25" i="65"/>
  <c r="M25" i="65" s="1"/>
  <c r="L33" i="65"/>
  <c r="M33" i="65" s="1"/>
  <c r="M11" i="43"/>
  <c r="M157" i="43" s="1"/>
  <c r="M11" i="18"/>
  <c r="M81" i="18" s="1"/>
  <c r="H13" i="14"/>
  <c r="H22" i="14"/>
  <c r="S17" i="44"/>
  <c r="K87" i="44"/>
  <c r="G95" i="44"/>
  <c r="O100" i="44" s="1"/>
  <c r="S66" i="44"/>
  <c r="K66" i="44"/>
  <c r="M82" i="44"/>
  <c r="AK17" i="74"/>
  <c r="Q17" i="74"/>
  <c r="AA17" i="74"/>
  <c r="G60" i="74"/>
  <c r="W93" i="74" s="1"/>
  <c r="AG17" i="74"/>
  <c r="Y17" i="74"/>
  <c r="BB17" i="74"/>
  <c r="AQ17" i="74"/>
  <c r="AO17" i="74"/>
  <c r="U17" i="74"/>
  <c r="AC17" i="74"/>
  <c r="AS17" i="74"/>
  <c r="K17" i="74"/>
  <c r="AI17" i="74"/>
  <c r="AY17" i="74"/>
  <c r="AW17" i="74"/>
  <c r="BF17" i="74"/>
  <c r="S17" i="74"/>
  <c r="AE17" i="74"/>
  <c r="AM17" i="74"/>
  <c r="AU17" i="74"/>
  <c r="BD17" i="74"/>
  <c r="Q155" i="74"/>
  <c r="K29" i="74"/>
  <c r="Y15" i="74"/>
  <c r="AO15" i="74"/>
  <c r="Q15" i="74"/>
  <c r="M15" i="74"/>
  <c r="AS15" i="74"/>
  <c r="AC15" i="74"/>
  <c r="U15" i="74"/>
  <c r="BB15" i="74"/>
  <c r="AK15" i="74"/>
  <c r="AW15" i="74"/>
  <c r="O15" i="74"/>
  <c r="BF15" i="74"/>
  <c r="W15" i="74"/>
  <c r="AM15" i="74"/>
  <c r="AU15" i="74"/>
  <c r="AI15" i="74"/>
  <c r="AQ15" i="74"/>
  <c r="BD15" i="74"/>
  <c r="AY15" i="74"/>
  <c r="K137" i="74"/>
  <c r="H19" i="65"/>
  <c r="L27" i="65"/>
  <c r="M27" i="65" s="1"/>
  <c r="L30" i="65"/>
  <c r="M30" i="65" s="1"/>
  <c r="L31" i="65"/>
  <c r="M31" i="65" s="1"/>
  <c r="L32" i="65"/>
  <c r="M32" i="65" s="1"/>
  <c r="C19" i="66"/>
  <c r="E19" i="66"/>
  <c r="L19" i="66"/>
  <c r="AW141" i="18"/>
  <c r="I66" i="18"/>
  <c r="O96" i="18"/>
  <c r="G96" i="18" s="1"/>
  <c r="I140" i="18"/>
  <c r="G140" i="18" s="1"/>
  <c r="S145" i="18" s="1"/>
  <c r="AI17" i="44"/>
  <c r="BD17" i="44"/>
  <c r="AA17" i="44"/>
  <c r="K140" i="44"/>
  <c r="G46" i="74"/>
  <c r="U51" i="74" s="1"/>
  <c r="S15" i="74"/>
  <c r="K153" i="74"/>
  <c r="I17" i="73"/>
  <c r="F19" i="73"/>
  <c r="F41" i="73" s="1"/>
  <c r="I35" i="73"/>
  <c r="C19" i="69"/>
  <c r="C41" i="69" s="1"/>
  <c r="F19" i="69"/>
  <c r="F41" i="69" s="1"/>
  <c r="D19" i="65"/>
  <c r="F19" i="65"/>
  <c r="K19" i="65"/>
  <c r="K41" i="65" s="1"/>
  <c r="L10" i="65"/>
  <c r="M10" i="65" s="1"/>
  <c r="L12" i="65"/>
  <c r="M12" i="65" s="1"/>
  <c r="L14" i="65"/>
  <c r="M14" i="65" s="1"/>
  <c r="F25" i="66"/>
  <c r="O19" i="66"/>
  <c r="O41" i="66" s="1"/>
  <c r="F8" i="66"/>
  <c r="M8" i="66"/>
  <c r="F11" i="66"/>
  <c r="F13" i="66"/>
  <c r="M13" i="66"/>
  <c r="M15" i="66"/>
  <c r="F29" i="66"/>
  <c r="H11" i="19"/>
  <c r="J11" i="19" s="1"/>
  <c r="G37" i="9"/>
  <c r="M82" i="18"/>
  <c r="G82" i="18" s="1"/>
  <c r="M87" i="18" s="1"/>
  <c r="G142" i="43"/>
  <c r="M147" i="43" s="1"/>
  <c r="I52" i="43"/>
  <c r="M26" i="43"/>
  <c r="G156" i="44"/>
  <c r="S161" i="44" s="1"/>
  <c r="M85" i="44"/>
  <c r="S24" i="44"/>
  <c r="S52" i="44"/>
  <c r="S94" i="44"/>
  <c r="K52" i="44"/>
  <c r="G52" i="44" s="1"/>
  <c r="G36" i="9"/>
  <c r="E19" i="65"/>
  <c r="L11" i="65"/>
  <c r="M11" i="65" s="1"/>
  <c r="L13" i="65"/>
  <c r="M13" i="65" s="1"/>
  <c r="L15" i="65"/>
  <c r="L18" i="65"/>
  <c r="M18" i="65" s="1"/>
  <c r="L35" i="65"/>
  <c r="M35" i="65" s="1"/>
  <c r="F9" i="66"/>
  <c r="M9" i="66"/>
  <c r="F10" i="66"/>
  <c r="M10" i="66"/>
  <c r="M12" i="66"/>
  <c r="F14" i="66"/>
  <c r="F15" i="66"/>
  <c r="G68" i="43"/>
  <c r="K73" i="43" s="1"/>
  <c r="G80" i="43"/>
  <c r="M15" i="65"/>
  <c r="G26" i="74"/>
  <c r="M17" i="66"/>
  <c r="C36" i="66"/>
  <c r="E36" i="66"/>
  <c r="F26" i="66"/>
  <c r="M26" i="66"/>
  <c r="F27" i="66"/>
  <c r="M33" i="66"/>
  <c r="I17" i="69"/>
  <c r="I35" i="69"/>
  <c r="O17" i="74"/>
  <c r="G19" i="73"/>
  <c r="G41" i="73" s="1"/>
  <c r="G74" i="74"/>
  <c r="K93" i="74" s="1"/>
  <c r="C19" i="73"/>
  <c r="C41" i="73" s="1"/>
  <c r="H19" i="73"/>
  <c r="H41" i="73" s="1"/>
  <c r="I18" i="73"/>
  <c r="B6" i="33"/>
  <c r="E6" i="33" s="1"/>
  <c r="S11" i="43" s="1"/>
  <c r="G19" i="65"/>
  <c r="L8" i="65"/>
  <c r="M8" i="65" s="1"/>
  <c r="L16" i="65"/>
  <c r="M16" i="65" s="1"/>
  <c r="L28" i="65"/>
  <c r="M28" i="65" s="1"/>
  <c r="L29" i="65"/>
  <c r="M29" i="65" s="1"/>
  <c r="L34" i="65"/>
  <c r="M34" i="65" s="1"/>
  <c r="M11" i="66"/>
  <c r="F12" i="66"/>
  <c r="M16" i="66"/>
  <c r="F17" i="66"/>
  <c r="L36" i="66"/>
  <c r="F31" i="66"/>
  <c r="M32" i="66"/>
  <c r="F33" i="66"/>
  <c r="M34" i="66"/>
  <c r="F35" i="66"/>
  <c r="J16" i="14"/>
  <c r="H15" i="14"/>
  <c r="L15" i="14" s="1"/>
  <c r="H20" i="14"/>
  <c r="H24" i="14"/>
  <c r="L24" i="14" s="1"/>
  <c r="H12" i="14"/>
  <c r="L12" i="14" s="1"/>
  <c r="H14" i="19"/>
  <c r="G158" i="18"/>
  <c r="M163" i="18" s="1"/>
  <c r="Q131" i="18"/>
  <c r="M26" i="18"/>
  <c r="M142" i="18"/>
  <c r="I140" i="43"/>
  <c r="I66" i="43"/>
  <c r="I24" i="43"/>
  <c r="G10" i="43"/>
  <c r="Y15" i="43" s="1"/>
  <c r="Q38" i="43"/>
  <c r="Q140" i="43"/>
  <c r="U147" i="43"/>
  <c r="I38" i="43"/>
  <c r="I94" i="43"/>
  <c r="I124" i="43"/>
  <c r="G124" i="43" s="1"/>
  <c r="AW140" i="43"/>
  <c r="AW52" i="43"/>
  <c r="O158" i="43"/>
  <c r="O26" i="43"/>
  <c r="O40" i="43"/>
  <c r="O82" i="43"/>
  <c r="G12" i="43"/>
  <c r="W110" i="43"/>
  <c r="G110" i="43" s="1"/>
  <c r="W54" i="43"/>
  <c r="W40" i="43"/>
  <c r="O131" i="44"/>
  <c r="M131" i="44"/>
  <c r="Q131" i="44"/>
  <c r="M162" i="44"/>
  <c r="AE141" i="44"/>
  <c r="O86" i="44"/>
  <c r="K24" i="44"/>
  <c r="K38" i="44"/>
  <c r="K94" i="44"/>
  <c r="G103" i="74"/>
  <c r="K108" i="74" s="1"/>
  <c r="S11" i="18"/>
  <c r="G10" i="44"/>
  <c r="C4" i="33"/>
  <c r="W11" i="44"/>
  <c r="W11" i="18"/>
  <c r="W11" i="43"/>
  <c r="U129" i="18"/>
  <c r="Q129" i="18"/>
  <c r="O129" i="44"/>
  <c r="Q129" i="44"/>
  <c r="U129" i="44"/>
  <c r="G142" i="44"/>
  <c r="O147" i="44" s="1"/>
  <c r="U137" i="74"/>
  <c r="S137" i="74"/>
  <c r="Q137" i="74"/>
  <c r="O137" i="74"/>
  <c r="M137" i="74"/>
  <c r="F12" i="19"/>
  <c r="J12" i="19" s="1"/>
  <c r="N12" i="19" s="1"/>
  <c r="F13" i="19"/>
  <c r="O40" i="44"/>
  <c r="O82" i="44"/>
  <c r="C36" i="65"/>
  <c r="E36" i="65"/>
  <c r="G36" i="65"/>
  <c r="P31" i="66" l="1"/>
  <c r="P7" i="66"/>
  <c r="B41" i="66"/>
  <c r="W115" i="44"/>
  <c r="U115" i="44"/>
  <c r="S129" i="18"/>
  <c r="O129" i="18"/>
  <c r="U113" i="18"/>
  <c r="U131" i="18"/>
  <c r="C41" i="66"/>
  <c r="P25" i="66"/>
  <c r="S155" i="74"/>
  <c r="O155" i="74"/>
  <c r="L41" i="66"/>
  <c r="P27" i="66"/>
  <c r="P14" i="66"/>
  <c r="P10" i="66"/>
  <c r="M155" i="74"/>
  <c r="W65" i="74"/>
  <c r="K49" i="74"/>
  <c r="S49" i="74"/>
  <c r="O49" i="74"/>
  <c r="I36" i="73"/>
  <c r="I19" i="69"/>
  <c r="C41" i="65"/>
  <c r="P18" i="66"/>
  <c r="P35" i="66"/>
  <c r="P32" i="66"/>
  <c r="K41" i="66"/>
  <c r="G24" i="18"/>
  <c r="Q29" i="18" s="1"/>
  <c r="S87" i="43"/>
  <c r="M131" i="43"/>
  <c r="G96" i="43"/>
  <c r="K101" i="43" s="1"/>
  <c r="S100" i="44"/>
  <c r="M129" i="44"/>
  <c r="K131" i="44"/>
  <c r="BB17" i="44"/>
  <c r="I36" i="69"/>
  <c r="L36" i="65"/>
  <c r="P26" i="66"/>
  <c r="P34" i="66"/>
  <c r="P30" i="66"/>
  <c r="D41" i="66"/>
  <c r="P29" i="66"/>
  <c r="P28" i="66"/>
  <c r="U115" i="18"/>
  <c r="K131" i="43"/>
  <c r="O131" i="43"/>
  <c r="U113" i="43"/>
  <c r="I113" i="43" s="1"/>
  <c r="G113" i="43" s="1"/>
  <c r="U131" i="43"/>
  <c r="S131" i="43"/>
  <c r="U113" i="44"/>
  <c r="W113" i="44"/>
  <c r="K86" i="44"/>
  <c r="S131" i="44"/>
  <c r="AY17" i="44"/>
  <c r="AO17" i="44"/>
  <c r="M100" i="44"/>
  <c r="K72" i="44"/>
  <c r="Q100" i="44"/>
  <c r="S153" i="74"/>
  <c r="Q49" i="74"/>
  <c r="W121" i="74"/>
  <c r="I121" i="74" s="1"/>
  <c r="G121" i="74" s="1"/>
  <c r="U49" i="74"/>
  <c r="U139" i="74"/>
  <c r="M49" i="74"/>
  <c r="D5" i="33"/>
  <c r="P33" i="66"/>
  <c r="P11" i="66"/>
  <c r="P13" i="66"/>
  <c r="P8" i="66"/>
  <c r="K73" i="18"/>
  <c r="K131" i="18"/>
  <c r="K87" i="18"/>
  <c r="Q145" i="18"/>
  <c r="M131" i="18"/>
  <c r="O131" i="18"/>
  <c r="G156" i="43"/>
  <c r="Q161" i="43" s="1"/>
  <c r="K100" i="44"/>
  <c r="Y17" i="44"/>
  <c r="AK17" i="44"/>
  <c r="O17" i="44"/>
  <c r="I161" i="44"/>
  <c r="U17" i="44"/>
  <c r="AM17" i="44"/>
  <c r="AQ17" i="44"/>
  <c r="W17" i="44"/>
  <c r="AU17" i="44"/>
  <c r="D3" i="33"/>
  <c r="E41" i="65"/>
  <c r="F41" i="65"/>
  <c r="P17" i="66"/>
  <c r="P16" i="66"/>
  <c r="E41" i="66"/>
  <c r="P15" i="66"/>
  <c r="P12" i="66"/>
  <c r="G32" i="4"/>
  <c r="M26" i="14"/>
  <c r="G28" i="9"/>
  <c r="L22" i="14"/>
  <c r="G25" i="4"/>
  <c r="M19" i="14"/>
  <c r="G27" i="9"/>
  <c r="L21" i="14"/>
  <c r="G25" i="9"/>
  <c r="L19" i="14"/>
  <c r="G22" i="4"/>
  <c r="M16" i="14"/>
  <c r="G19" i="9"/>
  <c r="L13" i="14"/>
  <c r="G23" i="9"/>
  <c r="L17" i="14"/>
  <c r="G33" i="9"/>
  <c r="L27" i="14"/>
  <c r="G24" i="9"/>
  <c r="L18" i="14"/>
  <c r="G32" i="9"/>
  <c r="L26" i="14"/>
  <c r="G29" i="9"/>
  <c r="L23" i="14"/>
  <c r="G26" i="9"/>
  <c r="L20" i="14"/>
  <c r="G31" i="9"/>
  <c r="L25" i="14"/>
  <c r="G20" i="9"/>
  <c r="L14" i="14"/>
  <c r="O85" i="18"/>
  <c r="K15" i="18"/>
  <c r="O87" i="18"/>
  <c r="G66" i="43"/>
  <c r="K71" i="43" s="1"/>
  <c r="I162" i="44"/>
  <c r="Q161" i="44"/>
  <c r="S73" i="44"/>
  <c r="K73" i="44"/>
  <c r="S162" i="44"/>
  <c r="S72" i="44"/>
  <c r="O162" i="44"/>
  <c r="M161" i="44"/>
  <c r="G158" i="44"/>
  <c r="O163" i="44" s="1"/>
  <c r="O161" i="44"/>
  <c r="AS17" i="44"/>
  <c r="K17" i="44"/>
  <c r="Q17" i="44"/>
  <c r="AW17" i="44"/>
  <c r="AE17" i="44"/>
  <c r="AG17" i="44"/>
  <c r="M29" i="74"/>
  <c r="S29" i="74"/>
  <c r="AE155" i="74"/>
  <c r="Q79" i="74"/>
  <c r="I186" i="74"/>
  <c r="G186" i="74" s="1"/>
  <c r="S171" i="74"/>
  <c r="M108" i="74"/>
  <c r="O29" i="74"/>
  <c r="K155" i="74"/>
  <c r="G41" i="65"/>
  <c r="D41" i="65"/>
  <c r="H41" i="65"/>
  <c r="B41" i="65"/>
  <c r="N11" i="19"/>
  <c r="M11" i="19"/>
  <c r="M19" i="66"/>
  <c r="G54" i="43"/>
  <c r="I87" i="43" s="1"/>
  <c r="G94" i="43"/>
  <c r="K99" i="43" s="1"/>
  <c r="AW147" i="43"/>
  <c r="I17" i="74"/>
  <c r="G17" i="74" s="1"/>
  <c r="M171" i="74"/>
  <c r="P9" i="66"/>
  <c r="G54" i="44"/>
  <c r="J18" i="14"/>
  <c r="I41" i="69"/>
  <c r="AW141" i="43"/>
  <c r="M53" i="18"/>
  <c r="M157" i="18"/>
  <c r="Q163" i="44"/>
  <c r="S163" i="44"/>
  <c r="S165" i="44" s="1"/>
  <c r="M163" i="44"/>
  <c r="M25" i="43"/>
  <c r="M39" i="18"/>
  <c r="G40" i="18"/>
  <c r="S45" i="18" s="1"/>
  <c r="G54" i="18"/>
  <c r="AW59" i="18" s="1"/>
  <c r="G94" i="18"/>
  <c r="S99" i="18" s="1"/>
  <c r="Q108" i="74"/>
  <c r="J22" i="14"/>
  <c r="H16" i="19"/>
  <c r="M39" i="43"/>
  <c r="Q171" i="74"/>
  <c r="K106" i="74"/>
  <c r="Q169" i="74"/>
  <c r="S87" i="18"/>
  <c r="M53" i="43"/>
  <c r="M95" i="18"/>
  <c r="M141" i="18"/>
  <c r="U79" i="74"/>
  <c r="O65" i="74"/>
  <c r="M65" i="74"/>
  <c r="M92" i="74"/>
  <c r="G18" i="9"/>
  <c r="J12" i="14"/>
  <c r="M12" i="14" s="1"/>
  <c r="I19" i="73"/>
  <c r="G38" i="18"/>
  <c r="Q43" i="18" s="1"/>
  <c r="G52" i="43"/>
  <c r="U85" i="43" s="1"/>
  <c r="J21" i="14"/>
  <c r="J23" i="14"/>
  <c r="S101" i="18"/>
  <c r="Q101" i="18"/>
  <c r="M101" i="18"/>
  <c r="O101" i="18"/>
  <c r="K101" i="18"/>
  <c r="Q99" i="18"/>
  <c r="K99" i="18"/>
  <c r="G66" i="18"/>
  <c r="S85" i="18" s="1"/>
  <c r="S73" i="43"/>
  <c r="G24" i="43"/>
  <c r="Q29" i="43" s="1"/>
  <c r="S79" i="74"/>
  <c r="S65" i="74"/>
  <c r="U93" i="74"/>
  <c r="Q65" i="74"/>
  <c r="O79" i="74"/>
  <c r="I171" i="74"/>
  <c r="M93" i="74"/>
  <c r="W123" i="74"/>
  <c r="I123" i="74" s="1"/>
  <c r="G123" i="74" s="1"/>
  <c r="O91" i="74"/>
  <c r="O95" i="74" s="1"/>
  <c r="M91" i="74"/>
  <c r="S91" i="74"/>
  <c r="K91" i="74"/>
  <c r="K77" i="74"/>
  <c r="J27" i="14"/>
  <c r="M31" i="44"/>
  <c r="K31" i="44"/>
  <c r="O31" i="44"/>
  <c r="U31" i="44"/>
  <c r="Q31" i="44"/>
  <c r="S31" i="44"/>
  <c r="G96" i="44"/>
  <c r="K79" i="74"/>
  <c r="S93" i="74"/>
  <c r="W51" i="74"/>
  <c r="J14" i="14"/>
  <c r="J13" i="19"/>
  <c r="N13" i="19" s="1"/>
  <c r="J14" i="19"/>
  <c r="S11" i="74"/>
  <c r="S182" i="74" s="1"/>
  <c r="J25" i="14"/>
  <c r="H12" i="13"/>
  <c r="G42" i="9" s="1"/>
  <c r="H11" i="13"/>
  <c r="G41" i="9" s="1"/>
  <c r="E18" i="13"/>
  <c r="E20" i="13" s="1"/>
  <c r="E22" i="13" s="1"/>
  <c r="F12" i="13"/>
  <c r="F14" i="13" s="1"/>
  <c r="G38" i="4"/>
  <c r="O108" i="74"/>
  <c r="I169" i="74"/>
  <c r="J17" i="14"/>
  <c r="M25" i="18"/>
  <c r="C18" i="13"/>
  <c r="C20" i="13" s="1"/>
  <c r="D12" i="13"/>
  <c r="D14" i="13" s="1"/>
  <c r="F15" i="12"/>
  <c r="G38" i="43"/>
  <c r="U43" i="43" s="1"/>
  <c r="M169" i="74"/>
  <c r="O169" i="74"/>
  <c r="Q15" i="18"/>
  <c r="S15" i="18"/>
  <c r="AO15" i="18"/>
  <c r="AA15" i="18"/>
  <c r="AM15" i="18"/>
  <c r="AE15" i="18"/>
  <c r="AS15" i="18"/>
  <c r="M15" i="18"/>
  <c r="O15" i="18"/>
  <c r="AK15" i="18"/>
  <c r="AC15" i="18"/>
  <c r="AU15" i="18"/>
  <c r="BC15" i="18"/>
  <c r="BA15" i="18"/>
  <c r="W15" i="18"/>
  <c r="U15" i="18"/>
  <c r="AI15" i="18"/>
  <c r="AQ15" i="18"/>
  <c r="K129" i="18"/>
  <c r="I129" i="18" s="1"/>
  <c r="G129" i="18" s="1"/>
  <c r="AY15" i="18"/>
  <c r="G52" i="18"/>
  <c r="AW57" i="18" s="1"/>
  <c r="AG15" i="18"/>
  <c r="AQ17" i="18"/>
  <c r="AS17" i="18"/>
  <c r="AO17" i="18"/>
  <c r="AC17" i="18"/>
  <c r="AU17" i="18"/>
  <c r="AA17" i="18"/>
  <c r="Q17" i="18"/>
  <c r="BC17" i="18"/>
  <c r="U17" i="18"/>
  <c r="AE17" i="18"/>
  <c r="O17" i="18"/>
  <c r="AI17" i="18"/>
  <c r="AY17" i="18"/>
  <c r="BA17" i="18"/>
  <c r="AG17" i="18"/>
  <c r="Y17" i="18"/>
  <c r="K17" i="18"/>
  <c r="AK17" i="18"/>
  <c r="W17" i="18"/>
  <c r="AM17" i="18"/>
  <c r="AW17" i="18"/>
  <c r="S17" i="18"/>
  <c r="K145" i="18"/>
  <c r="Y15" i="18"/>
  <c r="K87" i="43"/>
  <c r="G26" i="43"/>
  <c r="S31" i="43" s="1"/>
  <c r="O147" i="43"/>
  <c r="Q147" i="43"/>
  <c r="M81" i="43"/>
  <c r="M141" i="43"/>
  <c r="M95" i="43"/>
  <c r="G66" i="44"/>
  <c r="K71" i="44" s="1"/>
  <c r="Q106" i="74"/>
  <c r="Q29" i="74"/>
  <c r="K65" i="74"/>
  <c r="AE65" i="74"/>
  <c r="I93" i="74"/>
  <c r="W79" i="74"/>
  <c r="U65" i="74"/>
  <c r="M79" i="74"/>
  <c r="Q93" i="74"/>
  <c r="Q51" i="74"/>
  <c r="O153" i="74"/>
  <c r="Q139" i="74"/>
  <c r="S108" i="74"/>
  <c r="S139" i="74"/>
  <c r="M51" i="74"/>
  <c r="K51" i="74"/>
  <c r="M153" i="74"/>
  <c r="M106" i="74"/>
  <c r="O51" i="74"/>
  <c r="S51" i="74"/>
  <c r="U153" i="74"/>
  <c r="S106" i="74"/>
  <c r="Q153" i="74"/>
  <c r="I15" i="74"/>
  <c r="G15" i="74" s="1"/>
  <c r="K139" i="74"/>
  <c r="O139" i="74"/>
  <c r="I41" i="73"/>
  <c r="AG15" i="43"/>
  <c r="K63" i="74"/>
  <c r="W77" i="74"/>
  <c r="U91" i="74"/>
  <c r="I91" i="74"/>
  <c r="Q77" i="74"/>
  <c r="U63" i="74"/>
  <c r="M63" i="74"/>
  <c r="O63" i="74"/>
  <c r="AE63" i="74"/>
  <c r="W91" i="74"/>
  <c r="O77" i="74"/>
  <c r="Q91" i="74"/>
  <c r="U77" i="74"/>
  <c r="M77" i="74"/>
  <c r="W63" i="74"/>
  <c r="Q63" i="74"/>
  <c r="G38" i="9"/>
  <c r="J12" i="12"/>
  <c r="J11" i="12"/>
  <c r="I115" i="18"/>
  <c r="G115" i="18" s="1"/>
  <c r="K147" i="43"/>
  <c r="S147" i="43"/>
  <c r="AE145" i="44"/>
  <c r="B2" i="33"/>
  <c r="E2" i="33" s="1"/>
  <c r="I11" i="43" s="1"/>
  <c r="M36" i="66"/>
  <c r="I115" i="44"/>
  <c r="G115" i="44" s="1"/>
  <c r="F19" i="66"/>
  <c r="K31" i="74"/>
  <c r="M31" i="74"/>
  <c r="U31" i="74"/>
  <c r="S31" i="74"/>
  <c r="Q31" i="74"/>
  <c r="O31" i="74"/>
  <c r="O85" i="43"/>
  <c r="M85" i="43"/>
  <c r="M19" i="65"/>
  <c r="L19" i="65"/>
  <c r="F36" i="66"/>
  <c r="D29" i="14"/>
  <c r="J13" i="14"/>
  <c r="G17" i="9"/>
  <c r="H29" i="14"/>
  <c r="J20" i="14"/>
  <c r="G30" i="9"/>
  <c r="J24" i="14"/>
  <c r="G21" i="9"/>
  <c r="J15" i="14"/>
  <c r="U145" i="18"/>
  <c r="AW145" i="18"/>
  <c r="O145" i="18"/>
  <c r="M145" i="18"/>
  <c r="G142" i="18"/>
  <c r="M147" i="18" s="1"/>
  <c r="S161" i="18"/>
  <c r="Q161" i="18"/>
  <c r="O161" i="18"/>
  <c r="M161" i="18"/>
  <c r="I161" i="18"/>
  <c r="S163" i="18"/>
  <c r="O163" i="18"/>
  <c r="Q163" i="18"/>
  <c r="I163" i="18"/>
  <c r="G26" i="18"/>
  <c r="U115" i="43"/>
  <c r="W115" i="43"/>
  <c r="W73" i="43"/>
  <c r="M73" i="43"/>
  <c r="Q73" i="43"/>
  <c r="S59" i="43"/>
  <c r="Q87" i="43"/>
  <c r="U87" i="43"/>
  <c r="Q59" i="43"/>
  <c r="O59" i="43"/>
  <c r="M17" i="43"/>
  <c r="AQ17" i="43"/>
  <c r="AA17" i="43"/>
  <c r="BA17" i="43"/>
  <c r="AC17" i="43"/>
  <c r="BC17" i="43"/>
  <c r="AG17" i="43"/>
  <c r="AU17" i="43"/>
  <c r="K17" i="43"/>
  <c r="Y17" i="43"/>
  <c r="AY17" i="43"/>
  <c r="S17" i="43"/>
  <c r="U17" i="43"/>
  <c r="AW17" i="43"/>
  <c r="AE17" i="43"/>
  <c r="O17" i="43"/>
  <c r="AI17" i="43"/>
  <c r="AS17" i="43"/>
  <c r="AM17" i="43"/>
  <c r="Q17" i="43"/>
  <c r="AO17" i="43"/>
  <c r="G40" i="43"/>
  <c r="O99" i="43"/>
  <c r="W43" i="43"/>
  <c r="G158" i="43"/>
  <c r="K129" i="43"/>
  <c r="AQ15" i="43"/>
  <c r="W15" i="43"/>
  <c r="AO15" i="43"/>
  <c r="S15" i="43"/>
  <c r="AA15" i="43"/>
  <c r="M15" i="43"/>
  <c r="AM15" i="43"/>
  <c r="AC15" i="43"/>
  <c r="AK15" i="43"/>
  <c r="K145" i="43"/>
  <c r="AE15" i="43"/>
  <c r="AY15" i="43"/>
  <c r="BA15" i="43"/>
  <c r="K15" i="43"/>
  <c r="AS15" i="43"/>
  <c r="BC15" i="43"/>
  <c r="Q15" i="43"/>
  <c r="AI15" i="43"/>
  <c r="U15" i="43"/>
  <c r="AU15" i="43"/>
  <c r="AW15" i="43"/>
  <c r="O15" i="43"/>
  <c r="W17" i="43"/>
  <c r="O31" i="43"/>
  <c r="O129" i="43"/>
  <c r="U129" i="43"/>
  <c r="Q129" i="43"/>
  <c r="S129" i="43"/>
  <c r="M129" i="43"/>
  <c r="S161" i="43"/>
  <c r="AK17" i="43"/>
  <c r="Q101" i="43"/>
  <c r="S101" i="43"/>
  <c r="O101" i="43"/>
  <c r="M101" i="43"/>
  <c r="K29" i="43"/>
  <c r="G140" i="43"/>
  <c r="AW145" i="43" s="1"/>
  <c r="G82" i="43"/>
  <c r="M87" i="43" s="1"/>
  <c r="G94" i="44"/>
  <c r="K99" i="44" s="1"/>
  <c r="G24" i="44"/>
  <c r="I131" i="44"/>
  <c r="G131" i="44" s="1"/>
  <c r="Q57" i="44"/>
  <c r="U71" i="44"/>
  <c r="W71" i="44"/>
  <c r="U57" i="44"/>
  <c r="I85" i="44"/>
  <c r="W57" i="44"/>
  <c r="U85" i="44"/>
  <c r="O71" i="44"/>
  <c r="AE57" i="44"/>
  <c r="Q85" i="44"/>
  <c r="M71" i="44"/>
  <c r="M57" i="44"/>
  <c r="K57" i="44"/>
  <c r="W85" i="44"/>
  <c r="S57" i="44"/>
  <c r="Q71" i="44"/>
  <c r="O57" i="44"/>
  <c r="G38" i="44"/>
  <c r="K43" i="44" s="1"/>
  <c r="G82" i="44"/>
  <c r="M87" i="44" s="1"/>
  <c r="W53" i="18"/>
  <c r="W109" i="18"/>
  <c r="W39" i="18"/>
  <c r="W45" i="74"/>
  <c r="W59" i="74"/>
  <c r="W117" i="74"/>
  <c r="O11" i="43"/>
  <c r="O11" i="18"/>
  <c r="C11" i="33"/>
  <c r="E4" i="33"/>
  <c r="AC15" i="44"/>
  <c r="K129" i="44"/>
  <c r="AU15" i="44"/>
  <c r="W15" i="44"/>
  <c r="AS15" i="44"/>
  <c r="AO15" i="44"/>
  <c r="AY15" i="44"/>
  <c r="AW15" i="44"/>
  <c r="Q15" i="44"/>
  <c r="K15" i="44"/>
  <c r="AQ15" i="44"/>
  <c r="AK15" i="44"/>
  <c r="K145" i="44"/>
  <c r="S15" i="44"/>
  <c r="BB15" i="44"/>
  <c r="AM15" i="44"/>
  <c r="BD15" i="44"/>
  <c r="U15" i="44"/>
  <c r="AE15" i="44"/>
  <c r="AI15" i="44"/>
  <c r="M15" i="44"/>
  <c r="AA15" i="44"/>
  <c r="BF15" i="44"/>
  <c r="O15" i="44"/>
  <c r="Y15" i="44"/>
  <c r="W57" i="43"/>
  <c r="S53" i="18"/>
  <c r="S95" i="18"/>
  <c r="S39" i="18"/>
  <c r="S141" i="18"/>
  <c r="S67" i="18"/>
  <c r="S25" i="18"/>
  <c r="S157" i="18"/>
  <c r="B7" i="33"/>
  <c r="E7" i="33" s="1"/>
  <c r="U11" i="74"/>
  <c r="M36" i="65"/>
  <c r="G40" i="44"/>
  <c r="O45" i="44" s="1"/>
  <c r="I137" i="74"/>
  <c r="G137" i="74" s="1"/>
  <c r="U147" i="44"/>
  <c r="AE147" i="44"/>
  <c r="K147" i="44"/>
  <c r="M147" i="44"/>
  <c r="S147" i="44"/>
  <c r="Q147" i="44"/>
  <c r="M145" i="44"/>
  <c r="O145" i="44"/>
  <c r="U145" i="44"/>
  <c r="S145" i="44"/>
  <c r="W53" i="43"/>
  <c r="W109" i="43"/>
  <c r="W39" i="43"/>
  <c r="W53" i="44"/>
  <c r="W109" i="44"/>
  <c r="W39" i="44"/>
  <c r="AG15" i="44"/>
  <c r="F16" i="19"/>
  <c r="I113" i="18"/>
  <c r="G113" i="18" s="1"/>
  <c r="S25" i="43"/>
  <c r="S53" i="43"/>
  <c r="S157" i="43"/>
  <c r="S95" i="43"/>
  <c r="S67" i="43"/>
  <c r="S39" i="43"/>
  <c r="S141" i="43"/>
  <c r="G40" i="4" l="1"/>
  <c r="G39" i="4"/>
  <c r="Q165" i="44"/>
  <c r="M41" i="66"/>
  <c r="F41" i="66"/>
  <c r="I155" i="74"/>
  <c r="G155" i="74" s="1"/>
  <c r="I49" i="74"/>
  <c r="G49" i="74" s="1"/>
  <c r="K29" i="18"/>
  <c r="U29" i="18"/>
  <c r="I131" i="18"/>
  <c r="G131" i="18" s="1"/>
  <c r="M29" i="18"/>
  <c r="S29" i="18"/>
  <c r="O29" i="18"/>
  <c r="K45" i="18"/>
  <c r="O99" i="18"/>
  <c r="M45" i="18"/>
  <c r="O43" i="18"/>
  <c r="O57" i="43"/>
  <c r="O161" i="43"/>
  <c r="K85" i="43"/>
  <c r="I131" i="43"/>
  <c r="G131" i="43" s="1"/>
  <c r="M161" i="43"/>
  <c r="K161" i="43" s="1"/>
  <c r="M31" i="43"/>
  <c r="S71" i="43"/>
  <c r="I100" i="44"/>
  <c r="G100" i="44" s="1"/>
  <c r="I113" i="44"/>
  <c r="G113" i="44" s="1"/>
  <c r="D11" i="33"/>
  <c r="E13" i="33"/>
  <c r="M99" i="18"/>
  <c r="M43" i="18"/>
  <c r="S43" i="18"/>
  <c r="U43" i="18"/>
  <c r="W43" i="18"/>
  <c r="I161" i="43"/>
  <c r="S85" i="43"/>
  <c r="O165" i="44"/>
  <c r="I163" i="44"/>
  <c r="I165" i="44" s="1"/>
  <c r="K161" i="44"/>
  <c r="G161" i="44" s="1"/>
  <c r="K171" i="74"/>
  <c r="L41" i="65"/>
  <c r="M41" i="65" s="1"/>
  <c r="B5" i="33" s="1"/>
  <c r="E5" i="33" s="1"/>
  <c r="Q11" i="43" s="1"/>
  <c r="P19" i="66"/>
  <c r="Q45" i="18"/>
  <c r="U45" i="18"/>
  <c r="W45" i="18"/>
  <c r="O45" i="18"/>
  <c r="M73" i="18"/>
  <c r="W59" i="18"/>
  <c r="Q71" i="43"/>
  <c r="S29" i="43"/>
  <c r="S43" i="43"/>
  <c r="M99" i="43"/>
  <c r="M57" i="43"/>
  <c r="Q57" i="43"/>
  <c r="W71" i="43"/>
  <c r="M71" i="43"/>
  <c r="W85" i="43"/>
  <c r="Q43" i="43"/>
  <c r="M43" i="43"/>
  <c r="I17" i="44"/>
  <c r="G17" i="44" s="1"/>
  <c r="K162" i="44"/>
  <c r="G162" i="44" s="1"/>
  <c r="G21" i="4"/>
  <c r="M15" i="14"/>
  <c r="G30" i="4"/>
  <c r="M24" i="14"/>
  <c r="G29" i="4"/>
  <c r="M23" i="14"/>
  <c r="G28" i="4"/>
  <c r="M22" i="14"/>
  <c r="G19" i="4"/>
  <c r="M13" i="14"/>
  <c r="G33" i="4"/>
  <c r="M27" i="14"/>
  <c r="G27" i="4"/>
  <c r="M21" i="14"/>
  <c r="G24" i="4"/>
  <c r="M18" i="14"/>
  <c r="G26" i="4"/>
  <c r="M20" i="14"/>
  <c r="G31" i="4"/>
  <c r="M25" i="14"/>
  <c r="G20" i="4"/>
  <c r="M14" i="14"/>
  <c r="G23" i="4"/>
  <c r="M17" i="14"/>
  <c r="U73" i="18"/>
  <c r="M59" i="18"/>
  <c r="K43" i="18"/>
  <c r="U59" i="43"/>
  <c r="AW59" i="43"/>
  <c r="U73" i="43"/>
  <c r="W87" i="43"/>
  <c r="W59" i="43"/>
  <c r="I147" i="43"/>
  <c r="G147" i="43" s="1"/>
  <c r="M59" i="43"/>
  <c r="K59" i="43"/>
  <c r="O73" i="43"/>
  <c r="M165" i="44"/>
  <c r="I108" i="74"/>
  <c r="G108" i="74" s="1"/>
  <c r="I29" i="74"/>
  <c r="G29" i="74" s="1"/>
  <c r="G182" i="74"/>
  <c r="K57" i="43"/>
  <c r="AW57" i="43"/>
  <c r="U57" i="43"/>
  <c r="U71" i="43"/>
  <c r="I85" i="43"/>
  <c r="S57" i="43"/>
  <c r="Q85" i="43"/>
  <c r="O71" i="43"/>
  <c r="U29" i="43"/>
  <c r="S99" i="43"/>
  <c r="Q99" i="43"/>
  <c r="K71" i="18"/>
  <c r="Q73" i="18"/>
  <c r="W87" i="18"/>
  <c r="U87" i="18"/>
  <c r="S59" i="18"/>
  <c r="U87" i="44"/>
  <c r="K59" i="44"/>
  <c r="I87" i="44"/>
  <c r="O59" i="44"/>
  <c r="U73" i="44"/>
  <c r="Q87" i="44"/>
  <c r="U59" i="44"/>
  <c r="Q73" i="44"/>
  <c r="AE59" i="44"/>
  <c r="M59" i="44"/>
  <c r="S59" i="44"/>
  <c r="W59" i="44"/>
  <c r="M73" i="44"/>
  <c r="W87" i="44"/>
  <c r="Q59" i="44"/>
  <c r="W73" i="44"/>
  <c r="O73" i="44"/>
  <c r="Q87" i="18"/>
  <c r="O73" i="18"/>
  <c r="K59" i="18"/>
  <c r="I87" i="18"/>
  <c r="O59" i="18"/>
  <c r="W73" i="18"/>
  <c r="Q59" i="18"/>
  <c r="U59" i="18"/>
  <c r="H14" i="13"/>
  <c r="K163" i="44"/>
  <c r="I15" i="18"/>
  <c r="G15" i="18" s="1"/>
  <c r="I65" i="74"/>
  <c r="G65" i="74" s="1"/>
  <c r="S71" i="18"/>
  <c r="G171" i="74"/>
  <c r="I79" i="74"/>
  <c r="G79" i="74" s="1"/>
  <c r="I101" i="18"/>
  <c r="G101" i="18" s="1"/>
  <c r="M95" i="74"/>
  <c r="K161" i="18"/>
  <c r="G161" i="18" s="1"/>
  <c r="I145" i="18"/>
  <c r="G145" i="18" s="1"/>
  <c r="J12" i="13"/>
  <c r="G44" i="4" s="1"/>
  <c r="K85" i="18"/>
  <c r="M29" i="43"/>
  <c r="O29" i="43"/>
  <c r="K31" i="43"/>
  <c r="O43" i="43"/>
  <c r="K43" i="43"/>
  <c r="S101" i="44"/>
  <c r="Q101" i="44"/>
  <c r="O101" i="44"/>
  <c r="K101" i="44"/>
  <c r="K103" i="44" s="1"/>
  <c r="I31" i="44"/>
  <c r="G31" i="44" s="1"/>
  <c r="M101" i="44"/>
  <c r="J16" i="19"/>
  <c r="S85" i="44"/>
  <c r="S89" i="44" s="1"/>
  <c r="S25" i="74"/>
  <c r="S149" i="74"/>
  <c r="S73" i="74"/>
  <c r="S59" i="74"/>
  <c r="S45" i="74"/>
  <c r="S165" i="74"/>
  <c r="G165" i="74" s="1"/>
  <c r="S102" i="74"/>
  <c r="J11" i="13"/>
  <c r="G43" i="4" s="1"/>
  <c r="J15" i="12"/>
  <c r="G18" i="4"/>
  <c r="J29" i="14"/>
  <c r="K85" i="44"/>
  <c r="I51" i="74"/>
  <c r="G51" i="74" s="1"/>
  <c r="K169" i="74"/>
  <c r="G169" i="74" s="1"/>
  <c r="I11" i="18"/>
  <c r="I109" i="18" s="1"/>
  <c r="I17" i="18"/>
  <c r="G17" i="18" s="1"/>
  <c r="U85" i="18"/>
  <c r="W71" i="18"/>
  <c r="M57" i="18"/>
  <c r="Q85" i="18"/>
  <c r="Q57" i="18"/>
  <c r="Q71" i="18"/>
  <c r="U71" i="18"/>
  <c r="W85" i="18"/>
  <c r="U57" i="18"/>
  <c r="O71" i="18"/>
  <c r="M71" i="18"/>
  <c r="I85" i="18"/>
  <c r="W57" i="18"/>
  <c r="S57" i="18"/>
  <c r="O57" i="18"/>
  <c r="K57" i="18"/>
  <c r="U31" i="43"/>
  <c r="Q31" i="43"/>
  <c r="K75" i="44"/>
  <c r="S71" i="44"/>
  <c r="S75" i="44" s="1"/>
  <c r="G93" i="74"/>
  <c r="I139" i="74"/>
  <c r="G139" i="74" s="1"/>
  <c r="I153" i="74"/>
  <c r="G153" i="74" s="1"/>
  <c r="I106" i="74"/>
  <c r="G106" i="74" s="1"/>
  <c r="P36" i="66"/>
  <c r="I77" i="74"/>
  <c r="G77" i="74" s="1"/>
  <c r="G91" i="74"/>
  <c r="I63" i="74"/>
  <c r="G63" i="74" s="1"/>
  <c r="I101" i="43"/>
  <c r="G101" i="43" s="1"/>
  <c r="K163" i="18"/>
  <c r="G163" i="18" s="1"/>
  <c r="I31" i="74"/>
  <c r="G31" i="74" s="1"/>
  <c r="I39" i="43"/>
  <c r="I141" i="43"/>
  <c r="I95" i="43"/>
  <c r="I25" i="43"/>
  <c r="I67" i="43"/>
  <c r="I53" i="43"/>
  <c r="I109" i="43"/>
  <c r="I125" i="43"/>
  <c r="G17" i="4"/>
  <c r="N14" i="19"/>
  <c r="Q31" i="18"/>
  <c r="S31" i="18"/>
  <c r="U31" i="18"/>
  <c r="O31" i="18"/>
  <c r="K31" i="18"/>
  <c r="M31" i="18"/>
  <c r="S147" i="18"/>
  <c r="K147" i="18"/>
  <c r="Q147" i="18"/>
  <c r="U147" i="18"/>
  <c r="AW147" i="18"/>
  <c r="O147" i="18"/>
  <c r="I15" i="43"/>
  <c r="G15" i="43" s="1"/>
  <c r="I129" i="43"/>
  <c r="G129" i="43" s="1"/>
  <c r="M45" i="43"/>
  <c r="K45" i="43"/>
  <c r="Q45" i="43"/>
  <c r="S45" i="43"/>
  <c r="U45" i="43"/>
  <c r="I17" i="43"/>
  <c r="G17" i="43" s="1"/>
  <c r="S145" i="43"/>
  <c r="O145" i="43"/>
  <c r="M145" i="43"/>
  <c r="U145" i="43"/>
  <c r="O87" i="43"/>
  <c r="Q145" i="43"/>
  <c r="I163" i="43"/>
  <c r="Q163" i="43"/>
  <c r="S163" i="43"/>
  <c r="M163" i="43"/>
  <c r="O163" i="43"/>
  <c r="O45" i="43"/>
  <c r="W45" i="43"/>
  <c r="I115" i="43"/>
  <c r="G115" i="43" s="1"/>
  <c r="I57" i="44"/>
  <c r="G57" i="44" s="1"/>
  <c r="S29" i="44"/>
  <c r="O29" i="44"/>
  <c r="U29" i="44"/>
  <c r="M29" i="44"/>
  <c r="Q29" i="44"/>
  <c r="M43" i="44"/>
  <c r="U43" i="44"/>
  <c r="O43" i="44"/>
  <c r="W43" i="44"/>
  <c r="S43" i="44"/>
  <c r="Q43" i="44"/>
  <c r="K29" i="44"/>
  <c r="S99" i="44"/>
  <c r="O99" i="44"/>
  <c r="Q99" i="44"/>
  <c r="M99" i="44"/>
  <c r="I147" i="44"/>
  <c r="G147" i="44" s="1"/>
  <c r="U11" i="18"/>
  <c r="U11" i="44"/>
  <c r="U11" i="43"/>
  <c r="I145" i="44"/>
  <c r="G145" i="44" s="1"/>
  <c r="O157" i="43"/>
  <c r="O39" i="43"/>
  <c r="O25" i="43"/>
  <c r="O81" i="43"/>
  <c r="O141" i="43"/>
  <c r="O53" i="43"/>
  <c r="O95" i="43"/>
  <c r="O87" i="44"/>
  <c r="O89" i="44" s="1"/>
  <c r="M45" i="44"/>
  <c r="S45" i="44"/>
  <c r="U45" i="44"/>
  <c r="W45" i="44"/>
  <c r="K45" i="44"/>
  <c r="Q45" i="44"/>
  <c r="I15" i="44"/>
  <c r="G15" i="44" s="1"/>
  <c r="I129" i="44"/>
  <c r="G129" i="44" s="1"/>
  <c r="O95" i="18"/>
  <c r="O53" i="18"/>
  <c r="O25" i="18"/>
  <c r="O141" i="18"/>
  <c r="O81" i="18"/>
  <c r="O157" i="18"/>
  <c r="O39" i="18"/>
  <c r="M89" i="44"/>
  <c r="B11" i="33"/>
  <c r="G161" i="43" l="1"/>
  <c r="I29" i="18"/>
  <c r="G29" i="18" s="1"/>
  <c r="I99" i="18"/>
  <c r="G99" i="18" s="1"/>
  <c r="P41" i="66"/>
  <c r="B3" i="33" s="1"/>
  <c r="E3" i="33" s="1"/>
  <c r="K11" i="18" s="1"/>
  <c r="Q11" i="18"/>
  <c r="Q39" i="18" s="1"/>
  <c r="I73" i="18"/>
  <c r="G73" i="18" s="1"/>
  <c r="I43" i="18"/>
  <c r="G43" i="18" s="1"/>
  <c r="S103" i="44"/>
  <c r="G163" i="44"/>
  <c r="O103" i="44"/>
  <c r="G87" i="18"/>
  <c r="I45" i="18"/>
  <c r="G45" i="18" s="1"/>
  <c r="I73" i="43"/>
  <c r="G73" i="43" s="1"/>
  <c r="K165" i="44"/>
  <c r="G165" i="44" s="1"/>
  <c r="G85" i="43"/>
  <c r="I59" i="43"/>
  <c r="G59" i="43" s="1"/>
  <c r="I57" i="43"/>
  <c r="G57" i="43" s="1"/>
  <c r="I43" i="43"/>
  <c r="G43" i="43" s="1"/>
  <c r="I71" i="43"/>
  <c r="G71" i="43" s="1"/>
  <c r="G85" i="18"/>
  <c r="G87" i="43"/>
  <c r="I29" i="43"/>
  <c r="G29" i="43" s="1"/>
  <c r="I141" i="18"/>
  <c r="I99" i="43"/>
  <c r="G99" i="43" s="1"/>
  <c r="M187" i="74"/>
  <c r="AE187" i="74"/>
  <c r="O187" i="74"/>
  <c r="K187" i="74"/>
  <c r="Q187" i="74"/>
  <c r="S187" i="74"/>
  <c r="I59" i="44"/>
  <c r="G59" i="44" s="1"/>
  <c r="I73" i="44"/>
  <c r="G73" i="44" s="1"/>
  <c r="I59" i="18"/>
  <c r="G59" i="18" s="1"/>
  <c r="I31" i="43"/>
  <c r="G31" i="43" s="1"/>
  <c r="G87" i="44"/>
  <c r="M103" i="44"/>
  <c r="I29" i="44"/>
  <c r="G29" i="44" s="1"/>
  <c r="I71" i="18"/>
  <c r="G71" i="18" s="1"/>
  <c r="I101" i="44"/>
  <c r="G101" i="44" s="1"/>
  <c r="Q103" i="44"/>
  <c r="I103" i="44" s="1"/>
  <c r="G103" i="44" s="1"/>
  <c r="I53" i="18"/>
  <c r="J14" i="13"/>
  <c r="G102" i="74"/>
  <c r="S107" i="74" s="1"/>
  <c r="S110" i="74" s="1"/>
  <c r="G73" i="74"/>
  <c r="S78" i="74" s="1"/>
  <c r="S81" i="74" s="1"/>
  <c r="S170" i="74"/>
  <c r="S173" i="74" s="1"/>
  <c r="I25" i="18"/>
  <c r="I125" i="18"/>
  <c r="I95" i="18"/>
  <c r="I67" i="18"/>
  <c r="I39" i="18"/>
  <c r="I57" i="18"/>
  <c r="G57" i="18" s="1"/>
  <c r="K89" i="44"/>
  <c r="G85" i="44"/>
  <c r="I71" i="44"/>
  <c r="G71" i="44" s="1"/>
  <c r="I43" i="44"/>
  <c r="G43" i="44" s="1"/>
  <c r="I145" i="43"/>
  <c r="G145" i="43" s="1"/>
  <c r="I147" i="18"/>
  <c r="G147" i="18" s="1"/>
  <c r="I31" i="18"/>
  <c r="G31" i="18" s="1"/>
  <c r="K163" i="43"/>
  <c r="G163" i="43" s="1"/>
  <c r="I45" i="43"/>
  <c r="G45" i="43" s="1"/>
  <c r="I99" i="44"/>
  <c r="G99" i="44" s="1"/>
  <c r="I45" i="44"/>
  <c r="G45" i="44" s="1"/>
  <c r="G81" i="43"/>
  <c r="M86" i="43" s="1"/>
  <c r="M89" i="43" s="1"/>
  <c r="U125" i="43"/>
  <c r="U25" i="43"/>
  <c r="U39" i="43"/>
  <c r="U141" i="43"/>
  <c r="U109" i="43"/>
  <c r="U53" i="43"/>
  <c r="U109" i="18"/>
  <c r="U39" i="18"/>
  <c r="U53" i="18"/>
  <c r="U25" i="18"/>
  <c r="U125" i="18"/>
  <c r="U141" i="18"/>
  <c r="E11" i="33"/>
  <c r="E15" i="33" s="1"/>
  <c r="G81" i="18"/>
  <c r="M86" i="18" s="1"/>
  <c r="M89" i="18" s="1"/>
  <c r="Q141" i="43"/>
  <c r="Q53" i="43"/>
  <c r="Q39" i="43"/>
  <c r="Q95" i="43"/>
  <c r="Q25" i="43"/>
  <c r="U25" i="44"/>
  <c r="U39" i="44"/>
  <c r="U109" i="44"/>
  <c r="U53" i="44"/>
  <c r="U141" i="44"/>
  <c r="G11" i="44"/>
  <c r="U125" i="44"/>
  <c r="U45" i="74"/>
  <c r="U25" i="74"/>
  <c r="G11" i="74"/>
  <c r="U16" i="74" s="1"/>
  <c r="U19" i="74" s="1"/>
  <c r="C48" i="4" s="1"/>
  <c r="J48" i="4" s="1"/>
  <c r="U149" i="74"/>
  <c r="G149" i="74" s="1"/>
  <c r="U59" i="74"/>
  <c r="U133" i="74"/>
  <c r="G133" i="74" s="1"/>
  <c r="U117" i="74"/>
  <c r="G117" i="74" s="1"/>
  <c r="K11" i="43" l="1"/>
  <c r="K141" i="43" s="1"/>
  <c r="Q141" i="18"/>
  <c r="Q25" i="18"/>
  <c r="Q95" i="18"/>
  <c r="Q53" i="18"/>
  <c r="I187" i="74"/>
  <c r="G187" i="74" s="1"/>
  <c r="I170" i="74"/>
  <c r="I173" i="74" s="1"/>
  <c r="Q170" i="74"/>
  <c r="Q173" i="74" s="1"/>
  <c r="M170" i="74"/>
  <c r="O170" i="74"/>
  <c r="O173" i="74" s="1"/>
  <c r="K78" i="74"/>
  <c r="K81" i="74" s="1"/>
  <c r="K92" i="74"/>
  <c r="K95" i="74" s="1"/>
  <c r="S92" i="74"/>
  <c r="S95" i="74" s="1"/>
  <c r="Q107" i="74"/>
  <c r="Q110" i="74" s="1"/>
  <c r="M107" i="74"/>
  <c r="M110" i="74" s="1"/>
  <c r="O107" i="74"/>
  <c r="O110" i="74" s="1"/>
  <c r="K107" i="74"/>
  <c r="O86" i="18"/>
  <c r="O89" i="18" s="1"/>
  <c r="W122" i="74"/>
  <c r="W125" i="74" s="1"/>
  <c r="AG16" i="44"/>
  <c r="AG19" i="44" s="1"/>
  <c r="BB16" i="44"/>
  <c r="BB19" i="44" s="1"/>
  <c r="BD16" i="44"/>
  <c r="BD19" i="44" s="1"/>
  <c r="AS16" i="44"/>
  <c r="AS19" i="44" s="1"/>
  <c r="AC16" i="44"/>
  <c r="AC19" i="44" s="1"/>
  <c r="Y16" i="44"/>
  <c r="Y19" i="44" s="1"/>
  <c r="AQ16" i="44"/>
  <c r="AQ19" i="44" s="1"/>
  <c r="AA16" i="44"/>
  <c r="AA19" i="44" s="1"/>
  <c r="O16" i="44"/>
  <c r="O19" i="44" s="1"/>
  <c r="S16" i="44"/>
  <c r="S19" i="44" s="1"/>
  <c r="BF16" i="44"/>
  <c r="BF19" i="44" s="1"/>
  <c r="K16" i="44"/>
  <c r="AY16" i="44"/>
  <c r="AY19" i="44" s="1"/>
  <c r="AO16" i="44"/>
  <c r="AO19" i="44" s="1"/>
  <c r="AU16" i="44"/>
  <c r="AU19" i="44" s="1"/>
  <c r="AI16" i="44"/>
  <c r="AI19" i="44" s="1"/>
  <c r="Q16" i="44"/>
  <c r="Q19" i="44" s="1"/>
  <c r="K130" i="44"/>
  <c r="AW16" i="44"/>
  <c r="AW19" i="44" s="1"/>
  <c r="AK16" i="44"/>
  <c r="AK19" i="44" s="1"/>
  <c r="AM16" i="44"/>
  <c r="AM19" i="44" s="1"/>
  <c r="AE16" i="44"/>
  <c r="AE19" i="44" s="1"/>
  <c r="M16" i="44"/>
  <c r="M19" i="44" s="1"/>
  <c r="K146" i="44"/>
  <c r="W16" i="44"/>
  <c r="W19" i="44" s="1"/>
  <c r="G53" i="44"/>
  <c r="G39" i="44"/>
  <c r="K95" i="43"/>
  <c r="K67" i="43"/>
  <c r="K157" i="43"/>
  <c r="G157" i="43" s="1"/>
  <c r="G11" i="43"/>
  <c r="G125" i="18"/>
  <c r="G109" i="18"/>
  <c r="W114" i="18" s="1"/>
  <c r="W117" i="18" s="1"/>
  <c r="G25" i="74"/>
  <c r="U30" i="74" s="1"/>
  <c r="U16" i="44"/>
  <c r="U19" i="44" s="1"/>
  <c r="U138" i="74"/>
  <c r="U141" i="74" s="1"/>
  <c r="G59" i="74"/>
  <c r="U64" i="74" s="1"/>
  <c r="U67" i="74" s="1"/>
  <c r="S16" i="74"/>
  <c r="S19" i="74" s="1"/>
  <c r="C46" i="4" s="1"/>
  <c r="J46" i="4" s="1"/>
  <c r="Q16" i="74"/>
  <c r="Q19" i="74" s="1"/>
  <c r="C35" i="4" s="1"/>
  <c r="K16" i="74"/>
  <c r="Y16" i="74"/>
  <c r="Y19" i="74" s="1"/>
  <c r="C52" i="4" s="1"/>
  <c r="J52" i="4" s="1"/>
  <c r="AA16" i="74"/>
  <c r="AA19" i="74" s="1"/>
  <c r="C54" i="4" s="1"/>
  <c r="J54" i="4" s="1"/>
  <c r="AC16" i="74"/>
  <c r="AC19" i="74" s="1"/>
  <c r="C56" i="4" s="1"/>
  <c r="J56" i="4" s="1"/>
  <c r="AK16" i="74"/>
  <c r="AK19" i="74" s="1"/>
  <c r="AS16" i="74"/>
  <c r="AS19" i="74" s="1"/>
  <c r="BB16" i="74"/>
  <c r="BB19" i="74" s="1"/>
  <c r="AM16" i="74"/>
  <c r="AM19" i="74" s="1"/>
  <c r="AU16" i="74"/>
  <c r="AU19" i="74" s="1"/>
  <c r="BD16" i="74"/>
  <c r="BD19" i="74" s="1"/>
  <c r="K138" i="74"/>
  <c r="AG16" i="74"/>
  <c r="AG19" i="74" s="1"/>
  <c r="C60" i="4" s="1"/>
  <c r="M16" i="74"/>
  <c r="M19" i="74" s="1"/>
  <c r="O16" i="74"/>
  <c r="O19" i="74" s="1"/>
  <c r="J14" i="4" s="1"/>
  <c r="AO16" i="74"/>
  <c r="AO19" i="74" s="1"/>
  <c r="AW16" i="74"/>
  <c r="AW19" i="74" s="1"/>
  <c r="BF16" i="74"/>
  <c r="BF19" i="74" s="1"/>
  <c r="AI16" i="74"/>
  <c r="AI19" i="74" s="1"/>
  <c r="AQ16" i="74"/>
  <c r="AQ19" i="74" s="1"/>
  <c r="AY16" i="74"/>
  <c r="AY19" i="74" s="1"/>
  <c r="K154" i="74"/>
  <c r="AE16" i="74"/>
  <c r="AE19" i="74" s="1"/>
  <c r="C58" i="4" s="1"/>
  <c r="J58" i="4" s="1"/>
  <c r="W16" i="74"/>
  <c r="W19" i="74" s="1"/>
  <c r="C50" i="4" s="1"/>
  <c r="G45" i="74"/>
  <c r="U38" i="74" s="1"/>
  <c r="G125" i="44"/>
  <c r="U130" i="44" s="1"/>
  <c r="U133" i="44" s="1"/>
  <c r="G141" i="44"/>
  <c r="U146" i="44" s="1"/>
  <c r="U149" i="44" s="1"/>
  <c r="G109" i="44"/>
  <c r="W114" i="44" s="1"/>
  <c r="W117" i="44" s="1"/>
  <c r="G25" i="44"/>
  <c r="U30" i="44" s="1"/>
  <c r="U33" i="44" s="1"/>
  <c r="K53" i="18"/>
  <c r="K141" i="18"/>
  <c r="K39" i="18"/>
  <c r="K95" i="18"/>
  <c r="K157" i="18"/>
  <c r="G157" i="18" s="1"/>
  <c r="K67" i="18"/>
  <c r="K25" i="18"/>
  <c r="G11" i="18"/>
  <c r="G109" i="43"/>
  <c r="W114" i="43" s="1"/>
  <c r="W117" i="43" s="1"/>
  <c r="G125" i="43"/>
  <c r="U130" i="43" s="1"/>
  <c r="U133" i="43" s="1"/>
  <c r="O86" i="43"/>
  <c r="O89" i="43" s="1"/>
  <c r="K39" i="43" l="1"/>
  <c r="K53" i="43"/>
  <c r="K25" i="43"/>
  <c r="I107" i="74"/>
  <c r="G107" i="74" s="1"/>
  <c r="K110" i="74"/>
  <c r="I110" i="74" s="1"/>
  <c r="G110" i="74" s="1"/>
  <c r="K170" i="74"/>
  <c r="G170" i="74" s="1"/>
  <c r="M173" i="74"/>
  <c r="K173" i="74" s="1"/>
  <c r="G173" i="74" s="1"/>
  <c r="C36" i="4"/>
  <c r="C37" i="4" s="1"/>
  <c r="C38" i="4" s="1"/>
  <c r="U114" i="44"/>
  <c r="U117" i="44" s="1"/>
  <c r="I117" i="44" s="1"/>
  <c r="G117" i="44" s="1"/>
  <c r="U50" i="74"/>
  <c r="U53" i="74" s="1"/>
  <c r="U114" i="18"/>
  <c r="U117" i="18" s="1"/>
  <c r="I117" i="18" s="1"/>
  <c r="G117" i="18" s="1"/>
  <c r="U114" i="43"/>
  <c r="I114" i="43" s="1"/>
  <c r="G114" i="43" s="1"/>
  <c r="Y16" i="18"/>
  <c r="Y19" i="18" s="1"/>
  <c r="AC16" i="18"/>
  <c r="AC19" i="18" s="1"/>
  <c r="AG16" i="18"/>
  <c r="AG19" i="18" s="1"/>
  <c r="BC16" i="18"/>
  <c r="BC19" i="18" s="1"/>
  <c r="K130" i="18"/>
  <c r="AA16" i="18"/>
  <c r="AA19" i="18" s="1"/>
  <c r="AO16" i="18"/>
  <c r="AO19" i="18" s="1"/>
  <c r="BA16" i="18"/>
  <c r="BA19" i="18" s="1"/>
  <c r="AQ16" i="18"/>
  <c r="AQ19" i="18" s="1"/>
  <c r="AS16" i="18"/>
  <c r="AS19" i="18" s="1"/>
  <c r="AI16" i="18"/>
  <c r="AI19" i="18" s="1"/>
  <c r="AE16" i="18"/>
  <c r="AE19" i="18" s="1"/>
  <c r="AK16" i="18"/>
  <c r="AK19" i="18" s="1"/>
  <c r="AM16" i="18"/>
  <c r="AM19" i="18" s="1"/>
  <c r="AU16" i="18"/>
  <c r="AU19" i="18" s="1"/>
  <c r="AW16" i="18"/>
  <c r="AW19" i="18" s="1"/>
  <c r="AY16" i="18"/>
  <c r="AY19" i="18" s="1"/>
  <c r="M16" i="18"/>
  <c r="M19" i="18" s="1"/>
  <c r="W16" i="18"/>
  <c r="W19" i="18" s="1"/>
  <c r="S16" i="18"/>
  <c r="S19" i="18" s="1"/>
  <c r="O16" i="18"/>
  <c r="O19" i="18" s="1"/>
  <c r="Q16" i="18"/>
  <c r="Q19" i="18" s="1"/>
  <c r="U16" i="18"/>
  <c r="U19" i="18" s="1"/>
  <c r="G95" i="18"/>
  <c r="K100" i="18" s="1"/>
  <c r="K146" i="18"/>
  <c r="G141" i="18"/>
  <c r="C46" i="9"/>
  <c r="U33" i="74"/>
  <c r="M130" i="18"/>
  <c r="M133" i="18" s="1"/>
  <c r="O130" i="18"/>
  <c r="O133" i="18" s="1"/>
  <c r="Q130" i="18"/>
  <c r="Q133" i="18" s="1"/>
  <c r="S130" i="18"/>
  <c r="S133" i="18" s="1"/>
  <c r="K130" i="43"/>
  <c r="AS16" i="43"/>
  <c r="AS19" i="43" s="1"/>
  <c r="AK16" i="43"/>
  <c r="AK19" i="43" s="1"/>
  <c r="AC16" i="43"/>
  <c r="AC19" i="43" s="1"/>
  <c r="BC16" i="43"/>
  <c r="BC19" i="43" s="1"/>
  <c r="AU16" i="43"/>
  <c r="AU19" i="43" s="1"/>
  <c r="AM16" i="43"/>
  <c r="AM19" i="43" s="1"/>
  <c r="AE16" i="43"/>
  <c r="AE19" i="43" s="1"/>
  <c r="AW16" i="43"/>
  <c r="AW19" i="43" s="1"/>
  <c r="BA16" i="43"/>
  <c r="BA19" i="43" s="1"/>
  <c r="AO16" i="43"/>
  <c r="AO19" i="43" s="1"/>
  <c r="AG16" i="43"/>
  <c r="AG19" i="43" s="1"/>
  <c r="Y16" i="43"/>
  <c r="Y19" i="43" s="1"/>
  <c r="AY16" i="43"/>
  <c r="AY19" i="43" s="1"/>
  <c r="AQ16" i="43"/>
  <c r="AQ19" i="43" s="1"/>
  <c r="AI16" i="43"/>
  <c r="AI19" i="43" s="1"/>
  <c r="AA16" i="43"/>
  <c r="AA19" i="43" s="1"/>
  <c r="M16" i="43"/>
  <c r="M19" i="43" s="1"/>
  <c r="W16" i="43"/>
  <c r="W19" i="43" s="1"/>
  <c r="S16" i="43"/>
  <c r="S19" i="43" s="1"/>
  <c r="O16" i="43"/>
  <c r="O19" i="43" s="1"/>
  <c r="U16" i="43"/>
  <c r="U19" i="43" s="1"/>
  <c r="Q16" i="43"/>
  <c r="Q19" i="43" s="1"/>
  <c r="Q162" i="43"/>
  <c r="Q165" i="43" s="1"/>
  <c r="M162" i="43"/>
  <c r="I162" i="43"/>
  <c r="S162" i="43"/>
  <c r="S165" i="43" s="1"/>
  <c r="O162" i="43"/>
  <c r="O165" i="43" s="1"/>
  <c r="K146" i="43"/>
  <c r="G141" i="43"/>
  <c r="G53" i="43"/>
  <c r="O44" i="44"/>
  <c r="O47" i="44" s="1"/>
  <c r="M44" i="44"/>
  <c r="M47" i="44" s="1"/>
  <c r="S44" i="44"/>
  <c r="S47" i="44" s="1"/>
  <c r="Q44" i="44"/>
  <c r="Q47" i="44" s="1"/>
  <c r="K44" i="44"/>
  <c r="W44" i="44"/>
  <c r="W47" i="44" s="1"/>
  <c r="Q72" i="44"/>
  <c r="Q75" i="44" s="1"/>
  <c r="Q58" i="44"/>
  <c r="Q61" i="44" s="1"/>
  <c r="K58" i="44"/>
  <c r="AE58" i="44"/>
  <c r="AE61" i="44" s="1"/>
  <c r="W72" i="44"/>
  <c r="W75" i="44" s="1"/>
  <c r="U86" i="44"/>
  <c r="U89" i="44" s="1"/>
  <c r="I86" i="44"/>
  <c r="S58" i="44"/>
  <c r="S61" i="44" s="1"/>
  <c r="M58" i="44"/>
  <c r="M61" i="44" s="1"/>
  <c r="O58" i="44"/>
  <c r="O61" i="44" s="1"/>
  <c r="W86" i="44"/>
  <c r="W89" i="44" s="1"/>
  <c r="O72" i="44"/>
  <c r="O75" i="44" s="1"/>
  <c r="Q86" i="44"/>
  <c r="Q89" i="44" s="1"/>
  <c r="U72" i="44"/>
  <c r="U75" i="44" s="1"/>
  <c r="M72" i="44"/>
  <c r="W58" i="44"/>
  <c r="W61" i="44" s="1"/>
  <c r="K149" i="44"/>
  <c r="K133" i="44"/>
  <c r="I16" i="44"/>
  <c r="G16" i="44" s="1"/>
  <c r="K19" i="44"/>
  <c r="I19" i="44" s="1"/>
  <c r="G19" i="44" s="1"/>
  <c r="AE154" i="74"/>
  <c r="AE157" i="74" s="1"/>
  <c r="O154" i="74"/>
  <c r="O157" i="74" s="1"/>
  <c r="M154" i="74"/>
  <c r="M157" i="74" s="1"/>
  <c r="Q154" i="74"/>
  <c r="Q157" i="74" s="1"/>
  <c r="S154" i="74"/>
  <c r="S157" i="74" s="1"/>
  <c r="U122" i="74"/>
  <c r="G67" i="18"/>
  <c r="O130" i="43"/>
  <c r="O133" i="43" s="1"/>
  <c r="M130" i="43"/>
  <c r="M133" i="43" s="1"/>
  <c r="S130" i="43"/>
  <c r="S133" i="43" s="1"/>
  <c r="Q130" i="43"/>
  <c r="Q133" i="43" s="1"/>
  <c r="K16" i="18"/>
  <c r="G25" i="18"/>
  <c r="K30" i="18" s="1"/>
  <c r="Q162" i="18"/>
  <c r="Q165" i="18" s="1"/>
  <c r="M162" i="18"/>
  <c r="I162" i="18"/>
  <c r="S162" i="18"/>
  <c r="S165" i="18" s="1"/>
  <c r="O162" i="18"/>
  <c r="O165" i="18" s="1"/>
  <c r="G39" i="18"/>
  <c r="G53" i="18"/>
  <c r="S30" i="44"/>
  <c r="S33" i="44" s="1"/>
  <c r="Q30" i="44"/>
  <c r="Q33" i="44" s="1"/>
  <c r="M30" i="44"/>
  <c r="M33" i="44" s="1"/>
  <c r="K30" i="44"/>
  <c r="O30" i="44"/>
  <c r="O33" i="44" s="1"/>
  <c r="AE146" i="44"/>
  <c r="AE149" i="44" s="1"/>
  <c r="O146" i="44"/>
  <c r="O149" i="44" s="1"/>
  <c r="Q146" i="44"/>
  <c r="Q149" i="44" s="1"/>
  <c r="S146" i="44"/>
  <c r="S149" i="44" s="1"/>
  <c r="M146" i="44"/>
  <c r="M149" i="44" s="1"/>
  <c r="O130" i="44"/>
  <c r="O133" i="44" s="1"/>
  <c r="M130" i="44"/>
  <c r="M133" i="44" s="1"/>
  <c r="S130" i="44"/>
  <c r="S133" i="44" s="1"/>
  <c r="Q130" i="44"/>
  <c r="Q133" i="44" s="1"/>
  <c r="Q38" i="74"/>
  <c r="M38" i="74"/>
  <c r="S38" i="74"/>
  <c r="O38" i="74"/>
  <c r="K38" i="74"/>
  <c r="S50" i="74"/>
  <c r="S53" i="74" s="1"/>
  <c r="O50" i="74"/>
  <c r="O53" i="74" s="1"/>
  <c r="Q50" i="74"/>
  <c r="Q53" i="74" s="1"/>
  <c r="M50" i="74"/>
  <c r="M53" i="74" s="1"/>
  <c r="K50" i="74"/>
  <c r="W50" i="74"/>
  <c r="W53" i="74" s="1"/>
  <c r="J50" i="4"/>
  <c r="K157" i="74"/>
  <c r="J13" i="4"/>
  <c r="C12" i="4"/>
  <c r="C13" i="4" s="1"/>
  <c r="C14" i="4" s="1"/>
  <c r="G14" i="4" s="1"/>
  <c r="K141" i="74"/>
  <c r="I16" i="74"/>
  <c r="G16" i="74" s="1"/>
  <c r="K19" i="74"/>
  <c r="I19" i="74" s="1"/>
  <c r="AE64" i="74"/>
  <c r="AE67" i="74" s="1"/>
  <c r="Q92" i="74"/>
  <c r="Q95" i="74" s="1"/>
  <c r="U78" i="74"/>
  <c r="U81" i="74" s="1"/>
  <c r="M78" i="74"/>
  <c r="Q78" i="74"/>
  <c r="Q81" i="74" s="1"/>
  <c r="W92" i="74"/>
  <c r="W95" i="74" s="1"/>
  <c r="O78" i="74"/>
  <c r="O81" i="74" s="1"/>
  <c r="O64" i="74"/>
  <c r="O67" i="74" s="1"/>
  <c r="K64" i="74"/>
  <c r="W78" i="74"/>
  <c r="W81" i="74" s="1"/>
  <c r="M64" i="74"/>
  <c r="M67" i="74" s="1"/>
  <c r="Q64" i="74"/>
  <c r="Q67" i="74" s="1"/>
  <c r="S64" i="74"/>
  <c r="S67" i="74" s="1"/>
  <c r="U92" i="74"/>
  <c r="U95" i="74" s="1"/>
  <c r="I92" i="74"/>
  <c r="W64" i="74"/>
  <c r="W67" i="74" s="1"/>
  <c r="O138" i="74"/>
  <c r="O141" i="74" s="1"/>
  <c r="Q138" i="74"/>
  <c r="Q141" i="74" s="1"/>
  <c r="M138" i="74"/>
  <c r="M141" i="74" s="1"/>
  <c r="S138" i="74"/>
  <c r="S141" i="74" s="1"/>
  <c r="M30" i="74"/>
  <c r="Q30" i="74"/>
  <c r="C35" i="9" s="1"/>
  <c r="C36" i="9" s="1"/>
  <c r="C37" i="9" s="1"/>
  <c r="C38" i="9" s="1"/>
  <c r="S30" i="74"/>
  <c r="O30" i="74"/>
  <c r="K30" i="74"/>
  <c r="U130" i="18"/>
  <c r="U133" i="18" s="1"/>
  <c r="K16" i="43"/>
  <c r="G39" i="43"/>
  <c r="G25" i="43"/>
  <c r="G67" i="43"/>
  <c r="K72" i="43" s="1"/>
  <c r="G95" i="43"/>
  <c r="U44" i="44"/>
  <c r="U47" i="44" s="1"/>
  <c r="U58" i="44"/>
  <c r="U61" i="44" s="1"/>
  <c r="U154" i="74"/>
  <c r="U157" i="74" s="1"/>
  <c r="I114" i="18" l="1"/>
  <c r="G114" i="18" s="1"/>
  <c r="I114" i="44"/>
  <c r="G114" i="44" s="1"/>
  <c r="G13" i="4"/>
  <c r="C39" i="4"/>
  <c r="U117" i="43"/>
  <c r="I117" i="43" s="1"/>
  <c r="G117" i="43" s="1"/>
  <c r="M100" i="43"/>
  <c r="M103" i="43" s="1"/>
  <c r="S100" i="43"/>
  <c r="S103" i="43" s="1"/>
  <c r="O100" i="43"/>
  <c r="O103" i="43" s="1"/>
  <c r="Q100" i="43"/>
  <c r="Q103" i="43" s="1"/>
  <c r="M30" i="43"/>
  <c r="M33" i="43" s="1"/>
  <c r="S30" i="43"/>
  <c r="S33" i="43" s="1"/>
  <c r="O30" i="43"/>
  <c r="O33" i="43" s="1"/>
  <c r="U30" i="43"/>
  <c r="U33" i="43" s="1"/>
  <c r="Q30" i="43"/>
  <c r="Q33" i="43" s="1"/>
  <c r="I16" i="43"/>
  <c r="G16" i="43" s="1"/>
  <c r="K19" i="43"/>
  <c r="I19" i="43" s="1"/>
  <c r="G19" i="43" s="1"/>
  <c r="C44" i="9"/>
  <c r="J44" i="9" s="1"/>
  <c r="S33" i="74"/>
  <c r="I64" i="74"/>
  <c r="G64" i="74" s="1"/>
  <c r="K67" i="74"/>
  <c r="I67" i="74" s="1"/>
  <c r="G67" i="74" s="1"/>
  <c r="I141" i="74"/>
  <c r="G141" i="74" s="1"/>
  <c r="I157" i="74"/>
  <c r="G157" i="74" s="1"/>
  <c r="K53" i="74"/>
  <c r="I53" i="74" s="1"/>
  <c r="G53" i="74" s="1"/>
  <c r="I50" i="74"/>
  <c r="G50" i="74" s="1"/>
  <c r="I30" i="44"/>
  <c r="G30" i="44" s="1"/>
  <c r="K33" i="44"/>
  <c r="I33" i="44" s="1"/>
  <c r="G33" i="44" s="1"/>
  <c r="M72" i="18"/>
  <c r="M75" i="18" s="1"/>
  <c r="Q72" i="18"/>
  <c r="Q75" i="18" s="1"/>
  <c r="U72" i="18"/>
  <c r="U75" i="18" s="1"/>
  <c r="O72" i="18"/>
  <c r="O75" i="18" s="1"/>
  <c r="AW58" i="18"/>
  <c r="AW61" i="18" s="1"/>
  <c r="U86" i="18"/>
  <c r="U89" i="18" s="1"/>
  <c r="W72" i="18"/>
  <c r="W75" i="18" s="1"/>
  <c r="W86" i="18"/>
  <c r="W89" i="18" s="1"/>
  <c r="Q86" i="18"/>
  <c r="Q89" i="18" s="1"/>
  <c r="I86" i="18"/>
  <c r="M58" i="18"/>
  <c r="M61" i="18" s="1"/>
  <c r="S58" i="18"/>
  <c r="S61" i="18" s="1"/>
  <c r="W58" i="18"/>
  <c r="W61" i="18" s="1"/>
  <c r="O58" i="18"/>
  <c r="O61" i="18" s="1"/>
  <c r="Q58" i="18"/>
  <c r="Q61" i="18" s="1"/>
  <c r="U58" i="18"/>
  <c r="U61" i="18" s="1"/>
  <c r="M44" i="18"/>
  <c r="M47" i="18" s="1"/>
  <c r="W44" i="18"/>
  <c r="W47" i="18" s="1"/>
  <c r="S44" i="18"/>
  <c r="S47" i="18" s="1"/>
  <c r="O44" i="18"/>
  <c r="O47" i="18" s="1"/>
  <c r="Q44" i="18"/>
  <c r="Q47" i="18" s="1"/>
  <c r="U44" i="18"/>
  <c r="U47" i="18" s="1"/>
  <c r="I165" i="18"/>
  <c r="K33" i="18"/>
  <c r="K86" i="18"/>
  <c r="K89" i="18" s="1"/>
  <c r="S86" i="18"/>
  <c r="S89" i="18" s="1"/>
  <c r="S72" i="18"/>
  <c r="S75" i="18" s="1"/>
  <c r="I122" i="74"/>
  <c r="G122" i="74" s="1"/>
  <c r="U125" i="74"/>
  <c r="I125" i="74" s="1"/>
  <c r="G125" i="74" s="1"/>
  <c r="I133" i="44"/>
  <c r="G133" i="44" s="1"/>
  <c r="I149" i="44"/>
  <c r="G149" i="44" s="1"/>
  <c r="W72" i="43"/>
  <c r="W75" i="43" s="1"/>
  <c r="Q72" i="43"/>
  <c r="Q75" i="43" s="1"/>
  <c r="W86" i="43"/>
  <c r="W89" i="43" s="1"/>
  <c r="O72" i="43"/>
  <c r="O75" i="43" s="1"/>
  <c r="Q86" i="43"/>
  <c r="Q89" i="43" s="1"/>
  <c r="U72" i="43"/>
  <c r="U75" i="43" s="1"/>
  <c r="M72" i="43"/>
  <c r="M75" i="43" s="1"/>
  <c r="AW58" i="43"/>
  <c r="AW61" i="43" s="1"/>
  <c r="U86" i="43"/>
  <c r="U89" i="43" s="1"/>
  <c r="I86" i="43"/>
  <c r="M58" i="43"/>
  <c r="M61" i="43" s="1"/>
  <c r="W58" i="43"/>
  <c r="W61" i="43" s="1"/>
  <c r="S58" i="43"/>
  <c r="S61" i="43" s="1"/>
  <c r="O58" i="43"/>
  <c r="O61" i="43" s="1"/>
  <c r="U58" i="43"/>
  <c r="U61" i="43" s="1"/>
  <c r="Q58" i="43"/>
  <c r="Q61" i="43" s="1"/>
  <c r="AW146" i="43"/>
  <c r="AW149" i="43" s="1"/>
  <c r="M146" i="43"/>
  <c r="M149" i="43" s="1"/>
  <c r="S146" i="43"/>
  <c r="S149" i="43" s="1"/>
  <c r="O146" i="43"/>
  <c r="O149" i="43" s="1"/>
  <c r="Q146" i="43"/>
  <c r="Q149" i="43" s="1"/>
  <c r="U146" i="43"/>
  <c r="U149" i="43" s="1"/>
  <c r="I165" i="43"/>
  <c r="K149" i="18"/>
  <c r="K103" i="18"/>
  <c r="K75" i="43"/>
  <c r="M44" i="43"/>
  <c r="M47" i="43" s="1"/>
  <c r="S44" i="43"/>
  <c r="S47" i="43" s="1"/>
  <c r="W44" i="43"/>
  <c r="W47" i="43" s="1"/>
  <c r="O44" i="43"/>
  <c r="O47" i="43" s="1"/>
  <c r="Q44" i="43"/>
  <c r="Q47" i="43" s="1"/>
  <c r="U44" i="43"/>
  <c r="U47" i="43" s="1"/>
  <c r="I30" i="74"/>
  <c r="C40" i="9"/>
  <c r="C41" i="9" s="1"/>
  <c r="C42" i="9" s="1"/>
  <c r="K33" i="74"/>
  <c r="C12" i="9"/>
  <c r="J13" i="9"/>
  <c r="M33" i="74"/>
  <c r="G92" i="74"/>
  <c r="I95" i="74"/>
  <c r="G95" i="74" s="1"/>
  <c r="K100" i="43"/>
  <c r="K86" i="43"/>
  <c r="K89" i="43" s="1"/>
  <c r="S86" i="43"/>
  <c r="S89" i="43" s="1"/>
  <c r="S72" i="43"/>
  <c r="S75" i="43" s="1"/>
  <c r="K30" i="43"/>
  <c r="K44" i="43"/>
  <c r="J14" i="9"/>
  <c r="O33" i="74"/>
  <c r="Q33" i="74"/>
  <c r="I78" i="74"/>
  <c r="G78" i="74" s="1"/>
  <c r="M81" i="74"/>
  <c r="I81" i="74" s="1"/>
  <c r="G81" i="74" s="1"/>
  <c r="C42" i="4"/>
  <c r="C43" i="4" s="1"/>
  <c r="I138" i="74"/>
  <c r="G138" i="74" s="1"/>
  <c r="I154" i="74"/>
  <c r="G154" i="74" s="1"/>
  <c r="I38" i="74"/>
  <c r="G38" i="74" s="1"/>
  <c r="K58" i="18"/>
  <c r="K44" i="18"/>
  <c r="M165" i="18"/>
  <c r="K165" i="18" s="1"/>
  <c r="K162" i="18"/>
  <c r="G162" i="18" s="1"/>
  <c r="M30" i="18"/>
  <c r="M33" i="18" s="1"/>
  <c r="S30" i="18"/>
  <c r="S33" i="18" s="1"/>
  <c r="O30" i="18"/>
  <c r="O33" i="18" s="1"/>
  <c r="U30" i="18"/>
  <c r="U33" i="18" s="1"/>
  <c r="Q30" i="18"/>
  <c r="Q33" i="18" s="1"/>
  <c r="I16" i="18"/>
  <c r="G16" i="18" s="1"/>
  <c r="K19" i="18"/>
  <c r="I19" i="18" s="1"/>
  <c r="G19" i="18" s="1"/>
  <c r="K72" i="18"/>
  <c r="I130" i="44"/>
  <c r="G130" i="44" s="1"/>
  <c r="I146" i="44"/>
  <c r="G146" i="44" s="1"/>
  <c r="M75" i="44"/>
  <c r="I75" i="44" s="1"/>
  <c r="G75" i="44" s="1"/>
  <c r="I72" i="44"/>
  <c r="G72" i="44" s="1"/>
  <c r="I89" i="44"/>
  <c r="G89" i="44" s="1"/>
  <c r="G86" i="44"/>
  <c r="I58" i="44"/>
  <c r="G58" i="44" s="1"/>
  <c r="K61" i="44"/>
  <c r="I61" i="44" s="1"/>
  <c r="G61" i="44" s="1"/>
  <c r="I44" i="44"/>
  <c r="G44" i="44" s="1"/>
  <c r="K47" i="44"/>
  <c r="I47" i="44" s="1"/>
  <c r="G47" i="44" s="1"/>
  <c r="K58" i="43"/>
  <c r="K149" i="43"/>
  <c r="K162" i="43"/>
  <c r="G162" i="43" s="1"/>
  <c r="M165" i="43"/>
  <c r="K165" i="43" s="1"/>
  <c r="I130" i="43"/>
  <c r="G130" i="43" s="1"/>
  <c r="K133" i="43"/>
  <c r="I133" i="43" s="1"/>
  <c r="G133" i="43" s="1"/>
  <c r="AW146" i="18"/>
  <c r="AW149" i="18" s="1"/>
  <c r="M146" i="18"/>
  <c r="M149" i="18" s="1"/>
  <c r="S146" i="18"/>
  <c r="S149" i="18" s="1"/>
  <c r="O146" i="18"/>
  <c r="O149" i="18" s="1"/>
  <c r="U146" i="18"/>
  <c r="U149" i="18" s="1"/>
  <c r="Q146" i="18"/>
  <c r="Q149" i="18" s="1"/>
  <c r="M100" i="18"/>
  <c r="M103" i="18" s="1"/>
  <c r="S100" i="18"/>
  <c r="S103" i="18" s="1"/>
  <c r="O100" i="18"/>
  <c r="O103" i="18" s="1"/>
  <c r="Q100" i="18"/>
  <c r="Q103" i="18" s="1"/>
  <c r="I130" i="18"/>
  <c r="G130" i="18" s="1"/>
  <c r="K133" i="18"/>
  <c r="I133" i="18" s="1"/>
  <c r="G133" i="18" s="1"/>
  <c r="C13" i="9" l="1"/>
  <c r="C14" i="9" s="1"/>
  <c r="G14" i="9" s="1"/>
  <c r="J43" i="4"/>
  <c r="C44" i="4"/>
  <c r="C40" i="4"/>
  <c r="J39" i="4"/>
  <c r="I146" i="43"/>
  <c r="G146" i="43" s="1"/>
  <c r="I149" i="43"/>
  <c r="G149" i="43" s="1"/>
  <c r="I58" i="43"/>
  <c r="G58" i="43" s="1"/>
  <c r="K61" i="43"/>
  <c r="I61" i="43" s="1"/>
  <c r="G61" i="43" s="1"/>
  <c r="I58" i="18"/>
  <c r="G58" i="18" s="1"/>
  <c r="K61" i="18"/>
  <c r="I61" i="18" s="1"/>
  <c r="G61" i="18" s="1"/>
  <c r="C16" i="4"/>
  <c r="G19" i="74"/>
  <c r="I44" i="43"/>
  <c r="G44" i="43" s="1"/>
  <c r="K47" i="43"/>
  <c r="I47" i="43" s="1"/>
  <c r="G47" i="43" s="1"/>
  <c r="I33" i="74"/>
  <c r="C16" i="9"/>
  <c r="C50" i="9" s="1"/>
  <c r="G30" i="74"/>
  <c r="I72" i="43"/>
  <c r="G72" i="43" s="1"/>
  <c r="I100" i="18"/>
  <c r="G100" i="18" s="1"/>
  <c r="I146" i="18"/>
  <c r="G146" i="18" s="1"/>
  <c r="G165" i="43"/>
  <c r="I33" i="18"/>
  <c r="G33" i="18" s="1"/>
  <c r="G165" i="18"/>
  <c r="G86" i="18"/>
  <c r="I89" i="18"/>
  <c r="G89" i="18" s="1"/>
  <c r="I72" i="18"/>
  <c r="G72" i="18" s="1"/>
  <c r="K75" i="18"/>
  <c r="I75" i="18" s="1"/>
  <c r="G75" i="18" s="1"/>
  <c r="I44" i="18"/>
  <c r="G44" i="18" s="1"/>
  <c r="K47" i="18"/>
  <c r="I47" i="18" s="1"/>
  <c r="G47" i="18" s="1"/>
  <c r="I30" i="43"/>
  <c r="G30" i="43" s="1"/>
  <c r="K33" i="43"/>
  <c r="I33" i="43" s="1"/>
  <c r="G33" i="43" s="1"/>
  <c r="I100" i="43"/>
  <c r="G100" i="43" s="1"/>
  <c r="K103" i="43"/>
  <c r="I103" i="43" s="1"/>
  <c r="G103" i="43" s="1"/>
  <c r="I75" i="43"/>
  <c r="G75" i="43" s="1"/>
  <c r="I103" i="18"/>
  <c r="G103" i="18" s="1"/>
  <c r="I149" i="18"/>
  <c r="G149" i="18" s="1"/>
  <c r="G86" i="43"/>
  <c r="I89" i="43"/>
  <c r="G89" i="43" s="1"/>
  <c r="I30" i="18"/>
  <c r="G30" i="18" s="1"/>
  <c r="G13" i="9" l="1"/>
  <c r="G33" i="74"/>
  <c r="G183" i="74"/>
  <c r="C62" i="4"/>
  <c r="C17" i="9"/>
  <c r="J17" i="9" s="1"/>
  <c r="J41" i="9"/>
  <c r="C17" i="4"/>
  <c r="C18" i="4" s="1"/>
  <c r="J18" i="4" s="1"/>
  <c r="AE188" i="74" l="1"/>
  <c r="AE190" i="74" s="1"/>
  <c r="O188" i="74"/>
  <c r="O190" i="74" s="1"/>
  <c r="Q188" i="74"/>
  <c r="Q190" i="74" s="1"/>
  <c r="S188" i="74"/>
  <c r="S190" i="74" s="1"/>
  <c r="M188" i="74"/>
  <c r="M190" i="74" s="1"/>
  <c r="K188" i="74"/>
  <c r="J42" i="9"/>
  <c r="C19" i="4"/>
  <c r="C18" i="9"/>
  <c r="C19" i="9" s="1"/>
  <c r="I188" i="74" l="1"/>
  <c r="G188" i="74" s="1"/>
  <c r="K190" i="74"/>
  <c r="I190" i="74" s="1"/>
  <c r="G190" i="74" s="1"/>
  <c r="J44" i="4"/>
  <c r="C20" i="9"/>
  <c r="J19" i="9"/>
  <c r="C20" i="4"/>
  <c r="J19" i="4"/>
  <c r="J40" i="4" l="1"/>
  <c r="J38" i="4" s="1"/>
  <c r="J20" i="4"/>
  <c r="C21" i="4"/>
  <c r="J20" i="9"/>
  <c r="C21" i="9"/>
  <c r="J37" i="9"/>
  <c r="C22" i="9" l="1"/>
  <c r="J22" i="9" s="1"/>
  <c r="J21" i="9"/>
  <c r="C23" i="9"/>
  <c r="C22" i="4"/>
  <c r="J21" i="4"/>
  <c r="C24" i="9" l="1"/>
  <c r="J23" i="9"/>
  <c r="J38" i="9"/>
  <c r="J22" i="4"/>
  <c r="C23" i="4"/>
  <c r="J24" i="9" l="1"/>
  <c r="C25" i="9"/>
  <c r="C24" i="4"/>
  <c r="J23" i="4"/>
  <c r="C25" i="4" l="1"/>
  <c r="J24" i="4"/>
  <c r="J25" i="9"/>
  <c r="C26" i="9"/>
  <c r="J25" i="4" l="1"/>
  <c r="C26" i="4"/>
  <c r="C27" i="9"/>
  <c r="J26" i="9"/>
  <c r="J36" i="9"/>
  <c r="C28" i="9" l="1"/>
  <c r="J27" i="9"/>
  <c r="J26" i="4"/>
  <c r="C27" i="4"/>
  <c r="J28" i="9" l="1"/>
  <c r="C29" i="9"/>
  <c r="C28" i="4"/>
  <c r="J27" i="4"/>
  <c r="J28" i="4" l="1"/>
  <c r="C29" i="4"/>
  <c r="C30" i="9"/>
  <c r="J29" i="9"/>
  <c r="J30" i="9" l="1"/>
  <c r="C31" i="9"/>
  <c r="C30" i="4"/>
  <c r="J29" i="4"/>
  <c r="J30" i="4" l="1"/>
  <c r="C31" i="4"/>
  <c r="C32" i="9"/>
  <c r="J31" i="9"/>
  <c r="J32" i="9" l="1"/>
  <c r="C33" i="9"/>
  <c r="J33" i="9" s="1"/>
  <c r="C32" i="4"/>
  <c r="J31" i="4"/>
  <c r="J18" i="9" l="1"/>
  <c r="J46" i="9" s="1"/>
  <c r="J50" i="9" s="1"/>
  <c r="J32" i="4"/>
  <c r="C33" i="4"/>
  <c r="J33" i="4" s="1"/>
  <c r="J17" i="4" l="1"/>
  <c r="J60" i="4" s="1"/>
  <c r="J62" i="4" s="1"/>
  <c r="M12" i="19" l="1"/>
  <c r="M14" i="19"/>
  <c r="M13" i="19"/>
</calcChain>
</file>

<file path=xl/comments1.xml><?xml version="1.0" encoding="utf-8"?>
<comments xmlns="http://schemas.openxmlformats.org/spreadsheetml/2006/main">
  <authors>
    <author>Daugherty, Amanda</author>
  </authors>
  <commentList>
    <comment ref="J7" authorId="0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calc-HQ level
</t>
        </r>
      </text>
    </comment>
    <comment ref="M7" authorId="0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N7" authorId="0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use these for BTL calc-BTL level
</t>
        </r>
      </text>
    </comment>
    <comment ref="M16" authorId="0">
      <text>
        <r>
          <rPr>
            <b/>
            <sz val="8"/>
            <color indexed="81"/>
            <rFont val="Tahoma"/>
            <family val="2"/>
          </rPr>
          <t>Daugherty, Amanda:</t>
        </r>
        <r>
          <rPr>
            <sz val="8"/>
            <color indexed="81"/>
            <rFont val="Tahoma"/>
            <family val="2"/>
          </rPr>
          <t xml:space="preserve">
from btl numbers</t>
        </r>
      </text>
    </comment>
  </commentList>
</comments>
</file>

<file path=xl/comments2.xml><?xml version="1.0" encoding="utf-8"?>
<comments xmlns="http://schemas.openxmlformats.org/spreadsheetml/2006/main">
  <authors>
    <author>lgthomas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Gas Sales per MART Margin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Transport per MART Margin
</t>
        </r>
      </text>
    </comment>
  </commentList>
</comments>
</file>

<file path=xl/comments3.xml><?xml version="1.0" encoding="utf-8"?>
<comments xmlns="http://schemas.openxmlformats.org/spreadsheetml/2006/main">
  <authors>
    <author>lgthomas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Gas Sales per MART Margin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Transport per MART Margin
</t>
        </r>
      </text>
    </comment>
  </commentList>
</comments>
</file>

<file path=xl/comments4.xml><?xml version="1.0" encoding="utf-8"?>
<comments xmlns="http://schemas.openxmlformats.org/spreadsheetml/2006/main">
  <authors>
    <author>lgthomas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Gas Sales per MART Margin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Transport per MART Margin
</t>
        </r>
      </text>
    </comment>
  </commentList>
</comments>
</file>

<file path=xl/comments5.xml><?xml version="1.0" encoding="utf-8"?>
<comments xmlns="http://schemas.openxmlformats.org/spreadsheetml/2006/main">
  <authors>
    <author>lgthomas</author>
  </authors>
  <commentList>
    <comment ref="A6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Gas Sales per MART Margin</t>
        </r>
      </text>
    </comment>
    <comment ref="A23" authorId="0">
      <text>
        <r>
          <rPr>
            <b/>
            <sz val="8"/>
            <color indexed="81"/>
            <rFont val="Tahoma"/>
            <family val="2"/>
          </rPr>
          <t>lgthomas:</t>
        </r>
        <r>
          <rPr>
            <sz val="8"/>
            <color indexed="81"/>
            <rFont val="Tahoma"/>
            <family val="2"/>
          </rPr>
          <t xml:space="preserve">
From Financial Statements &amp; Stats Report - Base Charge count Transport per MART Margin
</t>
        </r>
      </text>
    </comment>
  </commentList>
</comments>
</file>

<file path=xl/sharedStrings.xml><?xml version="1.0" encoding="utf-8"?>
<sst xmlns="http://schemas.openxmlformats.org/spreadsheetml/2006/main" count="2134" uniqueCount="417">
  <si>
    <t>ATMOS ENERGY CORPORATION</t>
  </si>
  <si>
    <t>Total</t>
  </si>
  <si>
    <t>Gross Direct PP&amp;E</t>
  </si>
  <si>
    <t>$</t>
  </si>
  <si>
    <t>Average Number of Customers</t>
  </si>
  <si>
    <t>#</t>
  </si>
  <si>
    <t>%</t>
  </si>
  <si>
    <t>Total O&amp;M Expense</t>
  </si>
  <si>
    <t>A. Composite Allocation Factor:</t>
  </si>
  <si>
    <t>Total Composite Factor</t>
  </si>
  <si>
    <t>CO/KS Div</t>
  </si>
  <si>
    <t>LA Div 007</t>
  </si>
  <si>
    <t>LA Div 077</t>
  </si>
  <si>
    <t>West Tex  Div</t>
  </si>
  <si>
    <t xml:space="preserve">Mid-Tex  Div </t>
  </si>
  <si>
    <t>Total O&amp;M Expense *</t>
  </si>
  <si>
    <t>(* w/o Allocation )</t>
  </si>
  <si>
    <t>Atmos Energy Corporation</t>
  </si>
  <si>
    <t>Calculation of Shared Services Blended Depreciation Rate</t>
  </si>
  <si>
    <t>Tier 1</t>
  </si>
  <si>
    <t>Tier 2</t>
  </si>
  <si>
    <t xml:space="preserve"> </t>
  </si>
  <si>
    <t>Company</t>
  </si>
  <si>
    <t>Rate
Division</t>
  </si>
  <si>
    <t>Allocation
Factor</t>
  </si>
  <si>
    <t>Division 002 Rates Only</t>
  </si>
  <si>
    <t>Includes Utility and Non Utlity companies</t>
  </si>
  <si>
    <t>Division 012 Rates Only</t>
  </si>
  <si>
    <t>09</t>
  </si>
  <si>
    <t xml:space="preserve">Atmos Energy Mid States Div </t>
  </si>
  <si>
    <t xml:space="preserve">Development of Allocation Factors </t>
  </si>
  <si>
    <t>Div #</t>
  </si>
  <si>
    <t>Division Name</t>
  </si>
  <si>
    <t>Percent of MidStates Property</t>
  </si>
  <si>
    <t>Percent of MidStates  O &amp; M</t>
  </si>
  <si>
    <t>Percent of MidStates  Customers</t>
  </si>
  <si>
    <t>MidStates Allocation Percent</t>
  </si>
  <si>
    <t>(1)</t>
  </si>
  <si>
    <t>(2)</t>
  </si>
  <si>
    <t>(3)</t>
  </si>
  <si>
    <t>(4)</t>
  </si>
  <si>
    <t>(5)</t>
  </si>
  <si>
    <t>(6)</t>
  </si>
  <si>
    <t>(7)</t>
  </si>
  <si>
    <t>TENNESSEE</t>
  </si>
  <si>
    <t>VIRGINIA</t>
  </si>
  <si>
    <t>KENTUCKY</t>
  </si>
  <si>
    <t>CO/KS Division</t>
  </si>
  <si>
    <t>Development of Allocation Factors</t>
  </si>
  <si>
    <t>CO/KS Allocations Percent</t>
  </si>
  <si>
    <t>Colorado ADM Division</t>
  </si>
  <si>
    <t>Butler</t>
  </si>
  <si>
    <t>KS Division</t>
  </si>
  <si>
    <t xml:space="preserve">Atmos Energy WTX  </t>
  </si>
  <si>
    <t>Percent of WTX Property</t>
  </si>
  <si>
    <t>Percent of WTX  O &amp; M</t>
  </si>
  <si>
    <t>Percent of WTX  Customers</t>
  </si>
  <si>
    <t>WTX Allocation Percent</t>
  </si>
  <si>
    <t>Amarillo Transmission</t>
  </si>
  <si>
    <t>Amarillo Distribution</t>
  </si>
  <si>
    <t>Fritch-Sanford Distrib.</t>
  </si>
  <si>
    <t>West Texas Distribution</t>
  </si>
  <si>
    <t>Dalhart Distribution</t>
  </si>
  <si>
    <t>Fain Line</t>
  </si>
  <si>
    <t>Amarillo Rural Distribution</t>
  </si>
  <si>
    <t>Non Regulated Industrial</t>
  </si>
  <si>
    <t>Regulated Industrial</t>
  </si>
  <si>
    <t>Lubbock City Plant</t>
  </si>
  <si>
    <t>Dalhart Rural Distrib.</t>
  </si>
  <si>
    <t>Dalhart Rural Irrigation</t>
  </si>
  <si>
    <t>Triangle Pipeline</t>
  </si>
  <si>
    <t>Lubbock OCL</t>
  </si>
  <si>
    <t>West Texas Rural Distrib.</t>
  </si>
  <si>
    <t>Energas CNG</t>
  </si>
  <si>
    <t>Div 012</t>
  </si>
  <si>
    <t>Div 002</t>
  </si>
  <si>
    <t>Percent of Greeley Property</t>
  </si>
  <si>
    <t>Percent of Greeley  O &amp; M</t>
  </si>
  <si>
    <t>Percent of Greeley Customers</t>
  </si>
  <si>
    <t>UTILITY ONLY</t>
  </si>
  <si>
    <t>ALL COMPANIES</t>
  </si>
  <si>
    <t>REGULATED ONLY</t>
  </si>
  <si>
    <t>Mississippi Div</t>
  </si>
  <si>
    <t>Kentucky/ MidStates Div</t>
  </si>
  <si>
    <t>Atmos P/L</t>
  </si>
  <si>
    <t>REGULATED AND 303</t>
  </si>
  <si>
    <t>AEM</t>
  </si>
  <si>
    <t>WKG Storage</t>
  </si>
  <si>
    <t>AGC</t>
  </si>
  <si>
    <t>TLGP</t>
  </si>
  <si>
    <t>Colorado Division # 31</t>
  </si>
  <si>
    <t>CO Div  Allocations Percent</t>
  </si>
  <si>
    <t>Greeley</t>
  </si>
  <si>
    <t>NW Colorado</t>
  </si>
  <si>
    <t>Fremont County</t>
  </si>
  <si>
    <t>Durango</t>
  </si>
  <si>
    <t>Div 81</t>
  </si>
  <si>
    <t>Kaw Valley</t>
  </si>
  <si>
    <t>Cane</t>
  </si>
  <si>
    <t>WT MS COKS</t>
  </si>
  <si>
    <t>LA</t>
  </si>
  <si>
    <t>Texas only</t>
  </si>
  <si>
    <t>Atmos 6</t>
  </si>
  <si>
    <t>***taking all the costs out of 030 to the other divisions</t>
  </si>
  <si>
    <t>***taking all the costs out of 010 to the other divisions</t>
  </si>
  <si>
    <r>
      <t xml:space="preserve">Includes </t>
    </r>
    <r>
      <rPr>
        <b/>
        <sz val="10"/>
        <rFont val="Arial"/>
        <family val="2"/>
      </rPr>
      <t xml:space="preserve">Utility </t>
    </r>
    <r>
      <rPr>
        <sz val="10"/>
        <rFont val="Arial"/>
        <family val="2"/>
      </rPr>
      <t>companies</t>
    </r>
  </si>
  <si>
    <t>West Texas Irrigation</t>
  </si>
  <si>
    <t>TEXAS ONLY REGULATED</t>
  </si>
  <si>
    <t>COMPOSITE REGULATED + TLGP</t>
  </si>
  <si>
    <t>COLORADO, LOUISIANA &amp; MISSISSIPPI</t>
  </si>
  <si>
    <t>Remainder</t>
  </si>
  <si>
    <t>Louisiana</t>
  </si>
  <si>
    <t>WTX</t>
  </si>
  <si>
    <t>MDST</t>
  </si>
  <si>
    <t>COKS</t>
  </si>
  <si>
    <t>MISS</t>
  </si>
  <si>
    <t>MIDTX</t>
  </si>
  <si>
    <t>PIPELINE</t>
  </si>
  <si>
    <t>Customer count 1</t>
  </si>
  <si>
    <t>Customer count 2</t>
  </si>
  <si>
    <t>Total customers</t>
  </si>
  <si>
    <t>Allocation of Atmos Corporate (Co. # 10) Cost Based on 12 Month Period Ended 9/30/12</t>
  </si>
  <si>
    <t>Total Composite Factor for FY 2013</t>
  </si>
  <si>
    <t>Atmos Power Sys</t>
  </si>
  <si>
    <t>AP&amp;S</t>
  </si>
  <si>
    <t>UCG Storage</t>
  </si>
  <si>
    <t>TLGS</t>
  </si>
  <si>
    <t>Phoenix Gas</t>
  </si>
  <si>
    <t>Atmos Energy Services</t>
  </si>
  <si>
    <t>Egasco</t>
  </si>
  <si>
    <t>AEP</t>
  </si>
  <si>
    <t>AEH</t>
  </si>
  <si>
    <t>Miss Energies</t>
  </si>
  <si>
    <t>Top 4 non reg</t>
  </si>
  <si>
    <t>Top 4 non reg(after removing impairment)</t>
  </si>
  <si>
    <t>Remaining non reg</t>
  </si>
  <si>
    <t>Total customers related to Liberty</t>
  </si>
  <si>
    <t>New customer count without Liberty</t>
  </si>
  <si>
    <t>234 has the highest remaining</t>
  </si>
  <si>
    <t>Atmos Energy Corp.</t>
  </si>
  <si>
    <t>Gas Sales</t>
  </si>
  <si>
    <t>Avg 12 mo.</t>
  </si>
  <si>
    <t>Transport</t>
  </si>
  <si>
    <t>Avg 12 mo</t>
  </si>
  <si>
    <t>Customers per Financial Statements &amp; Stats Report</t>
  </si>
  <si>
    <t>Kentucky</t>
  </si>
  <si>
    <t>Co 060</t>
  </si>
  <si>
    <t>Div 009</t>
  </si>
  <si>
    <t>Illinois div 92</t>
  </si>
  <si>
    <t>Tennessee div 93</t>
  </si>
  <si>
    <t>Georgia div 95</t>
  </si>
  <si>
    <t>Virginia div 96</t>
  </si>
  <si>
    <t>Missouri div 97</t>
  </si>
  <si>
    <t>Iowa div 98</t>
  </si>
  <si>
    <t>Kirksville div 70</t>
  </si>
  <si>
    <t>Butler div 71</t>
  </si>
  <si>
    <t>SE MO div 72</t>
  </si>
  <si>
    <t>AE Mid-St</t>
  </si>
  <si>
    <t>KY/MdSt</t>
  </si>
  <si>
    <t xml:space="preserve"> -   </t>
  </si>
  <si>
    <t>NE CO</t>
  </si>
  <si>
    <t>NW CO</t>
  </si>
  <si>
    <t>SE CO</t>
  </si>
  <si>
    <t>SW CO</t>
  </si>
  <si>
    <t>Central KS</t>
  </si>
  <si>
    <t>Eastern KS</t>
  </si>
  <si>
    <t>SW KS</t>
  </si>
  <si>
    <t>Kansas Div 81</t>
  </si>
  <si>
    <t>Missouri</t>
  </si>
  <si>
    <t>Div 033</t>
  </si>
  <si>
    <t>Div 034</t>
  </si>
  <si>
    <t>Div 035</t>
  </si>
  <si>
    <t>Div 036</t>
  </si>
  <si>
    <t>Colorado</t>
  </si>
  <si>
    <t>* Div 082</t>
  </si>
  <si>
    <t>* Div 083</t>
  </si>
  <si>
    <t>* Div 084</t>
  </si>
  <si>
    <t>* Div 085</t>
  </si>
  <si>
    <t>Div 086</t>
  </si>
  <si>
    <t>Kansas</t>
  </si>
  <si>
    <t>Div 29</t>
  </si>
  <si>
    <t>Div 71</t>
  </si>
  <si>
    <t>Co/KS</t>
  </si>
  <si>
    <t>Missouri Div 29</t>
  </si>
  <si>
    <t>Missouri Div 71</t>
  </si>
  <si>
    <t>Liberty</t>
  </si>
  <si>
    <t>Avg 2 mo</t>
  </si>
  <si>
    <t>Lib customer count</t>
  </si>
  <si>
    <t>COB's</t>
  </si>
  <si>
    <t>BTL</t>
  </si>
  <si>
    <t>HQ's</t>
  </si>
  <si>
    <t>Used for Below the Line Calc</t>
  </si>
  <si>
    <t>TATXF</t>
  </si>
  <si>
    <t>TACOF</t>
  </si>
  <si>
    <t>TALAF</t>
  </si>
  <si>
    <t>TAMIF</t>
  </si>
  <si>
    <t>TAMSF</t>
  </si>
  <si>
    <t>TATUF</t>
  </si>
  <si>
    <t>TATPF</t>
  </si>
  <si>
    <t>TAEMF</t>
  </si>
  <si>
    <t>TAWGF</t>
  </si>
  <si>
    <t>TATLF</t>
  </si>
  <si>
    <t>TAPSF</t>
  </si>
  <si>
    <t>CUTXU</t>
  </si>
  <si>
    <t>CUCKU</t>
  </si>
  <si>
    <t>CULAU</t>
  </si>
  <si>
    <t>CUMIU</t>
  </si>
  <si>
    <t>CUMSU</t>
  </si>
  <si>
    <t>CUMTU</t>
  </si>
  <si>
    <t>REGULATED AND 303 (TLGP)</t>
  </si>
  <si>
    <t>CUTXT</t>
  </si>
  <si>
    <t>CUCKT</t>
  </si>
  <si>
    <t>CULAT</t>
  </si>
  <si>
    <t>CUMIT</t>
  </si>
  <si>
    <t>CUMST</t>
  </si>
  <si>
    <t>CUMTT</t>
  </si>
  <si>
    <t>CUTPT</t>
  </si>
  <si>
    <t>CUGPT</t>
  </si>
  <si>
    <t>CGTXR</t>
  </si>
  <si>
    <t>CGCKR</t>
  </si>
  <si>
    <t>CGMSR</t>
  </si>
  <si>
    <t>LAA07</t>
  </si>
  <si>
    <t>LAA77</t>
  </si>
  <si>
    <t>CUTXR</t>
  </si>
  <si>
    <t>CUCKR</t>
  </si>
  <si>
    <t>CULAR</t>
  </si>
  <si>
    <t>CUMIR</t>
  </si>
  <si>
    <t>CUMSR</t>
  </si>
  <si>
    <t>TXONW</t>
  </si>
  <si>
    <t>TXONM</t>
  </si>
  <si>
    <t>TXONP</t>
  </si>
  <si>
    <t xml:space="preserve">WEST TEXAS and MID TEX </t>
  </si>
  <si>
    <t>TXWTR</t>
  </si>
  <si>
    <t>TXMTR</t>
  </si>
  <si>
    <t>GSCKW</t>
  </si>
  <si>
    <t>GSLAW</t>
  </si>
  <si>
    <t>GSMSW</t>
  </si>
  <si>
    <t>Utilities + TLIG (No APT)</t>
  </si>
  <si>
    <t>GSWTT</t>
  </si>
  <si>
    <t>GSCKT</t>
  </si>
  <si>
    <t>GSLAT</t>
  </si>
  <si>
    <t>GSMIT</t>
  </si>
  <si>
    <t>GSMST</t>
  </si>
  <si>
    <t>GSMTT</t>
  </si>
  <si>
    <t>GSTLT</t>
  </si>
  <si>
    <t>TUTXF</t>
  </si>
  <si>
    <t>TUCOF</t>
  </si>
  <si>
    <t>TULAF</t>
  </si>
  <si>
    <t>TUMIF</t>
  </si>
  <si>
    <t>TUMSF</t>
  </si>
  <si>
    <t>TUTUF</t>
  </si>
  <si>
    <t>TUTPF</t>
  </si>
  <si>
    <t>CUSTOMER</t>
  </si>
  <si>
    <t>CCTXR</t>
  </si>
  <si>
    <t>CCCKR</t>
  </si>
  <si>
    <t>CCLAR</t>
  </si>
  <si>
    <t>CCMIR</t>
  </si>
  <si>
    <t>CCMSR</t>
  </si>
  <si>
    <t>CCMTR</t>
  </si>
  <si>
    <t>TASTF</t>
  </si>
  <si>
    <t>091DIV</t>
  </si>
  <si>
    <t>subtotal</t>
  </si>
  <si>
    <t>difference</t>
  </si>
  <si>
    <t>095DIV</t>
  </si>
  <si>
    <t>total 050</t>
  </si>
  <si>
    <t>difference 2</t>
  </si>
  <si>
    <t>total 060</t>
  </si>
  <si>
    <t>030DIV</t>
  </si>
  <si>
    <t>031DIV</t>
  </si>
  <si>
    <t>difference 3</t>
  </si>
  <si>
    <t>071DIV</t>
  </si>
  <si>
    <t>difference 4</t>
  </si>
  <si>
    <t>Total 030</t>
  </si>
  <si>
    <t>010DIV</t>
  </si>
  <si>
    <t>10A01</t>
  </si>
  <si>
    <t>10A03</t>
  </si>
  <si>
    <t>10A04</t>
  </si>
  <si>
    <t>10A05</t>
  </si>
  <si>
    <t>10A06</t>
  </si>
  <si>
    <t>10A08</t>
  </si>
  <si>
    <t>10A13</t>
  </si>
  <si>
    <t>10A14</t>
  </si>
  <si>
    <t>10A15</t>
  </si>
  <si>
    <t>10A16</t>
  </si>
  <si>
    <t>10A18</t>
  </si>
  <si>
    <t>10A19</t>
  </si>
  <si>
    <t>10A20</t>
  </si>
  <si>
    <t>10A21</t>
  </si>
  <si>
    <t>10C03</t>
  </si>
  <si>
    <t>10C04</t>
  </si>
  <si>
    <t>10C05</t>
  </si>
  <si>
    <t>10C06</t>
  </si>
  <si>
    <t>10C08</t>
  </si>
  <si>
    <t>10C13</t>
  </si>
  <si>
    <t>10C14</t>
  </si>
  <si>
    <t>10C15</t>
  </si>
  <si>
    <t>10C16</t>
  </si>
  <si>
    <t>10C18</t>
  </si>
  <si>
    <t>10C20</t>
  </si>
  <si>
    <t>10C21</t>
  </si>
  <si>
    <t>30A31</t>
  </si>
  <si>
    <t>30A81</t>
  </si>
  <si>
    <t>30C31</t>
  </si>
  <si>
    <t>30C81</t>
  </si>
  <si>
    <t>91C09</t>
  </si>
  <si>
    <t>91C93</t>
  </si>
  <si>
    <t>91C96</t>
  </si>
  <si>
    <t>91O09</t>
  </si>
  <si>
    <t>91O93</t>
  </si>
  <si>
    <t>91O96</t>
  </si>
  <si>
    <t>31A33</t>
  </si>
  <si>
    <t>31A34</t>
  </si>
  <si>
    <t>31A35</t>
  </si>
  <si>
    <t>31A36</t>
  </si>
  <si>
    <t>Sub account</t>
  </si>
  <si>
    <t>Atmos 6 + TLIG (No APT or MidTex)</t>
  </si>
  <si>
    <t>GSWTU</t>
  </si>
  <si>
    <t>GSCKU</t>
  </si>
  <si>
    <t>GSLAU</t>
  </si>
  <si>
    <t>GSMIU</t>
  </si>
  <si>
    <t>GSMSU</t>
  </si>
  <si>
    <t>GSTLU</t>
  </si>
  <si>
    <t xml:space="preserve"> SEATX </t>
  </si>
  <si>
    <t>SEACO</t>
  </si>
  <si>
    <t>SEALA</t>
  </si>
  <si>
    <t>SEAMI</t>
  </si>
  <si>
    <t>SEAMS</t>
  </si>
  <si>
    <t>SEATU</t>
  </si>
  <si>
    <t>SEAPL</t>
  </si>
  <si>
    <t>round cust %</t>
  </si>
  <si>
    <t>Alloc %</t>
  </si>
  <si>
    <t>31C33</t>
  </si>
  <si>
    <t>31C34</t>
  </si>
  <si>
    <t>31C35</t>
  </si>
  <si>
    <t>31C36</t>
  </si>
  <si>
    <t>COB33</t>
  </si>
  <si>
    <t>COB34</t>
  </si>
  <si>
    <t>COB35</t>
  </si>
  <si>
    <t>COB36</t>
  </si>
  <si>
    <t>HQB33</t>
  </si>
  <si>
    <t>HQB34</t>
  </si>
  <si>
    <t>HQB35</t>
  </si>
  <si>
    <t>HQB36</t>
  </si>
  <si>
    <t>For Fiscal Year 2015</t>
  </si>
  <si>
    <t>Effective October 1, 2015</t>
  </si>
  <si>
    <t>Atmos Energy-Louisiana</t>
  </si>
  <si>
    <t>Fiscal Year 2014</t>
  </si>
  <si>
    <t>Customer Count Sales &amp; Transport</t>
  </si>
  <si>
    <t>Trans La Division - 007DIV</t>
  </si>
  <si>
    <t>AE Louisiana - LGS Division - 077DIV</t>
  </si>
  <si>
    <t>Total for Co 020</t>
  </si>
  <si>
    <t>Avg 12 months</t>
  </si>
  <si>
    <t>Atmos Energy-West Texas</t>
  </si>
  <si>
    <t xml:space="preserve">     Fritch &amp; Sanford City Plant Division - 004DIV</t>
  </si>
  <si>
    <t xml:space="preserve">     West Texas Rural Irrigation Division - 008DIV</t>
  </si>
  <si>
    <t>Amarillo City Plant Division - 003DIV</t>
  </si>
  <si>
    <t>Amarillo Rural Division - 013DIV</t>
  </si>
  <si>
    <t>Dalhart City Plant Division - 006DIV</t>
  </si>
  <si>
    <t>Dalhart Rural Irrigation Division - 018DIV</t>
  </si>
  <si>
    <t>Lubbock City Plant Division - 016DIV</t>
  </si>
  <si>
    <t>West Texas Lubbock Environs Division - 020DIV</t>
  </si>
  <si>
    <t>West Texas City Plant Division - 005DIV</t>
  </si>
  <si>
    <t>West Texas Rural Division - 021DIV</t>
  </si>
  <si>
    <t>Non-Regulated Industrial - 014DIV</t>
  </si>
  <si>
    <t>Regulated Industrial - 015DIV</t>
  </si>
  <si>
    <t xml:space="preserve">     West Texas Div- Triangle Pipeline - 019DIV</t>
  </si>
  <si>
    <t>Total Co 030</t>
  </si>
  <si>
    <t>Atmos Energy-KY/Mid-States</t>
  </si>
  <si>
    <t>Kentucky Division - 009DIV</t>
  </si>
  <si>
    <t>Tennessee Division - 093DIV</t>
  </si>
  <si>
    <t>Virginia Division - 096DIV</t>
  </si>
  <si>
    <t>Total for Co 050</t>
  </si>
  <si>
    <t>Atmos Energy-Colorado-Kansas</t>
  </si>
  <si>
    <t>Northeast Colorado Division - 033DIV</t>
  </si>
  <si>
    <t>Northwest &amp; Central Colorado Division - 034DIV</t>
  </si>
  <si>
    <t>Southeast Colorado Division - 035DIV</t>
  </si>
  <si>
    <t>Southwest Colorado Division - 036DIV</t>
  </si>
  <si>
    <t>KS Division - 081DIV</t>
  </si>
  <si>
    <t>Total Co 060</t>
  </si>
  <si>
    <t>Atmos Energy-Mississippi</t>
  </si>
  <si>
    <t>Mississippi Division - 170DIV</t>
  </si>
  <si>
    <t>Atmos Energy-Mid-Tex</t>
  </si>
  <si>
    <t>Total Co 080</t>
  </si>
  <si>
    <t xml:space="preserve">             Customer Count</t>
  </si>
  <si>
    <t>Company 180 Atmos Pipeline - Texas</t>
  </si>
  <si>
    <t>Acctg Mo</t>
  </si>
  <si>
    <t>Prod Mo</t>
  </si>
  <si>
    <t>Count</t>
  </si>
  <si>
    <t>Oct-13</t>
  </si>
  <si>
    <t>Sep-13</t>
  </si>
  <si>
    <t>Nov-13</t>
  </si>
  <si>
    <t>Dec-13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</si>
  <si>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</si>
  <si>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</si>
  <si>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</si>
  <si>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</si>
  <si>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</si>
  <si>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</si>
  <si>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</si>
  <si>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</si>
  <si>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</si>
  <si>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Avg 12 MO</t>
  </si>
  <si>
    <t>Source:  Melinda McBride</t>
  </si>
  <si>
    <t>YE Sept '14 Avg Number of Customers</t>
  </si>
  <si>
    <t>YE Sept '14 Number of Customers</t>
  </si>
  <si>
    <t>fy13</t>
  </si>
  <si>
    <t>Sept ' 14 Direct Property Plant &amp; Equipment</t>
  </si>
  <si>
    <t>YE Sept '14 Total O &amp;M w/o 922</t>
  </si>
  <si>
    <t>had to add 2 for rounding</t>
  </si>
  <si>
    <t>10C19</t>
  </si>
  <si>
    <t>FY14 Actual</t>
  </si>
  <si>
    <t>Allocation of Atmos Corporate (Co. # 10) Cost Based on 12 Month Period Ended 9/30/14</t>
  </si>
  <si>
    <t>Total Composite Factor for FY 2015</t>
  </si>
  <si>
    <t>APT + 303 (TLGP)</t>
  </si>
  <si>
    <t>FOUR FACTOR ALLOCATION METHODOLOGY</t>
  </si>
  <si>
    <t>Operating Income</t>
  </si>
  <si>
    <t>corrected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</si>
</sst>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0%"/>
    <numFmt numFmtId="167" formatCode="000"/>
    <numFmt numFmtId="168" formatCode="#,##0.000_);[Red]\(#,##0.000\)"/>
    <numFmt numFmtId="169" formatCode="0.00000"/>
    <numFmt numFmtId="170" formatCode="#,##0.00000_);[Red]\(#,##0.00000\)"/>
    <numFmt numFmtId="171" formatCode="0.0000"/>
    <numFmt numFmtId="172" formatCode="0.00000_);[Red]\(0.00000\)"/>
    <numFmt numFmtId="173" formatCode="0.000000%"/>
    <numFmt numFmtId="174" formatCode="0.00000000%"/>
    <numFmt numFmtId="175" formatCode="_(* #,##0.0000000_);_(* \(#,##0.0000000\);_(* &quot;-&quot;??_);_(@_)"/>
    <numFmt numFmtId="176" formatCode="0.000000"/>
    <numFmt numFmtId="177" formatCode="00000"/>
  </numFmts>
  <fonts count="3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56"/>
      <name val="Times New Roman"/>
      <family val="1"/>
    </font>
    <font>
      <u/>
      <sz val="10"/>
      <name val="Times New Roman"/>
      <family val="1"/>
    </font>
    <font>
      <sz val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"/>
      <color indexed="10"/>
      <name val="Arial"/>
      <family val="2"/>
    </font>
    <font>
      <sz val="6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indexed="17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E668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21" fillId="0" borderId="0"/>
    <xf numFmtId="0" fontId="1" fillId="0" borderId="0"/>
    <xf numFmtId="0" fontId="20" fillId="0" borderId="0"/>
    <xf numFmtId="40" fontId="14" fillId="2" borderId="0">
      <alignment horizontal="right"/>
    </xf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0" fillId="0" borderId="0"/>
    <xf numFmtId="43" fontId="3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68">
    <xf numFmtId="0" fontId="0" fillId="0" borderId="0" xfId="0"/>
    <xf numFmtId="164" fontId="5" fillId="0" borderId="0" xfId="1" applyNumberFormat="1" applyFont="1" applyFill="1" applyBorder="1"/>
    <xf numFmtId="0" fontId="2" fillId="0" borderId="0" xfId="1" quotePrefix="1" applyNumberFormat="1" applyFont="1" applyFill="1" applyAlignment="1">
      <alignment horizontal="left"/>
    </xf>
    <xf numFmtId="0" fontId="2" fillId="0" borderId="0" xfId="1" applyNumberFormat="1" applyFont="1" applyFill="1"/>
    <xf numFmtId="164" fontId="5" fillId="0" borderId="0" xfId="1" applyNumberFormat="1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0" xfId="1" applyNumberFormat="1" applyFont="1" applyFill="1"/>
    <xf numFmtId="0" fontId="2" fillId="0" borderId="1" xfId="0" applyFont="1" applyFill="1" applyBorder="1" applyAlignment="1">
      <alignment horizontal="center" wrapText="1"/>
    </xf>
    <xf numFmtId="0" fontId="0" fillId="0" borderId="0" xfId="0" applyFill="1"/>
    <xf numFmtId="0" fontId="3" fillId="0" borderId="0" xfId="0" applyFont="1" applyFill="1" applyAlignment="1">
      <alignment horizontal="centerContinuous"/>
    </xf>
    <xf numFmtId="0" fontId="2" fillId="0" borderId="0" xfId="0" applyFont="1" applyFill="1" applyAlignment="1"/>
    <xf numFmtId="10" fontId="6" fillId="0" borderId="1" xfId="9" applyNumberFormat="1" applyFont="1" applyFill="1" applyBorder="1"/>
    <xf numFmtId="9" fontId="3" fillId="0" borderId="0" xfId="9" applyFont="1" applyFill="1"/>
    <xf numFmtId="10" fontId="6" fillId="0" borderId="0" xfId="9" applyNumberFormat="1" applyFont="1" applyFill="1" applyBorder="1"/>
    <xf numFmtId="9" fontId="3" fillId="0" borderId="0" xfId="9" applyFont="1" applyFill="1" applyBorder="1"/>
    <xf numFmtId="40" fontId="2" fillId="0" borderId="0" xfId="0" applyNumberFormat="1" applyFont="1" applyFill="1"/>
    <xf numFmtId="164" fontId="8" fillId="0" borderId="0" xfId="1" applyNumberFormat="1" applyFont="1" applyFill="1" applyBorder="1"/>
    <xf numFmtId="49" fontId="4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174" fontId="1" fillId="0" borderId="0" xfId="9" applyNumberFormat="1" applyFill="1"/>
    <xf numFmtId="174" fontId="12" fillId="0" borderId="0" xfId="9" applyNumberFormat="1" applyFont="1" applyFill="1" applyBorder="1" applyAlignment="1">
      <alignment horizontal="centerContinuous"/>
    </xf>
    <xf numFmtId="174" fontId="1" fillId="0" borderId="0" xfId="9" applyNumberFormat="1" applyFill="1" applyBorder="1"/>
    <xf numFmtId="174" fontId="12" fillId="0" borderId="0" xfId="9" applyNumberFormat="1" applyFont="1" applyFill="1" applyBorder="1" applyAlignment="1">
      <alignment horizontal="center" wrapText="1"/>
    </xf>
    <xf numFmtId="174" fontId="1" fillId="0" borderId="0" xfId="9" applyNumberFormat="1" applyFont="1" applyFill="1" applyBorder="1" applyAlignment="1">
      <alignment horizontal="center" wrapText="1"/>
    </xf>
    <xf numFmtId="10" fontId="1" fillId="0" borderId="0" xfId="9" applyNumberFormat="1" applyFill="1"/>
    <xf numFmtId="10" fontId="1" fillId="0" borderId="7" xfId="9" applyNumberFormat="1" applyFill="1" applyBorder="1"/>
    <xf numFmtId="10" fontId="1" fillId="0" borderId="0" xfId="9" applyNumberFormat="1" applyFill="1" applyBorder="1"/>
    <xf numFmtId="173" fontId="1" fillId="0" borderId="0" xfId="9" applyNumberFormat="1" applyFill="1" applyBorder="1"/>
    <xf numFmtId="10" fontId="1" fillId="0" borderId="12" xfId="9" applyNumberFormat="1" applyFill="1" applyBorder="1"/>
    <xf numFmtId="167" fontId="0" fillId="0" borderId="7" xfId="0" applyNumberFormat="1" applyFill="1" applyBorder="1"/>
    <xf numFmtId="10" fontId="1" fillId="0" borderId="3" xfId="9" applyNumberFormat="1" applyFill="1" applyBorder="1"/>
    <xf numFmtId="173" fontId="1" fillId="0" borderId="0" xfId="9" applyNumberFormat="1" applyFill="1"/>
    <xf numFmtId="10" fontId="6" fillId="0" borderId="0" xfId="9" applyNumberFormat="1" applyFont="1" applyFill="1"/>
    <xf numFmtId="0" fontId="2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" wrapText="1"/>
    </xf>
    <xf numFmtId="164" fontId="2" fillId="0" borderId="0" xfId="0" applyNumberFormat="1" applyFont="1" applyFill="1"/>
    <xf numFmtId="40" fontId="0" fillId="0" borderId="0" xfId="0" applyNumberFormat="1" applyFill="1"/>
    <xf numFmtId="174" fontId="1" fillId="0" borderId="0" xfId="9" applyNumberFormat="1" applyFont="1" applyFill="1"/>
    <xf numFmtId="174" fontId="13" fillId="0" borderId="0" xfId="9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centerContinuous"/>
    </xf>
    <xf numFmtId="49" fontId="3" fillId="0" borderId="0" xfId="1" applyNumberFormat="1" applyFont="1" applyFill="1" applyAlignment="1">
      <alignment horizontal="centerContinuous"/>
    </xf>
    <xf numFmtId="49" fontId="3" fillId="0" borderId="0" xfId="1" applyNumberFormat="1" applyFont="1" applyFill="1" applyAlignment="1">
      <alignment horizontal="left"/>
    </xf>
    <xf numFmtId="164" fontId="2" fillId="0" borderId="0" xfId="1" applyNumberFormat="1" applyFont="1" applyFill="1" applyAlignment="1"/>
    <xf numFmtId="0" fontId="9" fillId="0" borderId="0" xfId="0" quotePrefix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" fillId="0" borderId="0" xfId="0" applyFont="1" applyFill="1"/>
    <xf numFmtId="0" fontId="2" fillId="0" borderId="0" xfId="0" applyFont="1" applyFill="1" applyBorder="1"/>
    <xf numFmtId="164" fontId="2" fillId="0" borderId="0" xfId="1" applyNumberFormat="1" applyFont="1" applyFill="1" applyBorder="1"/>
    <xf numFmtId="0" fontId="2" fillId="0" borderId="0" xfId="1" applyNumberFormat="1" applyFont="1" applyFill="1" applyAlignment="1">
      <alignment horizontal="left"/>
    </xf>
    <xf numFmtId="164" fontId="6" fillId="0" borderId="0" xfId="1" applyNumberFormat="1" applyFont="1" applyFill="1" applyBorder="1"/>
    <xf numFmtId="0" fontId="2" fillId="0" borderId="0" xfId="0" quotePrefix="1" applyFont="1" applyFill="1" applyAlignment="1">
      <alignment horizontal="left"/>
    </xf>
    <xf numFmtId="164" fontId="2" fillId="0" borderId="0" xfId="0" applyNumberFormat="1" applyFont="1" applyFill="1" applyBorder="1"/>
    <xf numFmtId="9" fontId="3" fillId="0" borderId="0" xfId="9" quotePrefix="1" applyFont="1" applyFill="1" applyAlignment="1">
      <alignment horizontal="left"/>
    </xf>
    <xf numFmtId="10" fontId="7" fillId="0" borderId="0" xfId="9" applyNumberFormat="1" applyFont="1" applyFill="1" applyBorder="1"/>
    <xf numFmtId="10" fontId="6" fillId="0" borderId="0" xfId="1" applyNumberFormat="1" applyFont="1" applyFill="1" applyBorder="1"/>
    <xf numFmtId="40" fontId="4" fillId="0" borderId="0" xfId="1" applyNumberFormat="1" applyFont="1" applyFill="1" applyAlignment="1">
      <alignment horizontal="center"/>
    </xf>
    <xf numFmtId="40" fontId="6" fillId="0" borderId="0" xfId="9" applyNumberFormat="1" applyFont="1" applyFill="1" applyBorder="1"/>
    <xf numFmtId="40" fontId="2" fillId="0" borderId="0" xfId="1" applyNumberFormat="1" applyFont="1" applyFill="1"/>
    <xf numFmtId="0" fontId="0" fillId="0" borderId="12" xfId="0" applyFill="1" applyBorder="1"/>
    <xf numFmtId="0" fontId="0" fillId="0" borderId="12" xfId="0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quotePrefix="1" applyFill="1" applyAlignment="1">
      <alignment horizontal="center"/>
    </xf>
    <xf numFmtId="0" fontId="0" fillId="0" borderId="0" xfId="0" quotePrefix="1" applyFill="1" applyAlignment="1">
      <alignment horizontal="center" wrapText="1"/>
    </xf>
    <xf numFmtId="0" fontId="12" fillId="0" borderId="0" xfId="0" quotePrefix="1" applyFont="1" applyFill="1" applyAlignment="1">
      <alignment horizontal="center" wrapText="1"/>
    </xf>
    <xf numFmtId="0" fontId="12" fillId="0" borderId="0" xfId="0" applyFont="1" applyFill="1"/>
    <xf numFmtId="43" fontId="1" fillId="0" borderId="0" xfId="1" applyFill="1"/>
    <xf numFmtId="170" fontId="0" fillId="0" borderId="0" xfId="0" applyNumberFormat="1" applyFill="1"/>
    <xf numFmtId="172" fontId="12" fillId="0" borderId="0" xfId="0" applyNumberFormat="1" applyFont="1" applyFill="1"/>
    <xf numFmtId="0" fontId="0" fillId="0" borderId="0" xfId="0" applyFill="1" applyAlignment="1">
      <alignment horizontal="right"/>
    </xf>
    <xf numFmtId="37" fontId="0" fillId="0" borderId="0" xfId="0" applyNumberFormat="1" applyFill="1"/>
    <xf numFmtId="40" fontId="0" fillId="0" borderId="12" xfId="0" applyNumberFormat="1" applyFill="1" applyBorder="1"/>
    <xf numFmtId="37" fontId="0" fillId="0" borderId="12" xfId="0" applyNumberFormat="1" applyFill="1" applyBorder="1"/>
    <xf numFmtId="0" fontId="0" fillId="0" borderId="0" xfId="0" applyFill="1" applyAlignment="1">
      <alignment wrapText="1"/>
    </xf>
    <xf numFmtId="3" fontId="0" fillId="0" borderId="0" xfId="0" applyNumberFormat="1" applyFill="1"/>
    <xf numFmtId="171" fontId="0" fillId="0" borderId="12" xfId="0" applyNumberFormat="1" applyFill="1" applyBorder="1"/>
    <xf numFmtId="169" fontId="0" fillId="0" borderId="12" xfId="0" applyNumberFormat="1" applyFill="1" applyBorder="1"/>
    <xf numFmtId="3" fontId="0" fillId="0" borderId="12" xfId="0" applyNumberFormat="1" applyFill="1" applyBorder="1"/>
    <xf numFmtId="170" fontId="0" fillId="0" borderId="12" xfId="0" applyNumberFormat="1" applyFill="1" applyBorder="1"/>
    <xf numFmtId="0" fontId="12" fillId="0" borderId="12" xfId="0" applyFont="1" applyFill="1" applyBorder="1"/>
    <xf numFmtId="164" fontId="2" fillId="0" borderId="0" xfId="1" applyNumberFormat="1" applyFont="1" applyFill="1" applyAlignment="1">
      <alignment horizontal="center"/>
    </xf>
    <xf numFmtId="164" fontId="2" fillId="0" borderId="1" xfId="1" applyNumberFormat="1" applyFont="1" applyFill="1" applyBorder="1" applyAlignment="1">
      <alignment horizontal="center"/>
    </xf>
    <xf numFmtId="164" fontId="16" fillId="0" borderId="1" xfId="1" applyNumberFormat="1" applyFont="1" applyFill="1" applyBorder="1"/>
    <xf numFmtId="164" fontId="16" fillId="0" borderId="14" xfId="1" applyNumberFormat="1" applyFont="1" applyFill="1" applyBorder="1"/>
    <xf numFmtId="10" fontId="3" fillId="0" borderId="1" xfId="9" applyNumberFormat="1" applyFont="1" applyFill="1" applyBorder="1"/>
    <xf numFmtId="10" fontId="3" fillId="0" borderId="0" xfId="9" applyNumberFormat="1" applyFont="1" applyFill="1"/>
    <xf numFmtId="10" fontId="3" fillId="0" borderId="1" xfId="1" applyNumberFormat="1" applyFont="1" applyFill="1" applyBorder="1"/>
    <xf numFmtId="10" fontId="3" fillId="0" borderId="14" xfId="9" applyNumberFormat="1" applyFont="1" applyFill="1" applyBorder="1"/>
    <xf numFmtId="10" fontId="3" fillId="0" borderId="0" xfId="9" applyNumberFormat="1" applyFont="1" applyFill="1" applyBorder="1"/>
    <xf numFmtId="10" fontId="3" fillId="0" borderId="0" xfId="1" applyNumberFormat="1" applyFont="1" applyFill="1" applyBorder="1"/>
    <xf numFmtId="40" fontId="2" fillId="0" borderId="0" xfId="0" applyNumberFormat="1" applyFont="1" applyFill="1" applyBorder="1"/>
    <xf numFmtId="10" fontId="2" fillId="0" borderId="0" xfId="9" applyNumberFormat="1" applyFont="1" applyFill="1"/>
    <xf numFmtId="168" fontId="2" fillId="0" borderId="0" xfId="0" applyNumberFormat="1" applyFont="1" applyFill="1"/>
    <xf numFmtId="38" fontId="0" fillId="0" borderId="0" xfId="0" applyNumberFormat="1" applyFill="1"/>
    <xf numFmtId="0" fontId="2" fillId="0" borderId="0" xfId="1" applyNumberFormat="1" applyFont="1" applyFill="1" applyBorder="1"/>
    <xf numFmtId="38" fontId="2" fillId="0" borderId="0" xfId="0" applyNumberFormat="1" applyFont="1" applyFill="1"/>
    <xf numFmtId="0" fontId="16" fillId="0" borderId="15" xfId="0" applyFont="1" applyFill="1" applyBorder="1" applyAlignment="1">
      <alignment horizontal="left"/>
    </xf>
    <xf numFmtId="9" fontId="3" fillId="0" borderId="15" xfId="9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/>
    <xf numFmtId="10" fontId="16" fillId="0" borderId="1" xfId="9" applyNumberFormat="1" applyFont="1" applyFill="1" applyBorder="1"/>
    <xf numFmtId="10" fontId="16" fillId="0" borderId="0" xfId="9" applyNumberFormat="1" applyFont="1" applyFill="1"/>
    <xf numFmtId="10" fontId="16" fillId="0" borderId="0" xfId="9" applyNumberFormat="1" applyFont="1" applyFill="1" applyBorder="1"/>
    <xf numFmtId="40" fontId="6" fillId="0" borderId="0" xfId="0" applyNumberFormat="1" applyFont="1" applyFill="1"/>
    <xf numFmtId="40" fontId="17" fillId="0" borderId="0" xfId="0" applyNumberFormat="1" applyFont="1" applyFill="1"/>
    <xf numFmtId="10" fontId="12" fillId="0" borderId="0" xfId="9" applyNumberFormat="1" applyFont="1" applyFill="1"/>
    <xf numFmtId="0" fontId="11" fillId="0" borderId="0" xfId="0" applyFont="1" applyFill="1"/>
    <xf numFmtId="166" fontId="1" fillId="0" borderId="0" xfId="9" applyNumberFormat="1" applyFill="1"/>
    <xf numFmtId="175" fontId="2" fillId="0" borderId="0" xfId="1" applyNumberFormat="1" applyFont="1" applyFill="1"/>
    <xf numFmtId="10" fontId="2" fillId="0" borderId="0" xfId="0" applyNumberFormat="1" applyFont="1" applyFill="1" applyBorder="1"/>
    <xf numFmtId="10" fontId="2" fillId="0" borderId="1" xfId="9" applyNumberFormat="1" applyFont="1" applyFill="1" applyBorder="1" applyAlignment="1">
      <alignment horizontal="center" wrapText="1"/>
    </xf>
    <xf numFmtId="164" fontId="2" fillId="0" borderId="1" xfId="1" applyNumberFormat="1" applyFont="1" applyFill="1" applyBorder="1"/>
    <xf numFmtId="164" fontId="2" fillId="0" borderId="14" xfId="1" applyNumberFormat="1" applyFont="1" applyFill="1" applyBorder="1"/>
    <xf numFmtId="3" fontId="18" fillId="0" borderId="0" xfId="0" applyNumberFormat="1" applyFont="1" applyFill="1" applyAlignment="1"/>
    <xf numFmtId="38" fontId="0" fillId="0" borderId="12" xfId="0" applyNumberFormat="1" applyFill="1" applyBorder="1"/>
    <xf numFmtId="0" fontId="0" fillId="0" borderId="0" xfId="0" applyFill="1" applyBorder="1"/>
    <xf numFmtId="10" fontId="0" fillId="0" borderId="0" xfId="0" applyNumberFormat="1" applyFill="1"/>
    <xf numFmtId="10" fontId="12" fillId="0" borderId="0" xfId="0" applyNumberFormat="1" applyFont="1" applyFill="1"/>
    <xf numFmtId="165" fontId="12" fillId="0" borderId="0" xfId="0" applyNumberFormat="1" applyFont="1" applyFill="1"/>
    <xf numFmtId="9" fontId="3" fillId="0" borderId="15" xfId="9" quotePrefix="1" applyFont="1" applyFill="1" applyBorder="1" applyAlignment="1">
      <alignment horizontal="left"/>
    </xf>
    <xf numFmtId="9" fontId="16" fillId="0" borderId="15" xfId="9" applyFont="1" applyFill="1" applyBorder="1" applyAlignment="1">
      <alignment horizontal="left"/>
    </xf>
    <xf numFmtId="9" fontId="16" fillId="0" borderId="0" xfId="9" quotePrefix="1" applyFont="1" applyFill="1" applyAlignment="1">
      <alignment horizontal="left"/>
    </xf>
    <xf numFmtId="43" fontId="0" fillId="0" borderId="0" xfId="0" applyNumberFormat="1" applyFill="1"/>
    <xf numFmtId="43" fontId="0" fillId="0" borderId="12" xfId="0" applyNumberFormat="1" applyFill="1" applyBorder="1"/>
    <xf numFmtId="164" fontId="1" fillId="0" borderId="0" xfId="1" applyNumberFormat="1" applyFill="1"/>
    <xf numFmtId="37" fontId="1" fillId="0" borderId="0" xfId="1" applyNumberFormat="1" applyFill="1"/>
    <xf numFmtId="39" fontId="0" fillId="0" borderId="12" xfId="0" applyNumberFormat="1" applyFill="1" applyBorder="1"/>
    <xf numFmtId="172" fontId="0" fillId="0" borderId="12" xfId="0" applyNumberFormat="1" applyFill="1" applyBorder="1"/>
    <xf numFmtId="172" fontId="12" fillId="0" borderId="12" xfId="0" applyNumberFormat="1" applyFont="1" applyFill="1" applyBorder="1"/>
    <xf numFmtId="165" fontId="0" fillId="0" borderId="0" xfId="0" applyNumberFormat="1" applyFill="1"/>
    <xf numFmtId="37" fontId="1" fillId="0" borderId="0" xfId="0" applyNumberFormat="1" applyFont="1" applyFill="1"/>
    <xf numFmtId="39" fontId="0" fillId="0" borderId="0" xfId="0" applyNumberFormat="1" applyFill="1"/>
    <xf numFmtId="40" fontId="14" fillId="2" borderId="0" xfId="8" applyBorder="1">
      <alignment horizontal="right"/>
    </xf>
    <xf numFmtId="40" fontId="3" fillId="0" borderId="0" xfId="0" applyNumberFormat="1" applyFont="1" applyFill="1" applyAlignment="1">
      <alignment horizontal="centerContinuous"/>
    </xf>
    <xf numFmtId="0" fontId="3" fillId="0" borderId="15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3" fontId="0" fillId="0" borderId="0" xfId="1" applyFont="1" applyFill="1"/>
    <xf numFmtId="164" fontId="2" fillId="4" borderId="14" xfId="1" applyNumberFormat="1" applyFont="1" applyFill="1" applyBorder="1"/>
    <xf numFmtId="164" fontId="2" fillId="4" borderId="0" xfId="1" applyNumberFormat="1" applyFont="1" applyFill="1" applyBorder="1"/>
    <xf numFmtId="164" fontId="2" fillId="4" borderId="1" xfId="1" applyNumberFormat="1" applyFont="1" applyFill="1" applyBorder="1"/>
    <xf numFmtId="49" fontId="4" fillId="4" borderId="0" xfId="1" applyNumberFormat="1" applyFont="1" applyFill="1" applyAlignment="1">
      <alignment horizontal="center"/>
    </xf>
    <xf numFmtId="0" fontId="2" fillId="4" borderId="0" xfId="1" applyNumberFormat="1" applyFont="1" applyFill="1"/>
    <xf numFmtId="0" fontId="2" fillId="4" borderId="0" xfId="1" quotePrefix="1" applyNumberFormat="1" applyFont="1" applyFill="1" applyAlignment="1">
      <alignment horizontal="left"/>
    </xf>
    <xf numFmtId="0" fontId="0" fillId="4" borderId="0" xfId="0" applyFill="1"/>
    <xf numFmtId="164" fontId="16" fillId="4" borderId="1" xfId="1" applyNumberFormat="1" applyFont="1" applyFill="1" applyBorder="1"/>
    <xf numFmtId="164" fontId="2" fillId="4" borderId="0" xfId="1" applyNumberFormat="1" applyFont="1" applyFill="1"/>
    <xf numFmtId="164" fontId="5" fillId="4" borderId="0" xfId="1" applyNumberFormat="1" applyFont="1" applyFill="1"/>
    <xf numFmtId="49" fontId="4" fillId="5" borderId="0" xfId="1" applyNumberFormat="1" applyFont="1" applyFill="1" applyAlignment="1">
      <alignment horizontal="center"/>
    </xf>
    <xf numFmtId="0" fontId="2" fillId="5" borderId="0" xfId="1" applyNumberFormat="1" applyFont="1" applyFill="1"/>
    <xf numFmtId="0" fontId="2" fillId="5" borderId="0" xfId="1" quotePrefix="1" applyNumberFormat="1" applyFont="1" applyFill="1" applyAlignment="1">
      <alignment horizontal="left"/>
    </xf>
    <xf numFmtId="0" fontId="0" fillId="5" borderId="0" xfId="0" applyFill="1"/>
    <xf numFmtId="164" fontId="16" fillId="5" borderId="1" xfId="1" applyNumberFormat="1" applyFont="1" applyFill="1" applyBorder="1"/>
    <xf numFmtId="164" fontId="2" fillId="5" borderId="0" xfId="1" applyNumberFormat="1" applyFont="1" applyFill="1" applyBorder="1"/>
    <xf numFmtId="164" fontId="2" fillId="5" borderId="1" xfId="1" applyNumberFormat="1" applyFont="1" applyFill="1" applyBorder="1"/>
    <xf numFmtId="164" fontId="2" fillId="5" borderId="0" xfId="1" applyNumberFormat="1" applyFont="1" applyFill="1"/>
    <xf numFmtId="164" fontId="5" fillId="5" borderId="0" xfId="1" applyNumberFormat="1" applyFont="1" applyFill="1"/>
    <xf numFmtId="49" fontId="4" fillId="6" borderId="0" xfId="1" applyNumberFormat="1" applyFont="1" applyFill="1" applyAlignment="1">
      <alignment horizontal="center"/>
    </xf>
    <xf numFmtId="0" fontId="2" fillId="6" borderId="0" xfId="1" applyNumberFormat="1" applyFont="1" applyFill="1"/>
    <xf numFmtId="0" fontId="0" fillId="6" borderId="0" xfId="0" applyFill="1"/>
    <xf numFmtId="164" fontId="16" fillId="6" borderId="1" xfId="1" applyNumberFormat="1" applyFont="1" applyFill="1" applyBorder="1"/>
    <xf numFmtId="164" fontId="2" fillId="6" borderId="0" xfId="1" applyNumberFormat="1" applyFont="1" applyFill="1" applyBorder="1"/>
    <xf numFmtId="164" fontId="2" fillId="6" borderId="14" xfId="1" applyNumberFormat="1" applyFont="1" applyFill="1" applyBorder="1"/>
    <xf numFmtId="164" fontId="2" fillId="6" borderId="0" xfId="1" applyNumberFormat="1" applyFont="1" applyFill="1"/>
    <xf numFmtId="164" fontId="2" fillId="6" borderId="1" xfId="1" applyNumberFormat="1" applyFont="1" applyFill="1" applyBorder="1"/>
    <xf numFmtId="164" fontId="5" fillId="6" borderId="0" xfId="1" applyNumberFormat="1" applyFont="1" applyFill="1"/>
    <xf numFmtId="0" fontId="20" fillId="0" borderId="0" xfId="4" applyFont="1"/>
    <xf numFmtId="41" fontId="20" fillId="0" borderId="0" xfId="4" applyNumberFormat="1"/>
    <xf numFmtId="0" fontId="20" fillId="0" borderId="0" xfId="4"/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3" fillId="7" borderId="0" xfId="0" applyFont="1" applyFill="1" applyAlignment="1">
      <alignment horizontal="centerContinuous"/>
    </xf>
    <xf numFmtId="0" fontId="2" fillId="7" borderId="0" xfId="0" applyFont="1" applyFill="1" applyAlignment="1">
      <alignment horizontal="centerContinuous"/>
    </xf>
    <xf numFmtId="0" fontId="2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Continuous"/>
    </xf>
    <xf numFmtId="0" fontId="3" fillId="3" borderId="0" xfId="0" applyFont="1" applyFill="1" applyAlignment="1">
      <alignment horizontal="centerContinuous"/>
    </xf>
    <xf numFmtId="0" fontId="3" fillId="0" borderId="0" xfId="0" applyFont="1" applyFill="1" applyAlignment="1">
      <alignment horizontal="left"/>
    </xf>
    <xf numFmtId="43" fontId="1" fillId="0" borderId="0" xfId="0" applyNumberFormat="1" applyFont="1" applyFill="1"/>
    <xf numFmtId="0" fontId="0" fillId="0" borderId="0" xfId="0" applyFont="1" applyFill="1"/>
    <xf numFmtId="0" fontId="20" fillId="0" borderId="0" xfId="4" applyFill="1"/>
    <xf numFmtId="0" fontId="22" fillId="0" borderId="0" xfId="4" applyFont="1" applyFill="1"/>
    <xf numFmtId="0" fontId="20" fillId="0" borderId="0" xfId="4" applyFill="1" applyAlignment="1">
      <alignment horizontal="center"/>
    </xf>
    <xf numFmtId="0" fontId="23" fillId="0" borderId="0" xfId="4" applyFont="1" applyFill="1"/>
    <xf numFmtId="0" fontId="20" fillId="0" borderId="16" xfId="4" applyFill="1" applyBorder="1" applyAlignment="1">
      <alignment horizontal="center"/>
    </xf>
    <xf numFmtId="0" fontId="20" fillId="0" borderId="12" xfId="4" applyFill="1" applyBorder="1" applyAlignment="1">
      <alignment horizontal="center"/>
    </xf>
    <xf numFmtId="0" fontId="20" fillId="0" borderId="17" xfId="4" applyFill="1" applyBorder="1" applyAlignment="1">
      <alignment horizontal="center"/>
    </xf>
    <xf numFmtId="17" fontId="24" fillId="0" borderId="0" xfId="4" applyNumberFormat="1" applyFont="1" applyFill="1"/>
    <xf numFmtId="41" fontId="24" fillId="0" borderId="0" xfId="4" applyNumberFormat="1" applyFont="1" applyFill="1"/>
    <xf numFmtId="41" fontId="20" fillId="0" borderId="5" xfId="4" applyNumberFormat="1" applyFill="1" applyBorder="1"/>
    <xf numFmtId="41" fontId="24" fillId="0" borderId="0" xfId="4" applyNumberFormat="1" applyFont="1" applyFill="1" applyBorder="1"/>
    <xf numFmtId="41" fontId="20" fillId="0" borderId="18" xfId="4" applyNumberFormat="1" applyFill="1" applyBorder="1"/>
    <xf numFmtId="41" fontId="20" fillId="0" borderId="19" xfId="4" applyNumberFormat="1" applyFill="1" applyBorder="1"/>
    <xf numFmtId="0" fontId="20" fillId="0" borderId="5" xfId="4" applyFill="1" applyBorder="1" applyAlignment="1">
      <alignment horizontal="center"/>
    </xf>
    <xf numFmtId="43" fontId="24" fillId="0" borderId="0" xfId="2" applyFont="1" applyFill="1"/>
    <xf numFmtId="0" fontId="20" fillId="0" borderId="0" xfId="7" quotePrefix="1" applyFill="1" applyAlignment="1">
      <alignment horizontal="center"/>
    </xf>
    <xf numFmtId="41" fontId="24" fillId="7" borderId="0" xfId="4" applyNumberFormat="1" applyFont="1" applyFill="1"/>
    <xf numFmtId="41" fontId="20" fillId="0" borderId="0" xfId="4" applyNumberFormat="1" applyFill="1"/>
    <xf numFmtId="164" fontId="24" fillId="0" borderId="0" xfId="2" applyNumberFormat="1" applyFont="1" applyFill="1"/>
    <xf numFmtId="0" fontId="20" fillId="0" borderId="0" xfId="4" applyFont="1" applyFill="1"/>
    <xf numFmtId="0" fontId="20" fillId="0" borderId="0" xfId="4" applyFill="1" applyBorder="1"/>
    <xf numFmtId="0" fontId="20" fillId="0" borderId="12" xfId="4" applyFill="1" applyBorder="1"/>
    <xf numFmtId="0" fontId="23" fillId="8" borderId="0" xfId="4" applyFont="1" applyFill="1" applyAlignment="1">
      <alignment horizontal="center"/>
    </xf>
    <xf numFmtId="0" fontId="20" fillId="0" borderId="8" xfId="4" applyFont="1" applyFill="1" applyBorder="1" applyAlignment="1">
      <alignment horizontal="center"/>
    </xf>
    <xf numFmtId="0" fontId="20" fillId="0" borderId="12" xfId="4" applyFill="1" applyBorder="1" applyAlignment="1">
      <alignment horizontal="center" wrapText="1"/>
    </xf>
    <xf numFmtId="0" fontId="20" fillId="8" borderId="12" xfId="4" applyFill="1" applyBorder="1" applyAlignment="1">
      <alignment horizontal="center" wrapText="1"/>
    </xf>
    <xf numFmtId="0" fontId="20" fillId="0" borderId="13" xfId="4" applyFont="1" applyFill="1" applyBorder="1" applyAlignment="1">
      <alignment horizontal="center"/>
    </xf>
    <xf numFmtId="41" fontId="24" fillId="8" borderId="0" xfId="4" applyNumberFormat="1" applyFont="1" applyFill="1"/>
    <xf numFmtId="41" fontId="20" fillId="0" borderId="10" xfId="4" applyNumberFormat="1" applyFont="1" applyFill="1" applyBorder="1"/>
    <xf numFmtId="41" fontId="20" fillId="8" borderId="18" xfId="4" applyNumberFormat="1" applyFill="1" applyBorder="1"/>
    <xf numFmtId="0" fontId="20" fillId="0" borderId="11" xfId="4" applyFill="1" applyBorder="1" applyAlignment="1">
      <alignment horizontal="center" wrapText="1"/>
    </xf>
    <xf numFmtId="0" fontId="20" fillId="8" borderId="18" xfId="4" applyFill="1" applyBorder="1"/>
    <xf numFmtId="0" fontId="20" fillId="9" borderId="0" xfId="4" applyFill="1" applyAlignment="1">
      <alignment horizontal="center" wrapText="1"/>
    </xf>
    <xf numFmtId="0" fontId="23" fillId="0" borderId="16" xfId="4" applyFont="1" applyFill="1" applyBorder="1" applyAlignment="1">
      <alignment horizontal="center"/>
    </xf>
    <xf numFmtId="0" fontId="20" fillId="9" borderId="12" xfId="4" applyFill="1" applyBorder="1" applyAlignment="1">
      <alignment horizontal="center" wrapText="1"/>
    </xf>
    <xf numFmtId="0" fontId="23" fillId="0" borderId="17" xfId="4" applyFont="1" applyFill="1" applyBorder="1" applyAlignment="1">
      <alignment horizontal="center"/>
    </xf>
    <xf numFmtId="0" fontId="20" fillId="0" borderId="0" xfId="7" quotePrefix="1" applyAlignment="1">
      <alignment horizontal="center"/>
    </xf>
    <xf numFmtId="164" fontId="20" fillId="9" borderId="0" xfId="2" quotePrefix="1" applyNumberFormat="1" applyFill="1" applyAlignment="1">
      <alignment horizontal="right"/>
    </xf>
    <xf numFmtId="41" fontId="23" fillId="0" borderId="5" xfId="4" applyNumberFormat="1" applyFont="1" applyFill="1" applyBorder="1"/>
    <xf numFmtId="41" fontId="20" fillId="0" borderId="18" xfId="4" applyNumberFormat="1" applyFill="1" applyBorder="1" applyAlignment="1">
      <alignment horizontal="center"/>
    </xf>
    <xf numFmtId="41" fontId="20" fillId="0" borderId="20" xfId="4" applyNumberFormat="1" applyFill="1" applyBorder="1" applyAlignment="1">
      <alignment horizontal="center"/>
    </xf>
    <xf numFmtId="41" fontId="23" fillId="0" borderId="0" xfId="4" applyNumberFormat="1" applyFont="1" applyFill="1"/>
    <xf numFmtId="41" fontId="23" fillId="0" borderId="0" xfId="4" applyNumberFormat="1" applyFont="1" applyFill="1" applyBorder="1"/>
    <xf numFmtId="0" fontId="20" fillId="0" borderId="0" xfId="7" quotePrefix="1" applyFill="1" applyAlignment="1">
      <alignment horizontal="right"/>
    </xf>
    <xf numFmtId="41" fontId="24" fillId="9" borderId="0" xfId="4" applyNumberFormat="1" applyFont="1" applyFill="1"/>
    <xf numFmtId="41" fontId="20" fillId="9" borderId="18" xfId="4" applyNumberFormat="1" applyFill="1" applyBorder="1"/>
    <xf numFmtId="41" fontId="23" fillId="0" borderId="19" xfId="4" applyNumberFormat="1" applyFont="1" applyFill="1" applyBorder="1"/>
    <xf numFmtId="164" fontId="27" fillId="0" borderId="0" xfId="2" applyNumberFormat="1" applyFont="1" applyFill="1" applyBorder="1"/>
    <xf numFmtId="0" fontId="27" fillId="0" borderId="0" xfId="6" applyFont="1" applyFill="1" applyBorder="1"/>
    <xf numFmtId="0" fontId="20" fillId="0" borderId="16" xfId="4" applyFont="1" applyFill="1" applyBorder="1" applyAlignment="1">
      <alignment horizontal="center"/>
    </xf>
    <xf numFmtId="0" fontId="20" fillId="0" borderId="17" xfId="4" applyFont="1" applyFill="1" applyBorder="1" applyAlignment="1">
      <alignment horizontal="center"/>
    </xf>
    <xf numFmtId="41" fontId="20" fillId="0" borderId="5" xfId="4" applyNumberFormat="1" applyFont="1" applyFill="1" applyBorder="1"/>
    <xf numFmtId="164" fontId="20" fillId="0" borderId="0" xfId="2" quotePrefix="1" applyNumberFormat="1" applyFill="1" applyAlignment="1">
      <alignment horizontal="center"/>
    </xf>
    <xf numFmtId="41" fontId="20" fillId="0" borderId="21" xfId="4" applyNumberFormat="1" applyFill="1" applyBorder="1"/>
    <xf numFmtId="0" fontId="3" fillId="0" borderId="15" xfId="0" quotePrefix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164" fontId="28" fillId="0" borderId="0" xfId="1" applyNumberFormat="1" applyFont="1" applyFill="1" applyAlignment="1">
      <alignment horizontal="center"/>
    </xf>
    <xf numFmtId="0" fontId="28" fillId="0" borderId="0" xfId="0" applyFont="1" applyFill="1" applyAlignment="1">
      <alignment horizontal="center"/>
    </xf>
    <xf numFmtId="0" fontId="28" fillId="0" borderId="0" xfId="0" applyFont="1" applyFill="1" applyBorder="1" applyAlignment="1">
      <alignment horizontal="center"/>
    </xf>
    <xf numFmtId="10" fontId="28" fillId="0" borderId="0" xfId="9" applyNumberFormat="1" applyFont="1" applyFill="1" applyBorder="1" applyAlignment="1">
      <alignment horizontal="center"/>
    </xf>
    <xf numFmtId="9" fontId="28" fillId="0" borderId="0" xfId="9" applyFont="1" applyFill="1" applyAlignment="1">
      <alignment horizontal="center"/>
    </xf>
    <xf numFmtId="9" fontId="28" fillId="0" borderId="0" xfId="9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8" fillId="0" borderId="0" xfId="0" applyFont="1" applyFill="1"/>
    <xf numFmtId="10" fontId="28" fillId="0" borderId="0" xfId="9" applyNumberFormat="1" applyFont="1" applyFill="1" applyAlignment="1">
      <alignment horizontal="center"/>
    </xf>
    <xf numFmtId="41" fontId="23" fillId="0" borderId="0" xfId="4" applyNumberFormat="1" applyFont="1"/>
    <xf numFmtId="0" fontId="1" fillId="0" borderId="12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167" fontId="0" fillId="0" borderId="0" xfId="0" applyNumberFormat="1" applyFill="1"/>
    <xf numFmtId="42" fontId="0" fillId="0" borderId="0" xfId="0" applyNumberFormat="1" applyFill="1"/>
    <xf numFmtId="167" fontId="0" fillId="0" borderId="0" xfId="0" applyNumberFormat="1" applyFill="1" applyAlignment="1">
      <alignment horizontal="right"/>
    </xf>
    <xf numFmtId="167" fontId="0" fillId="0" borderId="0" xfId="0" quotePrefix="1" applyNumberForma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/>
    <xf numFmtId="0" fontId="12" fillId="0" borderId="2" xfId="0" applyFont="1" applyFill="1" applyBorder="1" applyAlignment="1">
      <alignment horizontal="centerContinuous"/>
    </xf>
    <xf numFmtId="0" fontId="12" fillId="0" borderId="3" xfId="0" applyFont="1" applyFill="1" applyBorder="1" applyAlignment="1">
      <alignment horizontal="centerContinuous"/>
    </xf>
    <xf numFmtId="10" fontId="12" fillId="0" borderId="4" xfId="9" applyNumberFormat="1" applyFont="1" applyFill="1" applyBorder="1" applyAlignment="1">
      <alignment horizontal="centerContinuous"/>
    </xf>
    <xf numFmtId="166" fontId="12" fillId="0" borderId="4" xfId="9" applyNumberFormat="1" applyFont="1" applyFill="1" applyBorder="1" applyAlignment="1">
      <alignment horizontal="centerContinuous"/>
    </xf>
    <xf numFmtId="0" fontId="12" fillId="0" borderId="5" xfId="0" applyFont="1" applyFill="1" applyBorder="1" applyAlignment="1">
      <alignment horizontal="centerContinuous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10" fontId="12" fillId="0" borderId="0" xfId="9" applyNumberFormat="1" applyFont="1" applyFill="1" applyAlignment="1">
      <alignment horizontal="center" wrapText="1"/>
    </xf>
    <xf numFmtId="166" fontId="12" fillId="0" borderId="0" xfId="9" applyNumberFormat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10" fontId="1" fillId="0" borderId="0" xfId="9" applyNumberFormat="1" applyFont="1" applyFill="1" applyAlignment="1">
      <alignment horizontal="center" wrapText="1"/>
    </xf>
    <xf numFmtId="166" fontId="1" fillId="0" borderId="0" xfId="9" applyNumberFormat="1" applyFont="1" applyFill="1" applyAlignment="1">
      <alignment horizontal="center" wrapText="1"/>
    </xf>
    <xf numFmtId="167" fontId="0" fillId="0" borderId="2" xfId="0" applyNumberFormat="1" applyFill="1" applyBorder="1"/>
    <xf numFmtId="167" fontId="0" fillId="0" borderId="3" xfId="0" applyNumberFormat="1" applyFill="1" applyBorder="1"/>
    <xf numFmtId="166" fontId="1" fillId="0" borderId="4" xfId="9" applyNumberFormat="1" applyFill="1" applyBorder="1"/>
    <xf numFmtId="166" fontId="1" fillId="0" borderId="0" xfId="9" applyNumberFormat="1" applyFill="1" applyBorder="1"/>
    <xf numFmtId="167" fontId="0" fillId="0" borderId="6" xfId="0" applyNumberFormat="1" applyFill="1" applyBorder="1"/>
    <xf numFmtId="166" fontId="1" fillId="0" borderId="8" xfId="9" applyNumberFormat="1" applyFill="1" applyBorder="1"/>
    <xf numFmtId="167" fontId="0" fillId="0" borderId="9" xfId="0" applyNumberFormat="1" applyFill="1" applyBorder="1"/>
    <xf numFmtId="167" fontId="0" fillId="0" borderId="0" xfId="0" applyNumberFormat="1" applyFill="1" applyBorder="1"/>
    <xf numFmtId="166" fontId="1" fillId="0" borderId="10" xfId="9" applyNumberFormat="1" applyFill="1" applyBorder="1"/>
    <xf numFmtId="167" fontId="0" fillId="0" borderId="11" xfId="0" applyNumberFormat="1" applyFill="1" applyBorder="1"/>
    <xf numFmtId="167" fontId="0" fillId="0" borderId="12" xfId="0" applyNumberFormat="1" applyFill="1" applyBorder="1"/>
    <xf numFmtId="166" fontId="1" fillId="0" borderId="13" xfId="9" applyNumberFormat="1" applyFill="1" applyBorder="1"/>
    <xf numFmtId="166" fontId="1" fillId="0" borderId="0" xfId="9" applyNumberFormat="1" applyFont="1" applyFill="1" applyBorder="1"/>
    <xf numFmtId="0" fontId="0" fillId="0" borderId="7" xfId="0" applyFill="1" applyBorder="1"/>
    <xf numFmtId="166" fontId="0" fillId="0" borderId="0" xfId="0" applyNumberFormat="1" applyFill="1"/>
    <xf numFmtId="167" fontId="1" fillId="0" borderId="0" xfId="0" applyNumberFormat="1" applyFont="1" applyFill="1" applyBorder="1"/>
    <xf numFmtId="0" fontId="0" fillId="0" borderId="0" xfId="0" quotePrefix="1" applyFill="1" applyAlignment="1">
      <alignment horizontal="right"/>
    </xf>
    <xf numFmtId="176" fontId="0" fillId="0" borderId="0" xfId="0" applyNumberFormat="1" applyFill="1"/>
    <xf numFmtId="41" fontId="0" fillId="0" borderId="0" xfId="0" applyNumberFormat="1" applyFill="1"/>
    <xf numFmtId="41" fontId="1" fillId="0" borderId="0" xfId="0" applyNumberFormat="1" applyFont="1" applyFill="1"/>
    <xf numFmtId="172" fontId="1" fillId="0" borderId="0" xfId="0" applyNumberFormat="1" applyFont="1" applyFill="1"/>
    <xf numFmtId="41" fontId="15" fillId="0" borderId="0" xfId="0" applyNumberFormat="1" applyFont="1" applyFill="1" applyAlignment="1">
      <alignment horizontal="center"/>
    </xf>
    <xf numFmtId="41" fontId="12" fillId="0" borderId="0" xfId="0" quotePrefix="1" applyNumberFormat="1" applyFont="1" applyFill="1" applyAlignment="1">
      <alignment horizontal="center" wrapText="1"/>
    </xf>
    <xf numFmtId="41" fontId="1" fillId="0" borderId="0" xfId="0" applyNumberFormat="1" applyFont="1" applyFill="1" applyBorder="1"/>
    <xf numFmtId="0" fontId="1" fillId="0" borderId="12" xfId="0" applyFont="1" applyFill="1" applyBorder="1" applyAlignment="1">
      <alignment horizontal="center" wrapText="1"/>
    </xf>
    <xf numFmtId="41" fontId="1" fillId="0" borderId="12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wrapText="1"/>
    </xf>
    <xf numFmtId="164" fontId="28" fillId="10" borderId="0" xfId="1" applyNumberFormat="1" applyFont="1" applyFill="1" applyAlignment="1">
      <alignment horizontal="center"/>
    </xf>
    <xf numFmtId="0" fontId="28" fillId="10" borderId="0" xfId="0" applyFont="1" applyFill="1" applyAlignment="1">
      <alignment horizontal="center"/>
    </xf>
    <xf numFmtId="10" fontId="28" fillId="10" borderId="0" xfId="9" applyNumberFormat="1" applyFont="1" applyFill="1" applyBorder="1" applyAlignment="1">
      <alignment horizontal="center"/>
    </xf>
    <xf numFmtId="9" fontId="28" fillId="10" borderId="0" xfId="9" applyFont="1" applyFill="1" applyAlignment="1">
      <alignment horizontal="center"/>
    </xf>
    <xf numFmtId="10" fontId="28" fillId="10" borderId="0" xfId="1" applyNumberFormat="1" applyFont="1" applyFill="1" applyBorder="1" applyAlignment="1">
      <alignment horizontal="center"/>
    </xf>
    <xf numFmtId="0" fontId="28" fillId="10" borderId="0" xfId="0" applyFont="1" applyFill="1" applyBorder="1" applyAlignment="1">
      <alignment horizontal="center"/>
    </xf>
    <xf numFmtId="10" fontId="28" fillId="10" borderId="0" xfId="9" applyNumberFormat="1" applyFont="1" applyFill="1" applyAlignment="1">
      <alignment horizontal="center"/>
    </xf>
    <xf numFmtId="0" fontId="28" fillId="10" borderId="0" xfId="0" quotePrefix="1" applyFont="1" applyFill="1" applyAlignment="1">
      <alignment horizontal="center"/>
    </xf>
    <xf numFmtId="9" fontId="28" fillId="10" borderId="0" xfId="9" applyFont="1" applyFill="1" applyBorder="1" applyAlignment="1">
      <alignment horizontal="center"/>
    </xf>
    <xf numFmtId="0" fontId="28" fillId="0" borderId="3" xfId="0" applyFont="1" applyFill="1" applyBorder="1" applyAlignment="1">
      <alignment horizontal="center"/>
    </xf>
    <xf numFmtId="0" fontId="28" fillId="0" borderId="3" xfId="0" quotePrefix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center"/>
    </xf>
    <xf numFmtId="164" fontId="3" fillId="0" borderId="1" xfId="1" applyNumberFormat="1" applyFont="1" applyFill="1" applyBorder="1"/>
    <xf numFmtId="164" fontId="3" fillId="0" borderId="14" xfId="1" applyNumberFormat="1" applyFont="1" applyFill="1" applyBorder="1"/>
    <xf numFmtId="0" fontId="28" fillId="10" borderId="4" xfId="0" applyFont="1" applyFill="1" applyBorder="1" applyAlignment="1">
      <alignment horizontal="center"/>
    </xf>
    <xf numFmtId="0" fontId="28" fillId="10" borderId="3" xfId="0" applyFont="1" applyFill="1" applyBorder="1" applyAlignment="1">
      <alignment horizontal="center"/>
    </xf>
    <xf numFmtId="164" fontId="28" fillId="10" borderId="2" xfId="1" applyNumberFormat="1" applyFont="1" applyFill="1" applyBorder="1" applyAlignment="1">
      <alignment horizontal="center"/>
    </xf>
    <xf numFmtId="40" fontId="2" fillId="0" borderId="0" xfId="1" applyNumberFormat="1" applyFont="1" applyFill="1" applyAlignment="1">
      <alignment horizontal="center"/>
    </xf>
    <xf numFmtId="40" fontId="2" fillId="0" borderId="0" xfId="0" applyNumberFormat="1" applyFont="1" applyFill="1" applyAlignment="1">
      <alignment horizontal="center"/>
    </xf>
    <xf numFmtId="40" fontId="2" fillId="0" borderId="0" xfId="0" applyNumberFormat="1" applyFont="1" applyFill="1" applyBorder="1" applyAlignment="1">
      <alignment horizontal="center"/>
    </xf>
    <xf numFmtId="10" fontId="2" fillId="0" borderId="0" xfId="9" applyNumberFormat="1" applyFont="1" applyFill="1" applyAlignment="1">
      <alignment horizontal="center"/>
    </xf>
    <xf numFmtId="177" fontId="0" fillId="0" borderId="0" xfId="0" applyNumberFormat="1" applyFill="1" applyAlignment="1" applyProtection="1">
      <alignment horizontal="center" vertical="center"/>
      <protection locked="0"/>
    </xf>
    <xf numFmtId="177" fontId="1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11" quotePrefix="1" applyFont="1"/>
    <xf numFmtId="0" fontId="30" fillId="0" borderId="0" xfId="12"/>
    <xf numFmtId="0" fontId="31" fillId="0" borderId="22" xfId="12" applyFont="1" applyBorder="1" applyAlignment="1">
      <alignment wrapText="1"/>
    </xf>
    <xf numFmtId="0" fontId="31" fillId="0" borderId="22" xfId="12" applyFont="1" applyBorder="1"/>
    <xf numFmtId="17" fontId="30" fillId="0" borderId="0" xfId="12" applyNumberFormat="1"/>
    <xf numFmtId="164" fontId="0" fillId="0" borderId="0" xfId="13" applyNumberFormat="1" applyFont="1"/>
    <xf numFmtId="17" fontId="30" fillId="11" borderId="0" xfId="12" applyNumberFormat="1" applyFill="1"/>
    <xf numFmtId="164" fontId="30" fillId="11" borderId="0" xfId="12" applyNumberFormat="1" applyFill="1"/>
    <xf numFmtId="164" fontId="30" fillId="0" borderId="0" xfId="12" applyNumberFormat="1"/>
    <xf numFmtId="0" fontId="12" fillId="0" borderId="0" xfId="18" quotePrefix="1" applyFont="1"/>
    <xf numFmtId="0" fontId="12" fillId="0" borderId="0" xfId="15" quotePrefix="1" applyFont="1"/>
    <xf numFmtId="0" fontId="12" fillId="0" borderId="0" xfId="14" quotePrefix="1" applyFont="1"/>
    <xf numFmtId="0" fontId="1" fillId="0" borderId="0" xfId="14"/>
    <xf numFmtId="0" fontId="1" fillId="0" borderId="0" xfId="14" quotePrefix="1"/>
    <xf numFmtId="0" fontId="12" fillId="0" borderId="0" xfId="17" quotePrefix="1" applyFont="1"/>
    <xf numFmtId="0" fontId="12" fillId="0" borderId="0" xfId="16" quotePrefix="1" applyFont="1"/>
    <xf numFmtId="0" fontId="12" fillId="0" borderId="22" xfId="17" quotePrefix="1" applyFont="1" applyFill="1" applyBorder="1" applyAlignment="1">
      <alignment wrapText="1"/>
    </xf>
    <xf numFmtId="164" fontId="1" fillId="0" borderId="0" xfId="13" applyNumberFormat="1" applyFont="1" applyFill="1"/>
    <xf numFmtId="0" fontId="31" fillId="0" borderId="0" xfId="12" applyFont="1"/>
    <xf numFmtId="0" fontId="30" fillId="0" borderId="23" xfId="12" applyBorder="1"/>
    <xf numFmtId="0" fontId="30" fillId="0" borderId="23" xfId="12" applyBorder="1" applyAlignment="1">
      <alignment horizontal="center"/>
    </xf>
    <xf numFmtId="0" fontId="20" fillId="0" borderId="24" xfId="12" quotePrefix="1" applyFont="1" applyBorder="1"/>
    <xf numFmtId="0" fontId="20" fillId="0" borderId="24" xfId="12" quotePrefix="1" applyFont="1" applyFill="1" applyBorder="1"/>
    <xf numFmtId="38" fontId="30" fillId="0" borderId="24" xfId="12" applyNumberFormat="1" applyBorder="1"/>
    <xf numFmtId="0" fontId="20" fillId="0" borderId="3" xfId="12" quotePrefix="1" applyFont="1" applyBorder="1"/>
    <xf numFmtId="38" fontId="30" fillId="0" borderId="3" xfId="12" applyNumberFormat="1" applyBorder="1"/>
    <xf numFmtId="0" fontId="20" fillId="0" borderId="3" xfId="12" quotePrefix="1" applyFont="1" applyFill="1" applyBorder="1"/>
    <xf numFmtId="0" fontId="30" fillId="0" borderId="3" xfId="12" quotePrefix="1" applyFill="1" applyBorder="1"/>
    <xf numFmtId="0" fontId="20" fillId="0" borderId="0" xfId="12" applyFont="1"/>
    <xf numFmtId="38" fontId="30" fillId="0" borderId="7" xfId="12" applyNumberFormat="1" applyBorder="1"/>
    <xf numFmtId="0" fontId="30" fillId="0" borderId="0" xfId="12" applyFill="1" applyBorder="1"/>
    <xf numFmtId="38" fontId="30" fillId="0" borderId="25" xfId="12" applyNumberFormat="1" applyBorder="1"/>
    <xf numFmtId="0" fontId="31" fillId="11" borderId="0" xfId="12" applyFont="1" applyFill="1"/>
    <xf numFmtId="38" fontId="30" fillId="0" borderId="0" xfId="12" applyNumberFormat="1"/>
    <xf numFmtId="41" fontId="1" fillId="11" borderId="0" xfId="0" applyNumberFormat="1" applyFont="1" applyFill="1"/>
    <xf numFmtId="0" fontId="2" fillId="12" borderId="3" xfId="0" applyFont="1" applyFill="1" applyBorder="1"/>
    <xf numFmtId="0" fontId="2" fillId="12" borderId="4" xfId="0" applyFont="1" applyFill="1" applyBorder="1"/>
    <xf numFmtId="0" fontId="3" fillId="0" borderId="1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/>
    <xf numFmtId="0" fontId="28" fillId="0" borderId="15" xfId="0" applyFont="1" applyFill="1" applyBorder="1"/>
    <xf numFmtId="0" fontId="28" fillId="0" borderId="7" xfId="0" quotePrefix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/>
    </xf>
    <xf numFmtId="10" fontId="28" fillId="0" borderId="0" xfId="1" applyNumberFormat="1" applyFont="1" applyFill="1" applyBorder="1" applyAlignment="1">
      <alignment horizontal="center"/>
    </xf>
    <xf numFmtId="10" fontId="0" fillId="0" borderId="0" xfId="9" applyNumberFormat="1" applyFont="1" applyFill="1"/>
    <xf numFmtId="49" fontId="32" fillId="12" borderId="2" xfId="1" applyNumberFormat="1" applyFont="1" applyFill="1" applyBorder="1" applyAlignment="1">
      <alignment horizontal="center"/>
    </xf>
    <xf numFmtId="49" fontId="32" fillId="12" borderId="3" xfId="1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quotePrefix="1" applyFont="1" applyFill="1" applyAlignment="1">
      <alignment horizontal="center"/>
    </xf>
    <xf numFmtId="0" fontId="12" fillId="0" borderId="0" xfId="0" applyFont="1" applyFill="1" applyAlignment="1"/>
  </cellXfs>
  <cellStyles count="19">
    <cellStyle name="Comma" xfId="1" builtinId="3"/>
    <cellStyle name="Comma 2" xfId="2"/>
    <cellStyle name="Comma 3" xfId="3"/>
    <cellStyle name="Comma 4" xfId="13"/>
    <cellStyle name="Normal" xfId="0" builtinId="0"/>
    <cellStyle name="Normal 2" xfId="4"/>
    <cellStyle name="Normal 3" xfId="5"/>
    <cellStyle name="Normal 4" xfId="10"/>
    <cellStyle name="Normal 5" xfId="12"/>
    <cellStyle name="Normal_COKS" xfId="6"/>
    <cellStyle name="Normal_Colorado-Kansas" xfId="14"/>
    <cellStyle name="Normal_Sheet1" xfId="7"/>
    <cellStyle name="Normal_Sheet1 2" xfId="11"/>
    <cellStyle name="Normal_Sheet3" xfId="15"/>
    <cellStyle name="Normal_Sheet5" xfId="16"/>
    <cellStyle name="Normal_Sheet6" xfId="17"/>
    <cellStyle name="Normal_WTX" xfId="18"/>
    <cellStyle name="Output Amounts" xfId="8"/>
    <cellStyle name="Percent" xfId="9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w1wn18\SHSR_WORKGROUPS\Extra%20files%20for%20calculating%20allocation%20basis%20for%20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CG"/>
      <sheetName val="Short Summary"/>
    </sheetNames>
    <sheetDataSet>
      <sheetData sheetId="0"/>
      <sheetData sheetId="1" refreshError="1">
        <row r="7">
          <cell r="C7" t="str">
            <v>0050000</v>
          </cell>
          <cell r="D7" t="str">
            <v xml:space="preserve">Chairman </v>
          </cell>
          <cell r="E7" t="str">
            <v>Residual</v>
          </cell>
        </row>
        <row r="8">
          <cell r="C8" t="str">
            <v>0052200</v>
          </cell>
          <cell r="D8" t="str">
            <v>Governmental Affairs</v>
          </cell>
          <cell r="E8" t="str">
            <v>Residual</v>
          </cell>
        </row>
        <row r="9">
          <cell r="C9" t="str">
            <v>0052100</v>
          </cell>
          <cell r="D9" t="str">
            <v>Operations</v>
          </cell>
          <cell r="E9" t="str">
            <v>Cust, Capital Adds, Employees, O&amp;M</v>
          </cell>
        </row>
        <row r="10">
          <cell r="C10" t="str">
            <v>0050500</v>
          </cell>
          <cell r="D10" t="str">
            <v>President &amp; COO</v>
          </cell>
          <cell r="E10" t="str">
            <v>Residual</v>
          </cell>
        </row>
        <row r="11">
          <cell r="C11" t="str">
            <v>0113000</v>
          </cell>
          <cell r="D11" t="str">
            <v>Assistant Controller General Acctg</v>
          </cell>
          <cell r="E11" t="str">
            <v>Avg WLC #108,109,110,&amp;111</v>
          </cell>
        </row>
        <row r="12">
          <cell r="C12" t="str">
            <v>0112900</v>
          </cell>
          <cell r="D12" t="str">
            <v>VP &amp; Controller</v>
          </cell>
          <cell r="E12" t="str">
            <v>Avg all Accounting WLC's</v>
          </cell>
        </row>
        <row r="13">
          <cell r="C13" t="str">
            <v>0113500</v>
          </cell>
          <cell r="D13" t="str">
            <v>Assistant Controller, Utility Acctg</v>
          </cell>
          <cell r="E13" t="str">
            <v>50% Cust, 17% Gas Purch Vol, 33% Cap Adds</v>
          </cell>
        </row>
        <row r="14">
          <cell r="C14" t="str">
            <v>0113100</v>
          </cell>
          <cell r="D14" t="str">
            <v>General Accounting</v>
          </cell>
          <cell r="E14" t="str">
            <v>Residual</v>
          </cell>
        </row>
        <row r="15">
          <cell r="C15" t="str">
            <v>0113200</v>
          </cell>
          <cell r="D15" t="str">
            <v>Payroll Accounting</v>
          </cell>
          <cell r="E15" t="str">
            <v>Employees</v>
          </cell>
        </row>
        <row r="16">
          <cell r="C16" t="str">
            <v>0113300</v>
          </cell>
          <cell r="D16" t="str">
            <v>Accounts Payable</v>
          </cell>
          <cell r="E16" t="str">
            <v>Purchase Orders</v>
          </cell>
        </row>
        <row r="17">
          <cell r="C17" t="str">
            <v>0113400</v>
          </cell>
          <cell r="D17" t="str">
            <v>Accounting Systems</v>
          </cell>
          <cell r="E17" t="str">
            <v>Employees</v>
          </cell>
        </row>
        <row r="18">
          <cell r="C18" t="str">
            <v>0113600</v>
          </cell>
          <cell r="D18" t="str">
            <v>Plant Accounting</v>
          </cell>
          <cell r="E18" t="str">
            <v>Capital Additions</v>
          </cell>
        </row>
        <row r="19">
          <cell r="C19" t="str">
            <v>0113700</v>
          </cell>
          <cell r="D19" t="str">
            <v>Gas Accounting</v>
          </cell>
          <cell r="E19" t="str">
            <v>%'s provided by department</v>
          </cell>
        </row>
        <row r="20">
          <cell r="C20" t="str">
            <v>0113800</v>
          </cell>
          <cell r="D20" t="str">
            <v>Customer Billing</v>
          </cell>
          <cell r="E20" t="str">
            <v>%'s provided by department</v>
          </cell>
        </row>
        <row r="21">
          <cell r="C21" t="str">
            <v>0113900</v>
          </cell>
          <cell r="D21" t="str">
            <v>Financial Reporting</v>
          </cell>
          <cell r="E21" t="str">
            <v>Residual</v>
          </cell>
        </row>
        <row r="22">
          <cell r="C22" t="str">
            <v>0052000</v>
          </cell>
          <cell r="D22" t="str">
            <v>Legal</v>
          </cell>
          <cell r="E22" t="str">
            <v>Residual</v>
          </cell>
        </row>
        <row r="23">
          <cell r="C23" t="str">
            <v>0057900</v>
          </cell>
          <cell r="D23" t="str">
            <v>Corporate Secretary</v>
          </cell>
          <cell r="E23" t="str">
            <v>Residual</v>
          </cell>
        </row>
        <row r="24">
          <cell r="C24" t="str">
            <v>0052500</v>
          </cell>
          <cell r="D24" t="str">
            <v>Utility Services</v>
          </cell>
          <cell r="E24" t="str">
            <v>Customers,Gross Plant, &amp; Employees</v>
          </cell>
        </row>
        <row r="25">
          <cell r="C25" t="str">
            <v>0054000</v>
          </cell>
          <cell r="D25" t="str">
            <v>Rates &amp; Regulatory Affairs</v>
          </cell>
          <cell r="E25" t="str">
            <v>%'s provided by department</v>
          </cell>
        </row>
        <row r="26">
          <cell r="C26" t="str">
            <v>0051600</v>
          </cell>
          <cell r="D26" t="str">
            <v>Intrastate Gas Supply</v>
          </cell>
          <cell r="E26" t="str">
            <v>%'s provided by department</v>
          </cell>
        </row>
        <row r="27">
          <cell r="C27" t="str">
            <v>0114300</v>
          </cell>
          <cell r="D27" t="str">
            <v>Budget &amp; Planning</v>
          </cell>
          <cell r="E27" t="str">
            <v>Residual</v>
          </cell>
        </row>
        <row r="28">
          <cell r="C28" t="str">
            <v>0054400</v>
          </cell>
          <cell r="D28" t="str">
            <v>Financial Planning</v>
          </cell>
          <cell r="E28" t="str">
            <v>Residual</v>
          </cell>
        </row>
        <row r="29">
          <cell r="C29" t="str">
            <v>0052400</v>
          </cell>
          <cell r="D29" t="str">
            <v>Public Affairs</v>
          </cell>
          <cell r="E29" t="str">
            <v>Residual</v>
          </cell>
        </row>
        <row r="30">
          <cell r="C30" t="str">
            <v>0054700</v>
          </cell>
          <cell r="D30" t="str">
            <v>Chief Financial Officer</v>
          </cell>
          <cell r="E30" t="str">
            <v>Residual</v>
          </cell>
        </row>
        <row r="31">
          <cell r="C31" t="str">
            <v>0114800</v>
          </cell>
          <cell r="D31" t="str">
            <v>Dallas Treasurer</v>
          </cell>
          <cell r="E31" t="str">
            <v>Residual</v>
          </cell>
        </row>
        <row r="32">
          <cell r="C32" t="str">
            <v>0054900</v>
          </cell>
          <cell r="D32" t="str">
            <v>Investor Relations</v>
          </cell>
          <cell r="E32" t="str">
            <v>Residual</v>
          </cell>
        </row>
        <row r="33">
          <cell r="C33" t="str">
            <v>0114600</v>
          </cell>
          <cell r="D33" t="str">
            <v>Dallas Taxation</v>
          </cell>
          <cell r="E33" t="str">
            <v>Residual</v>
          </cell>
        </row>
        <row r="34">
          <cell r="C34" t="str">
            <v>0114500</v>
          </cell>
          <cell r="D34" t="str">
            <v>Dallas Treasury</v>
          </cell>
          <cell r="E34" t="str">
            <v>Customers &amp; Gas Purchase Volumes</v>
          </cell>
        </row>
        <row r="35">
          <cell r="C35" t="str">
            <v>0056000</v>
          </cell>
          <cell r="D35" t="str">
            <v>Marketing</v>
          </cell>
          <cell r="E35" t="str">
            <v>Resident./Comm. Cust's</v>
          </cell>
        </row>
        <row r="36">
          <cell r="C36" t="str">
            <v>0056200</v>
          </cell>
          <cell r="D36" t="str">
            <v>Technical Services</v>
          </cell>
          <cell r="E36" t="str">
            <v>Capital Additions and O&amp;M Expenses</v>
          </cell>
        </row>
        <row r="37">
          <cell r="C37" t="str">
            <v>0116400</v>
          </cell>
          <cell r="D37" t="str">
            <v>Internal Audit</v>
          </cell>
          <cell r="E37" t="str">
            <v>Residual</v>
          </cell>
        </row>
        <row r="38">
          <cell r="C38" t="str">
            <v>0051900</v>
          </cell>
          <cell r="D38" t="str">
            <v>Gas Supply</v>
          </cell>
          <cell r="E38" t="str">
            <v>%'s provided by department</v>
          </cell>
        </row>
        <row r="39">
          <cell r="C39" t="str">
            <v>0051500</v>
          </cell>
          <cell r="D39" t="str">
            <v>Interstate Gas Supply</v>
          </cell>
          <cell r="E39" t="str">
            <v>%'s provided by department</v>
          </cell>
        </row>
        <row r="40">
          <cell r="C40" t="str">
            <v>0056100</v>
          </cell>
          <cell r="D40" t="str">
            <v>Professional Development</v>
          </cell>
          <cell r="E40" t="str">
            <v>Capital Additions and O&amp;M Expenses</v>
          </cell>
        </row>
        <row r="41">
          <cell r="C41" t="str">
            <v>0117100</v>
          </cell>
          <cell r="D41" t="str">
            <v>Corporate Services</v>
          </cell>
          <cell r="E41" t="str">
            <v>Residual</v>
          </cell>
        </row>
        <row r="42">
          <cell r="C42" t="str">
            <v>0117200</v>
          </cell>
          <cell r="D42" t="str">
            <v>Compensation &amp; Employment</v>
          </cell>
          <cell r="E42" t="str">
            <v>Employees</v>
          </cell>
        </row>
        <row r="43">
          <cell r="C43" t="str">
            <v>0117300</v>
          </cell>
          <cell r="D43" t="str">
            <v>Human Resources</v>
          </cell>
          <cell r="E43" t="str">
            <v>Employees</v>
          </cell>
        </row>
        <row r="44">
          <cell r="C44" t="str">
            <v>0117500</v>
          </cell>
          <cell r="D44" t="str">
            <v>Employee Benefits</v>
          </cell>
          <cell r="E44" t="str">
            <v>Employees</v>
          </cell>
        </row>
        <row r="45">
          <cell r="C45" t="str">
            <v>0117600</v>
          </cell>
          <cell r="D45" t="str">
            <v>Purchasing</v>
          </cell>
          <cell r="E45" t="str">
            <v>Purchase Orders</v>
          </cell>
        </row>
        <row r="46">
          <cell r="C46" t="str">
            <v>0117700</v>
          </cell>
          <cell r="D46" t="str">
            <v>Corp. &amp; Employee Communications</v>
          </cell>
          <cell r="E46" t="str">
            <v>Customers &amp; Employees</v>
          </cell>
        </row>
        <row r="47">
          <cell r="C47" t="str">
            <v>0115000</v>
          </cell>
          <cell r="D47" t="str">
            <v>Information Services</v>
          </cell>
          <cell r="E47" t="str">
            <v>Avg of all IS Departments (Customers)</v>
          </cell>
        </row>
        <row r="48">
          <cell r="C48" t="str">
            <v>0118000</v>
          </cell>
          <cell r="D48" t="str">
            <v>Remittance Processing</v>
          </cell>
          <cell r="E48" t="str">
            <v>Customers</v>
          </cell>
        </row>
        <row r="49">
          <cell r="C49" t="str">
            <v>0118100</v>
          </cell>
          <cell r="D49" t="str">
            <v>Employee Development</v>
          </cell>
          <cell r="E49" t="str">
            <v>Employees</v>
          </cell>
        </row>
        <row r="50">
          <cell r="C50" t="str">
            <v>0118200</v>
          </cell>
          <cell r="D50" t="str">
            <v>Central Records</v>
          </cell>
          <cell r="E50" t="str">
            <v>Customers</v>
          </cell>
        </row>
        <row r="51">
          <cell r="C51" t="str">
            <v>0118300</v>
          </cell>
          <cell r="D51" t="str">
            <v>Stores</v>
          </cell>
          <cell r="E51" t="str">
            <v>None</v>
          </cell>
        </row>
        <row r="52">
          <cell r="C52" t="str">
            <v>0115600</v>
          </cell>
          <cell r="D52" t="str">
            <v>Telecommunication Services</v>
          </cell>
          <cell r="E52" t="str">
            <v>Customers</v>
          </cell>
        </row>
        <row r="53">
          <cell r="C53" t="str">
            <v>0115400</v>
          </cell>
          <cell r="D53" t="str">
            <v>Information Support</v>
          </cell>
          <cell r="E53" t="str">
            <v>Customers</v>
          </cell>
        </row>
        <row r="54">
          <cell r="C54" t="str">
            <v>0115300</v>
          </cell>
          <cell r="D54" t="str">
            <v>Development Services</v>
          </cell>
          <cell r="E54" t="str">
            <v>Customers</v>
          </cell>
        </row>
        <row r="55">
          <cell r="C55" t="str">
            <v>0115100</v>
          </cell>
          <cell r="D55" t="str">
            <v>Production Services</v>
          </cell>
          <cell r="E55" t="str">
            <v>Customers</v>
          </cell>
        </row>
        <row r="56">
          <cell r="C56" t="str">
            <v>0118600</v>
          </cell>
          <cell r="D56" t="str">
            <v>Purchasing &amp; Stores</v>
          </cell>
          <cell r="E56" t="str">
            <v>Purchase Orders &amp; Residual</v>
          </cell>
        </row>
        <row r="57">
          <cell r="C57" t="str">
            <v>0118500</v>
          </cell>
          <cell r="D57" t="str">
            <v>Mail &amp; Supply</v>
          </cell>
          <cell r="E57" t="str">
            <v>Employees</v>
          </cell>
        </row>
        <row r="58">
          <cell r="C58" t="str">
            <v>0115500</v>
          </cell>
          <cell r="D58" t="str">
            <v>Office Systems</v>
          </cell>
          <cell r="E58" t="str">
            <v>Customers</v>
          </cell>
        </row>
        <row r="59">
          <cell r="C59" t="str">
            <v>0119000</v>
          </cell>
          <cell r="D59" t="str">
            <v>Employee Relocation Expense</v>
          </cell>
          <cell r="E59" t="str">
            <v>Residual for 02/Direct for others</v>
          </cell>
        </row>
        <row r="60">
          <cell r="C60" t="str">
            <v>0119200</v>
          </cell>
          <cell r="D60" t="str">
            <v>Controller Miscellaneous</v>
          </cell>
          <cell r="E60" t="str">
            <v>Residual</v>
          </cell>
        </row>
        <row r="61">
          <cell r="C61" t="str">
            <v>0119600</v>
          </cell>
          <cell r="D61" t="str">
            <v>Retirement Cost</v>
          </cell>
          <cell r="E61" t="str">
            <v>Residual</v>
          </cell>
        </row>
        <row r="62">
          <cell r="C62" t="str">
            <v>0119210</v>
          </cell>
          <cell r="D62" t="str">
            <v>Performance Plan</v>
          </cell>
          <cell r="E62" t="str">
            <v>Residual</v>
          </cell>
        </row>
        <row r="63">
          <cell r="C63" t="str">
            <v>0119800</v>
          </cell>
          <cell r="D63" t="str">
            <v>A&amp;G O/H Capitl'd (Div 02)</v>
          </cell>
          <cell r="E63" t="str">
            <v>Residual</v>
          </cell>
        </row>
        <row r="64">
          <cell r="C64" t="str">
            <v>0119800</v>
          </cell>
          <cell r="D64" t="str">
            <v>A&amp;G O/H Capitalized</v>
          </cell>
          <cell r="E64" t="str">
            <v>% of Capital Expenditures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Q262"/>
  <sheetViews>
    <sheetView showGridLines="0" tabSelected="1" view="pageBreakPreview" zoomScaleNormal="85" zoomScaleSheetLayoutView="100" workbookViewId="0">
      <selection activeCell="I27" sqref="I27"/>
    </sheetView>
  </sheetViews>
  <sheetFormatPr defaultRowHeight="12.75" x14ac:dyDescent="0.2"/>
  <cols>
    <col min="1" max="1" width="4" style="19" customWidth="1"/>
    <col min="2" max="2" width="0.85546875" style="5" customWidth="1"/>
    <col min="3" max="3" width="33.5703125" style="5" customWidth="1"/>
    <col min="4" max="4" width="5.7109375" style="5" customWidth="1"/>
    <col min="5" max="5" width="4" style="5" customWidth="1"/>
    <col min="6" max="6" width="1.42578125" style="5" customWidth="1"/>
    <col min="7" max="7" width="19.85546875" style="5" bestFit="1" customWidth="1"/>
    <col min="8" max="8" width="1.85546875" style="5" customWidth="1"/>
    <col min="9" max="9" width="17.42578125" style="8" customWidth="1"/>
    <col min="10" max="10" width="2.140625" style="5" customWidth="1"/>
    <col min="11" max="11" width="15.85546875" style="5" bestFit="1" customWidth="1"/>
    <col min="12" max="12" width="3" style="5" customWidth="1"/>
    <col min="13" max="13" width="15.42578125" style="5" bestFit="1" customWidth="1"/>
    <col min="14" max="14" width="2.5703125" style="48" customWidth="1"/>
    <col min="15" max="15" width="15.42578125" style="5" bestFit="1" customWidth="1"/>
    <col min="16" max="16" width="2.42578125" style="48" customWidth="1"/>
    <col min="17" max="17" width="16.85546875" style="5" bestFit="1" customWidth="1"/>
    <col min="18" max="18" width="3.140625" style="48" customWidth="1"/>
    <col min="19" max="19" width="15.42578125" style="5" bestFit="1" customWidth="1"/>
    <col min="20" max="20" width="0.85546875" style="48" customWidth="1"/>
    <col min="21" max="21" width="16.85546875" style="5" bestFit="1" customWidth="1"/>
    <col min="22" max="22" width="0.5703125" style="48" customWidth="1"/>
    <col min="23" max="23" width="16.85546875" style="5" bestFit="1" customWidth="1"/>
    <col min="24" max="24" width="4.7109375" style="48" customWidth="1"/>
    <col min="25" max="25" width="17" style="5" customWidth="1"/>
    <col min="26" max="26" width="2.140625" style="10" customWidth="1"/>
    <col min="27" max="27" width="14.28515625" style="10" bestFit="1" customWidth="1"/>
    <col min="28" max="28" width="2.5703125" style="10" customWidth="1"/>
    <col min="29" max="29" width="14.28515625" style="5" bestFit="1" customWidth="1"/>
    <col min="30" max="30" width="2.28515625" style="5" customWidth="1"/>
    <col min="31" max="31" width="11.5703125" style="5" bestFit="1" customWidth="1"/>
    <col min="32" max="32" width="2.42578125" style="5" customWidth="1"/>
    <col min="33" max="33" width="17.42578125" style="10" customWidth="1"/>
    <col min="34" max="34" width="2.42578125" style="10" customWidth="1"/>
    <col min="35" max="35" width="16.42578125" style="5" customWidth="1"/>
    <col min="36" max="36" width="2.7109375" style="5" customWidth="1"/>
    <col min="37" max="37" width="14.28515625" style="5" bestFit="1" customWidth="1"/>
    <col min="38" max="38" width="2.7109375" style="5" customWidth="1"/>
    <col min="39" max="39" width="11.7109375" style="5" customWidth="1"/>
    <col min="40" max="40" width="1.85546875" style="5" customWidth="1"/>
    <col min="41" max="41" width="12.140625" style="5" customWidth="1"/>
    <col min="42" max="42" width="1.7109375" style="5" customWidth="1"/>
    <col min="43" max="43" width="12.140625" style="5" customWidth="1"/>
    <col min="44" max="44" width="1.5703125" style="5" customWidth="1"/>
    <col min="45" max="45" width="11.5703125" style="5" customWidth="1"/>
    <col min="46" max="46" width="1.85546875" style="5" customWidth="1"/>
    <col min="47" max="47" width="13.5703125" style="5" customWidth="1"/>
    <col min="48" max="48" width="2.140625" style="5" customWidth="1"/>
    <col min="49" max="49" width="11" style="5" customWidth="1"/>
    <col min="50" max="50" width="1.7109375" style="5" customWidth="1"/>
    <col min="51" max="51" width="11.7109375" style="5" customWidth="1"/>
    <col min="52" max="52" width="2.140625" style="5" customWidth="1"/>
    <col min="53" max="53" width="2.5703125" style="5" customWidth="1"/>
    <col min="54" max="54" width="10.85546875" style="5" customWidth="1"/>
    <col min="55" max="55" width="1.7109375" style="5" customWidth="1"/>
    <col min="56" max="56" width="11.5703125" style="5" customWidth="1"/>
    <col min="57" max="57" width="2.28515625" style="5" customWidth="1"/>
    <col min="58" max="58" width="12.7109375" style="5" customWidth="1"/>
    <col min="59" max="59" width="13.7109375" style="5" customWidth="1"/>
    <col min="60" max="16384" width="9.140625" style="5"/>
  </cols>
  <sheetData>
    <row r="1" spans="1:58" s="12" customFormat="1" x14ac:dyDescent="0.2">
      <c r="A1" s="11"/>
      <c r="B1" s="11"/>
      <c r="C1" s="11"/>
      <c r="D1" s="11"/>
      <c r="E1" s="11"/>
      <c r="F1" s="11"/>
      <c r="G1" s="11"/>
      <c r="H1" s="11"/>
      <c r="I1" s="41"/>
      <c r="J1" s="11"/>
      <c r="K1" s="11"/>
      <c r="L1" s="11"/>
      <c r="M1" s="11"/>
      <c r="N1" s="100"/>
      <c r="O1" s="11"/>
      <c r="P1" s="100"/>
      <c r="Q1" s="11"/>
      <c r="R1" s="100"/>
      <c r="T1" s="100"/>
      <c r="U1" s="11"/>
      <c r="V1" s="100"/>
      <c r="W1" s="11"/>
      <c r="X1" s="100"/>
      <c r="Y1" s="11"/>
      <c r="Z1" s="35"/>
      <c r="AA1" s="35"/>
      <c r="AB1" s="35"/>
      <c r="AC1" s="11"/>
      <c r="AD1" s="11"/>
      <c r="AE1" s="35"/>
      <c r="AF1" s="35"/>
      <c r="AG1" s="35"/>
      <c r="AH1" s="35"/>
      <c r="AI1" s="11"/>
      <c r="AJ1" s="11"/>
      <c r="AK1" s="11"/>
      <c r="AL1" s="11"/>
      <c r="AM1" s="11"/>
      <c r="AN1" s="35"/>
      <c r="AO1" s="35"/>
      <c r="AP1" s="100"/>
      <c r="AQ1" s="11"/>
      <c r="AR1" s="11"/>
      <c r="AS1" s="11"/>
      <c r="AT1" s="35"/>
      <c r="AU1" s="35"/>
      <c r="AV1" s="100"/>
      <c r="AW1" s="11"/>
      <c r="AX1" s="11"/>
      <c r="AY1" s="11"/>
      <c r="AZ1" s="35"/>
      <c r="BA1" s="100"/>
      <c r="BB1" s="11"/>
      <c r="BC1" s="11"/>
      <c r="BD1" s="11"/>
      <c r="BE1" s="35"/>
      <c r="BF1" s="35"/>
    </row>
    <row r="2" spans="1:58" s="12" customFormat="1" ht="15" x14ac:dyDescent="0.25">
      <c r="A2" s="11"/>
      <c r="B2" s="11"/>
      <c r="C2" s="11"/>
      <c r="D2" s="11"/>
      <c r="E2" s="11"/>
      <c r="F2" s="11"/>
      <c r="G2" s="11"/>
      <c r="H2" s="11"/>
      <c r="I2" s="41"/>
      <c r="J2" s="11"/>
      <c r="K2" s="11"/>
      <c r="L2" s="11"/>
      <c r="M2" s="11"/>
      <c r="N2" s="100"/>
      <c r="O2" s="11"/>
      <c r="P2" s="100"/>
      <c r="Q2" s="11"/>
      <c r="R2" s="100"/>
      <c r="T2" s="100"/>
      <c r="U2" s="11"/>
      <c r="V2" s="100"/>
      <c r="W2" s="11"/>
      <c r="X2" s="100"/>
      <c r="Y2" s="134"/>
      <c r="Z2" s="35"/>
      <c r="AA2" s="35"/>
      <c r="AB2" s="35"/>
      <c r="AC2" s="11"/>
      <c r="AD2" s="11"/>
      <c r="AE2" s="35"/>
      <c r="AF2" s="35"/>
      <c r="AG2" s="35"/>
      <c r="AH2" s="35"/>
      <c r="AI2" s="11"/>
      <c r="AJ2" s="11"/>
      <c r="AK2" s="11"/>
      <c r="AL2" s="11"/>
      <c r="AM2" s="11"/>
      <c r="AN2" s="35"/>
      <c r="AO2" s="35"/>
      <c r="AP2" s="100"/>
      <c r="AQ2" s="11"/>
      <c r="AR2" s="11"/>
      <c r="AS2" s="11"/>
      <c r="AT2" s="35"/>
      <c r="AU2" s="35"/>
      <c r="AV2" s="100"/>
      <c r="AW2" s="11"/>
      <c r="AX2" s="11"/>
      <c r="AY2" s="11"/>
      <c r="AZ2" s="35"/>
      <c r="BA2" s="100"/>
      <c r="BB2" s="11"/>
      <c r="BC2" s="11"/>
      <c r="BD2" s="11"/>
      <c r="BE2" s="35"/>
      <c r="BF2" s="35"/>
    </row>
    <row r="3" spans="1:58" s="12" customFormat="1" x14ac:dyDescent="0.2">
      <c r="A3" s="42" t="s">
        <v>0</v>
      </c>
      <c r="B3" s="11"/>
      <c r="C3" s="11"/>
      <c r="D3" s="11"/>
      <c r="E3" s="11"/>
      <c r="F3" s="11"/>
      <c r="G3" s="11"/>
      <c r="H3" s="11"/>
      <c r="I3" s="41"/>
      <c r="J3" s="11"/>
      <c r="K3" s="11"/>
      <c r="L3" s="11"/>
      <c r="M3" s="11"/>
      <c r="N3" s="100"/>
      <c r="O3" s="11"/>
      <c r="P3" s="100"/>
      <c r="Q3" s="11"/>
      <c r="R3" s="100"/>
      <c r="T3" s="100"/>
      <c r="U3" s="11"/>
      <c r="V3" s="100"/>
      <c r="W3" s="11"/>
      <c r="X3" s="100"/>
      <c r="Y3" s="135"/>
      <c r="Z3" s="35"/>
      <c r="AA3" s="35"/>
      <c r="AB3" s="35"/>
      <c r="AC3" s="11"/>
      <c r="AD3" s="11"/>
      <c r="AE3" s="35"/>
      <c r="AF3" s="35"/>
      <c r="AG3" s="35"/>
      <c r="AH3" s="35"/>
      <c r="AI3" s="11"/>
      <c r="AJ3" s="11"/>
      <c r="AK3" s="11"/>
      <c r="AL3" s="11"/>
      <c r="AM3" s="11"/>
      <c r="AN3" s="35"/>
      <c r="AO3" s="35"/>
      <c r="AP3" s="100"/>
      <c r="AQ3" s="11"/>
      <c r="AR3" s="11"/>
      <c r="AS3" s="11"/>
      <c r="AT3" s="35"/>
      <c r="AU3" s="35"/>
      <c r="AV3" s="100"/>
      <c r="AW3" s="11"/>
      <c r="AX3" s="11"/>
      <c r="AY3" s="11"/>
      <c r="AZ3" s="35"/>
      <c r="BA3" s="100"/>
      <c r="BB3" s="11"/>
      <c r="BC3" s="11"/>
      <c r="BD3" s="11"/>
      <c r="BE3" s="35"/>
      <c r="BF3" s="35"/>
    </row>
    <row r="4" spans="1:58" s="12" customFormat="1" x14ac:dyDescent="0.2">
      <c r="A4" s="42" t="s">
        <v>411</v>
      </c>
      <c r="B4" s="11"/>
      <c r="C4" s="11"/>
      <c r="D4" s="11"/>
      <c r="E4" s="11"/>
      <c r="F4" s="11"/>
      <c r="G4" s="11"/>
      <c r="H4" s="11"/>
      <c r="I4" s="41"/>
      <c r="J4" s="11"/>
      <c r="K4" s="11"/>
      <c r="L4" s="11"/>
      <c r="M4" s="11"/>
      <c r="N4" s="100"/>
      <c r="O4" s="11"/>
      <c r="P4" s="100"/>
      <c r="Q4" s="11"/>
      <c r="R4" s="100"/>
      <c r="T4" s="100"/>
      <c r="U4" s="11"/>
      <c r="V4" s="100"/>
      <c r="W4" s="11"/>
      <c r="X4" s="100"/>
      <c r="Y4" s="11"/>
      <c r="Z4" s="35"/>
      <c r="AA4" s="35"/>
      <c r="AB4" s="35"/>
      <c r="AC4" s="11"/>
      <c r="AD4" s="11"/>
      <c r="AE4" s="35"/>
      <c r="AF4" s="35"/>
      <c r="AG4" s="35"/>
      <c r="AH4" s="35"/>
      <c r="AI4" s="179"/>
      <c r="AJ4" s="179"/>
      <c r="AK4" s="11"/>
      <c r="AL4" s="11"/>
      <c r="AM4" s="11"/>
      <c r="AN4" s="35"/>
      <c r="AO4" s="35"/>
      <c r="AP4" s="100"/>
      <c r="AQ4" s="11"/>
      <c r="AR4" s="11"/>
      <c r="AS4" s="11"/>
      <c r="AT4" s="35"/>
      <c r="AU4" s="35"/>
      <c r="AV4" s="100"/>
      <c r="AW4" s="11"/>
      <c r="AX4" s="11"/>
      <c r="AY4" s="11"/>
      <c r="AZ4" s="35"/>
      <c r="BA4" s="100"/>
      <c r="BB4" s="11"/>
      <c r="BC4" s="11"/>
      <c r="BD4" s="11"/>
      <c r="BE4" s="35"/>
      <c r="BF4" s="35"/>
    </row>
    <row r="5" spans="1:58" s="12" customFormat="1" x14ac:dyDescent="0.2">
      <c r="A5" s="43"/>
      <c r="I5" s="44"/>
      <c r="N5" s="101"/>
      <c r="P5" s="101"/>
      <c r="R5" s="101"/>
      <c r="T5" s="101"/>
      <c r="V5" s="101"/>
      <c r="X5" s="101"/>
      <c r="AG5" s="12" t="s">
        <v>138</v>
      </c>
      <c r="AI5" s="115"/>
      <c r="AJ5" s="115"/>
      <c r="AP5" s="101"/>
      <c r="AV5" s="101"/>
      <c r="BA5" s="101"/>
    </row>
    <row r="6" spans="1:58" s="6" customFormat="1" x14ac:dyDescent="0.2">
      <c r="A6" s="43"/>
      <c r="I6" s="82">
        <v>30</v>
      </c>
      <c r="K6" s="6">
        <v>60</v>
      </c>
      <c r="M6" s="6">
        <v>20</v>
      </c>
      <c r="N6" s="20"/>
      <c r="O6" s="6">
        <v>20</v>
      </c>
      <c r="P6" s="20"/>
      <c r="Q6" s="6">
        <v>50</v>
      </c>
      <c r="R6" s="20"/>
      <c r="S6" s="6">
        <v>70</v>
      </c>
      <c r="T6" s="20"/>
      <c r="U6" s="6">
        <v>80</v>
      </c>
      <c r="V6" s="20"/>
      <c r="W6" s="6">
        <v>180</v>
      </c>
      <c r="X6" s="20"/>
      <c r="Y6" s="172">
        <v>212</v>
      </c>
      <c r="AA6" s="172">
        <v>232</v>
      </c>
      <c r="AC6" s="172">
        <v>233</v>
      </c>
      <c r="AE6" s="172">
        <v>303</v>
      </c>
      <c r="AG6" s="176" t="s">
        <v>110</v>
      </c>
      <c r="AI6" s="176">
        <v>221</v>
      </c>
      <c r="AK6" s="176">
        <v>231</v>
      </c>
      <c r="AM6" s="176">
        <v>234</v>
      </c>
      <c r="AO6" s="176">
        <v>236</v>
      </c>
      <c r="AP6" s="20"/>
      <c r="AQ6" s="176">
        <v>237</v>
      </c>
      <c r="AS6" s="176">
        <v>239</v>
      </c>
      <c r="AU6" s="176">
        <v>240</v>
      </c>
      <c r="AV6" s="20"/>
      <c r="AW6" s="176">
        <v>301</v>
      </c>
      <c r="AY6" s="176">
        <v>302</v>
      </c>
      <c r="BA6" s="20"/>
      <c r="BB6" s="176">
        <v>306</v>
      </c>
      <c r="BD6" s="176">
        <v>312</v>
      </c>
      <c r="BF6" s="176">
        <v>321</v>
      </c>
    </row>
    <row r="7" spans="1:58" s="6" customFormat="1" ht="15.75" x14ac:dyDescent="0.25">
      <c r="A7" s="43"/>
      <c r="C7" s="136" t="s">
        <v>80</v>
      </c>
      <c r="E7" s="237"/>
      <c r="F7" s="237"/>
      <c r="G7" s="237"/>
      <c r="H7" s="237"/>
      <c r="I7" s="295" t="s">
        <v>192</v>
      </c>
      <c r="J7" s="239"/>
      <c r="K7" s="296" t="s">
        <v>193</v>
      </c>
      <c r="L7" s="239"/>
      <c r="M7" s="296" t="s">
        <v>194</v>
      </c>
      <c r="N7" s="300"/>
      <c r="O7" s="296" t="s">
        <v>194</v>
      </c>
      <c r="P7" s="240"/>
      <c r="Q7" s="296" t="s">
        <v>195</v>
      </c>
      <c r="R7" s="240"/>
      <c r="S7" s="296" t="s">
        <v>196</v>
      </c>
      <c r="T7" s="240"/>
      <c r="U7" s="296" t="s">
        <v>197</v>
      </c>
      <c r="V7" s="240"/>
      <c r="W7" s="296" t="s">
        <v>198</v>
      </c>
      <c r="X7" s="240"/>
      <c r="Y7" s="296" t="s">
        <v>199</v>
      </c>
      <c r="Z7" s="239"/>
      <c r="AA7" s="296" t="s">
        <v>259</v>
      </c>
      <c r="AB7" s="239"/>
      <c r="AC7" s="296" t="s">
        <v>200</v>
      </c>
      <c r="AD7" s="239"/>
      <c r="AE7" s="296" t="s">
        <v>201</v>
      </c>
      <c r="AF7" s="239"/>
      <c r="AG7" s="296" t="s">
        <v>202</v>
      </c>
      <c r="AP7" s="20"/>
      <c r="AV7" s="20"/>
      <c r="BA7" s="20"/>
    </row>
    <row r="8" spans="1:58" s="6" customFormat="1" ht="38.25" x14ac:dyDescent="0.2">
      <c r="A8" s="45" t="s">
        <v>8</v>
      </c>
      <c r="B8" s="46"/>
      <c r="C8" s="47"/>
      <c r="E8" s="20"/>
      <c r="G8" s="7" t="s">
        <v>1</v>
      </c>
      <c r="I8" s="83" t="s">
        <v>13</v>
      </c>
      <c r="K8" s="7" t="s">
        <v>10</v>
      </c>
      <c r="M8" s="7" t="s">
        <v>11</v>
      </c>
      <c r="N8" s="20"/>
      <c r="O8" s="7" t="s">
        <v>12</v>
      </c>
      <c r="P8" s="20"/>
      <c r="Q8" s="112" t="s">
        <v>83</v>
      </c>
      <c r="R8" s="20"/>
      <c r="S8" s="7" t="s">
        <v>82</v>
      </c>
      <c r="T8" s="20"/>
      <c r="U8" s="7" t="s">
        <v>14</v>
      </c>
      <c r="V8" s="20"/>
      <c r="W8" s="9" t="s">
        <v>84</v>
      </c>
      <c r="X8" s="20"/>
      <c r="Y8" s="7" t="s">
        <v>86</v>
      </c>
      <c r="AA8" s="9" t="s">
        <v>125</v>
      </c>
      <c r="AB8" s="9"/>
      <c r="AC8" s="9" t="s">
        <v>87</v>
      </c>
      <c r="AD8" s="9"/>
      <c r="AE8" s="9" t="s">
        <v>89</v>
      </c>
      <c r="AF8" s="139"/>
      <c r="AG8" s="6" t="s">
        <v>135</v>
      </c>
      <c r="AI8" s="9" t="s">
        <v>123</v>
      </c>
      <c r="AJ8" s="9"/>
      <c r="AK8" s="9" t="s">
        <v>124</v>
      </c>
      <c r="AL8" s="9"/>
      <c r="AM8" s="9" t="s">
        <v>126</v>
      </c>
      <c r="AO8" s="9" t="s">
        <v>88</v>
      </c>
      <c r="AP8" s="20"/>
      <c r="AQ8" s="9" t="s">
        <v>127</v>
      </c>
      <c r="AS8" s="9">
        <v>239</v>
      </c>
      <c r="AU8" s="9">
        <v>240</v>
      </c>
      <c r="AV8" s="20"/>
      <c r="AW8" s="9" t="s">
        <v>128</v>
      </c>
      <c r="AX8" s="9"/>
      <c r="AY8" s="9" t="s">
        <v>129</v>
      </c>
      <c r="BA8" s="20"/>
      <c r="BB8" s="9" t="s">
        <v>130</v>
      </c>
      <c r="BD8" s="9" t="s">
        <v>131</v>
      </c>
      <c r="BF8" s="9" t="s">
        <v>132</v>
      </c>
    </row>
    <row r="9" spans="1:58" x14ac:dyDescent="0.2">
      <c r="G9" s="48"/>
      <c r="H9" s="48"/>
      <c r="I9" s="49"/>
      <c r="AE9" s="10"/>
      <c r="AF9" s="10"/>
      <c r="AN9" s="10"/>
      <c r="AO9" s="10"/>
      <c r="AP9" s="48"/>
      <c r="AT9" s="10"/>
      <c r="AU9" s="10"/>
      <c r="AV9" s="48"/>
      <c r="AZ9" s="10"/>
      <c r="BA9" s="48"/>
      <c r="BE9" s="10"/>
      <c r="BF9" s="10"/>
    </row>
    <row r="10" spans="1:58" s="3" customFormat="1" x14ac:dyDescent="0.2">
      <c r="A10" s="19"/>
      <c r="C10" s="2" t="s">
        <v>2</v>
      </c>
      <c r="D10" s="10"/>
      <c r="E10" s="3" t="s">
        <v>3</v>
      </c>
      <c r="G10" s="84">
        <f>SUM(I10:AG10)</f>
        <v>8527002426.3599997</v>
      </c>
      <c r="H10" s="49"/>
      <c r="I10" s="113">
        <f>102800323.01+1031544.12+271061554.61+3700669.92+4387006.83+5501113.46+126052636.04+46245.55+431175.57+31641885.38+7591063.05+34350310.84+63045.86</f>
        <v>588658574.24000001</v>
      </c>
      <c r="J10" s="8"/>
      <c r="K10" s="113">
        <f>1610315.39+87585994.71+46476972.92+46686385.77+38736367.43+301561933.6+8051.75</f>
        <v>522666021.57000005</v>
      </c>
      <c r="L10" s="8"/>
      <c r="M10" s="113">
        <f>196802776</f>
        <v>196802776</v>
      </c>
      <c r="N10" s="49"/>
      <c r="O10" s="113">
        <v>532048476.17000002</v>
      </c>
      <c r="P10" s="49"/>
      <c r="Q10" s="113">
        <f>5054275.74+439125616.66+66181.17-66181.17+77963000.63+544441.93+424189446.38</f>
        <v>946876781.34000003</v>
      </c>
      <c r="R10" s="49"/>
      <c r="S10" s="113">
        <f>482221680.77+11746000+906065.43</f>
        <v>494873746.19999999</v>
      </c>
      <c r="T10" s="49"/>
      <c r="U10" s="113">
        <f>2732732131.15+622455458.83+38087571.65-18185.78-44433.17</f>
        <v>3393212542.6799998</v>
      </c>
      <c r="V10" s="49"/>
      <c r="W10" s="113">
        <f>1757100641.13</f>
        <v>1757100641.1300001</v>
      </c>
      <c r="X10" s="49"/>
      <c r="Y10" s="113">
        <f>8514.25+501731.23-228488.44+3787048.05+1220498.15+26398457.39+356990.41+85583.51+152803.5+39783.66+3852534.72</f>
        <v>36175456.430000007</v>
      </c>
      <c r="Z10" s="8"/>
      <c r="AA10" s="113">
        <f>478143.58+8101630.37</f>
        <v>8579773.9499999993</v>
      </c>
      <c r="AB10" s="113"/>
      <c r="AC10" s="113">
        <f>14489264.32+27901.77</f>
        <v>14517166.09</v>
      </c>
      <c r="AD10" s="113"/>
      <c r="AE10" s="113">
        <f>23688176.48+63809.88+21359.49+740392.5+27293.55-8892.99</f>
        <v>24532138.91</v>
      </c>
      <c r="AF10" s="49"/>
      <c r="AG10" s="8">
        <f>AI10+AK10+AM10+AO10+AQ10+AS10+AU10+AW10+AY10+BB10+BD10+BF10</f>
        <v>10958331.65</v>
      </c>
      <c r="AH10" s="8"/>
      <c r="AI10" s="113"/>
      <c r="AJ10" s="113"/>
      <c r="AK10" s="113">
        <f>284890.77</f>
        <v>284890.77</v>
      </c>
      <c r="AL10" s="113"/>
      <c r="AM10" s="113">
        <f>6399991.36</f>
        <v>6399991.3600000003</v>
      </c>
      <c r="AN10" s="8"/>
      <c r="AO10" s="113">
        <f>263484.49+1538394.46+95092.83+1752880+17425.5</f>
        <v>3667277.2800000003</v>
      </c>
      <c r="AP10" s="49"/>
      <c r="AQ10" s="113"/>
      <c r="AR10" s="4"/>
      <c r="AS10" s="113"/>
      <c r="AT10" s="8"/>
      <c r="AU10" s="113"/>
      <c r="AV10" s="49"/>
      <c r="AW10" s="113">
        <f>52368.66</f>
        <v>52368.66</v>
      </c>
      <c r="AX10" s="113"/>
      <c r="AY10" s="113"/>
      <c r="AZ10" s="8"/>
      <c r="BA10" s="49"/>
      <c r="BB10" s="113">
        <f>553803.58</f>
        <v>553803.57999999996</v>
      </c>
      <c r="BC10" s="4"/>
      <c r="BD10" s="113"/>
      <c r="BE10" s="8"/>
      <c r="BF10" s="113"/>
    </row>
    <row r="11" spans="1:58" s="3" customFormat="1" x14ac:dyDescent="0.2">
      <c r="A11" s="19"/>
      <c r="C11" s="3" t="s">
        <v>4</v>
      </c>
      <c r="D11" s="10"/>
      <c r="E11" s="3" t="s">
        <v>5</v>
      </c>
      <c r="G11" s="84">
        <f>SUM(I11:AG11)</f>
        <v>3061940.916666667</v>
      </c>
      <c r="H11" s="49"/>
      <c r="I11" s="114">
        <f>'Sum customer count'!D2</f>
        <v>299552.75</v>
      </c>
      <c r="J11" s="8"/>
      <c r="K11" s="113">
        <f>'Sum customer count'!D3</f>
        <v>243083.75</v>
      </c>
      <c r="L11" s="8"/>
      <c r="M11" s="113">
        <f>'Sum customer count'!B4</f>
        <v>74692.75</v>
      </c>
      <c r="N11" s="49"/>
      <c r="O11" s="113">
        <f>'Sum customer count'!C4</f>
        <v>272260.41666666669</v>
      </c>
      <c r="P11" s="49"/>
      <c r="Q11" s="113">
        <f>'Sum customer count'!D5</f>
        <v>332626.25</v>
      </c>
      <c r="R11" s="49"/>
      <c r="S11" s="113">
        <f>'Sum customer count'!D6</f>
        <v>250173.33333333334</v>
      </c>
      <c r="T11" s="49"/>
      <c r="U11" s="113">
        <f>'Sum customer count'!D7</f>
        <v>1588125.9166666667</v>
      </c>
      <c r="V11" s="49"/>
      <c r="W11" s="113">
        <f>'Sum customer count'!D8</f>
        <v>346.75</v>
      </c>
      <c r="X11" s="49"/>
      <c r="Y11" s="113">
        <v>1064</v>
      </c>
      <c r="Z11" s="8"/>
      <c r="AA11" s="113"/>
      <c r="AB11" s="113"/>
      <c r="AC11" s="113"/>
      <c r="AD11" s="113"/>
      <c r="AE11" s="113">
        <f>'Sum customer count'!D10</f>
        <v>15</v>
      </c>
      <c r="AF11" s="49"/>
      <c r="AG11" s="8">
        <f t="shared" ref="AG11" si="0">AI11+AK11+AM11+AO11+AQ11+AS11+AU11+AW11+AY11+BB11+BD11+BF11</f>
        <v>0</v>
      </c>
      <c r="AH11" s="8"/>
      <c r="AI11" s="113"/>
      <c r="AJ11" s="113"/>
      <c r="AK11" s="113"/>
      <c r="AL11" s="113"/>
      <c r="AM11" s="113"/>
      <c r="AN11" s="8"/>
      <c r="AO11" s="113"/>
      <c r="AP11" s="49"/>
      <c r="AQ11" s="113"/>
      <c r="AR11" s="4"/>
      <c r="AS11" s="113"/>
      <c r="AT11" s="8"/>
      <c r="AU11" s="113"/>
      <c r="AV11" s="49"/>
      <c r="AW11" s="113"/>
      <c r="AX11" s="113"/>
      <c r="AY11" s="113"/>
      <c r="AZ11" s="8"/>
      <c r="BA11" s="49"/>
      <c r="BB11" s="113"/>
      <c r="BC11" s="4"/>
      <c r="BD11" s="113"/>
      <c r="BE11" s="8"/>
      <c r="BF11" s="113"/>
    </row>
    <row r="12" spans="1:58" s="3" customFormat="1" x14ac:dyDescent="0.2">
      <c r="A12" s="19"/>
      <c r="C12" s="2" t="s">
        <v>15</v>
      </c>
      <c r="D12" s="10"/>
      <c r="E12" s="3" t="s">
        <v>3</v>
      </c>
      <c r="G12" s="84">
        <f>SUM(I12:AG12)</f>
        <v>373655055.74000001</v>
      </c>
      <c r="H12" s="49"/>
      <c r="I12" s="114">
        <f>50291.93+3821938.47+10954.18+9643771.94+107668.89+86725+9038157.82+64657.89+132882.76+175972.66+3067391.58+18.91+2579.12+2373264.34+108014.61+1329233.18</f>
        <v>30013523.280000005</v>
      </c>
      <c r="J12" s="8"/>
      <c r="K12" s="113">
        <f>5939864.79+1722764.34+2399075.36+1535985.08+1281439.71+755057.64+11340498.1</f>
        <v>24974685.020000003</v>
      </c>
      <c r="L12" s="8"/>
      <c r="M12" s="114">
        <v>8753909.0500000007</v>
      </c>
      <c r="N12" s="49"/>
      <c r="O12" s="114">
        <f>22587102.66</f>
        <v>22587102.66</v>
      </c>
      <c r="P12" s="49"/>
      <c r="Q12" s="113">
        <f>14546900.12+8695362.19+10204308.78+755817.91+4557634.17-755817.91</f>
        <v>38004205.259999998</v>
      </c>
      <c r="R12" s="49"/>
      <c r="S12" s="113">
        <f>33429741.43</f>
        <v>33429741.43</v>
      </c>
      <c r="T12" s="49"/>
      <c r="U12" s="113">
        <f>109825203.41+157.98+86.8-329.79+1687.97</f>
        <v>109826806.36999999</v>
      </c>
      <c r="V12" s="49"/>
      <c r="W12" s="113">
        <f>79909872.06+29678.14+1536829.75-5132.95+105405.51</f>
        <v>81576652.510000005</v>
      </c>
      <c r="X12" s="49"/>
      <c r="Y12" s="114">
        <f>117030.83+64723.81+790+17477362.61+3286802.03+385848.41+885630.9+620424.25+4510.2+341472.93+758113.38+302848.7+2182</f>
        <v>24247740.049999997</v>
      </c>
      <c r="Z12" s="8"/>
      <c r="AA12" s="113">
        <f>512520.44</f>
        <v>512520.44</v>
      </c>
      <c r="AB12" s="113"/>
      <c r="AC12" s="113">
        <f>758106.87</f>
        <v>758106.87</v>
      </c>
      <c r="AD12" s="113"/>
      <c r="AE12" s="113">
        <f>1033378.66+80967.24+18536.05</f>
        <v>1132881.9500000002</v>
      </c>
      <c r="AF12" s="49"/>
      <c r="AG12" s="8">
        <f>AI12+AK12+AM12+AO12+AQ12+AS12+AU12+AW12+AY12+BB12+BD12+BF12</f>
        <v>-2162819.1500000004</v>
      </c>
      <c r="AH12" s="8"/>
      <c r="AI12" s="113">
        <v>4321.55</v>
      </c>
      <c r="AJ12" s="113"/>
      <c r="AK12" s="113">
        <f>306551.07</f>
        <v>306551.07</v>
      </c>
      <c r="AL12" s="113"/>
      <c r="AM12" s="113">
        <f>19762.07</f>
        <v>19762.07</v>
      </c>
      <c r="AN12" s="8"/>
      <c r="AO12" s="113">
        <f>86672.42+42332.76+16.51-923712.37-1741335.46</f>
        <v>-2536026.14</v>
      </c>
      <c r="AP12" s="49"/>
      <c r="AQ12" s="113">
        <v>434.9</v>
      </c>
      <c r="AR12" s="4"/>
      <c r="AS12" s="113"/>
      <c r="AT12" s="8"/>
      <c r="AU12" s="113"/>
      <c r="AV12" s="49"/>
      <c r="AW12" s="113">
        <f>22135.67</f>
        <v>22135.67</v>
      </c>
      <c r="AX12" s="113"/>
      <c r="AY12" s="113">
        <f>2708.39</f>
        <v>2708.39</v>
      </c>
      <c r="AZ12" s="8"/>
      <c r="BA12" s="49"/>
      <c r="BB12" s="113">
        <f>13085.77</f>
        <v>13085.77</v>
      </c>
      <c r="BC12" s="4"/>
      <c r="BD12" s="113">
        <f>4207.57</f>
        <v>4207.57</v>
      </c>
      <c r="BE12" s="8"/>
      <c r="BF12" s="113">
        <v>0</v>
      </c>
    </row>
    <row r="13" spans="1:58" s="3" customFormat="1" x14ac:dyDescent="0.2">
      <c r="A13" s="19"/>
      <c r="C13" s="50" t="s">
        <v>16</v>
      </c>
      <c r="D13" s="10"/>
      <c r="G13" s="51"/>
      <c r="H13" s="8"/>
      <c r="I13" s="1"/>
      <c r="J13" s="4"/>
      <c r="K13" s="1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8"/>
      <c r="X13" s="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x14ac:dyDescent="0.2">
      <c r="A14" s="52" t="s">
        <v>9</v>
      </c>
      <c r="B14" s="47"/>
      <c r="D14" s="10"/>
      <c r="G14" s="53"/>
      <c r="I14" s="110"/>
      <c r="K14" s="37"/>
      <c r="Q14" s="37"/>
      <c r="AE14" s="10"/>
      <c r="AF14" s="10"/>
      <c r="AI14" s="37"/>
      <c r="AJ14" s="37"/>
      <c r="AN14" s="10"/>
      <c r="AO14" s="10"/>
      <c r="AP14" s="48"/>
      <c r="AT14" s="10"/>
      <c r="AU14" s="10"/>
      <c r="AV14" s="48"/>
      <c r="AZ14" s="10"/>
      <c r="BA14" s="48"/>
      <c r="BE14" s="10"/>
      <c r="BF14" s="10"/>
    </row>
    <row r="15" spans="1:58" s="14" customFormat="1" x14ac:dyDescent="0.2">
      <c r="A15" s="19"/>
      <c r="C15" s="2" t="s">
        <v>2</v>
      </c>
      <c r="D15" s="10"/>
      <c r="E15" s="14" t="s">
        <v>6</v>
      </c>
      <c r="G15" s="86">
        <f>SUM(I15:AG15)</f>
        <v>0.99999999999999989</v>
      </c>
      <c r="H15" s="87"/>
      <c r="I15" s="88">
        <f>1-SUM(K15:AG15)</f>
        <v>6.910000000000005E-2</v>
      </c>
      <c r="J15" s="87"/>
      <c r="K15" s="86">
        <f>ROUND(K10/$G$10,4)</f>
        <v>6.13E-2</v>
      </c>
      <c r="L15" s="87"/>
      <c r="M15" s="86">
        <f>ROUND(M10/$G10,4)</f>
        <v>2.3099999999999999E-2</v>
      </c>
      <c r="N15" s="90"/>
      <c r="O15" s="86">
        <f>ROUND(O10/$G10,4)</f>
        <v>6.2399999999999997E-2</v>
      </c>
      <c r="P15" s="90"/>
      <c r="Q15" s="86">
        <f>ROUND(Q10/$G10,4)</f>
        <v>0.111</v>
      </c>
      <c r="R15" s="90"/>
      <c r="S15" s="86">
        <f>ROUND(S10/$G10,4)</f>
        <v>5.8000000000000003E-2</v>
      </c>
      <c r="T15" s="90"/>
      <c r="U15" s="86">
        <f>ROUND(U10/$G10,4)</f>
        <v>0.39789999999999998</v>
      </c>
      <c r="V15" s="90"/>
      <c r="W15" s="86">
        <f>ROUND(W10/$G10,4)</f>
        <v>0.20610000000000001</v>
      </c>
      <c r="X15" s="90"/>
      <c r="Y15" s="86">
        <f>ROUND(Y10/$G10,4)</f>
        <v>4.1999999999999997E-3</v>
      </c>
      <c r="AA15" s="86">
        <f>ROUND(AA10/$G10,4)</f>
        <v>1E-3</v>
      </c>
      <c r="AB15" s="86"/>
      <c r="AC15" s="86">
        <f>ROUND(AC10/$G10,4)</f>
        <v>1.6999999999999999E-3</v>
      </c>
      <c r="AD15" s="86"/>
      <c r="AE15" s="86">
        <f>ROUND(AE10/$G10,4)</f>
        <v>2.8999999999999998E-3</v>
      </c>
      <c r="AF15" s="90"/>
      <c r="AG15" s="86">
        <f>ROUND(AG10/$G10,4)</f>
        <v>1.2999999999999999E-3</v>
      </c>
      <c r="AI15" s="86">
        <f>ROUND(AI10/$G10,4)</f>
        <v>0</v>
      </c>
      <c r="AJ15" s="86"/>
      <c r="AK15" s="86">
        <f>ROUND(AK10/$G10,4)</f>
        <v>0</v>
      </c>
      <c r="AL15" s="86"/>
      <c r="AM15" s="86">
        <f>ROUND(AM10/$G10,4)</f>
        <v>8.0000000000000004E-4</v>
      </c>
      <c r="AO15" s="86">
        <f>ROUND(AO10/$G10,4)</f>
        <v>4.0000000000000002E-4</v>
      </c>
      <c r="AP15" s="90"/>
      <c r="AQ15" s="86">
        <f>ROUND(AQ10/$G10,4)</f>
        <v>0</v>
      </c>
      <c r="AR15" s="13"/>
      <c r="AS15" s="86">
        <f>ROUND(AS10/$G10,4)</f>
        <v>0</v>
      </c>
      <c r="AU15" s="86">
        <f>ROUND(AU10/$G10,4)</f>
        <v>0</v>
      </c>
      <c r="AV15" s="90"/>
      <c r="AW15" s="86">
        <f>ROUND(AW10/$G10,4)</f>
        <v>0</v>
      </c>
      <c r="AX15" s="86"/>
      <c r="AY15" s="86">
        <f>ROUND(AY10/$G10,4)</f>
        <v>0</v>
      </c>
      <c r="BA15" s="90"/>
      <c r="BB15" s="86">
        <f>ROUND(BB10/$G10,4)</f>
        <v>1E-4</v>
      </c>
      <c r="BC15" s="13"/>
      <c r="BD15" s="86">
        <f>ROUND(BD10/$G10,4)</f>
        <v>0</v>
      </c>
      <c r="BF15" s="86">
        <f>ROUND(BF10/$G10,4)</f>
        <v>0</v>
      </c>
    </row>
    <row r="16" spans="1:58" s="14" customFormat="1" x14ac:dyDescent="0.2">
      <c r="A16" s="19"/>
      <c r="C16" s="3" t="s">
        <v>4</v>
      </c>
      <c r="D16" s="10"/>
      <c r="E16" s="14" t="s">
        <v>6</v>
      </c>
      <c r="G16" s="89">
        <f>SUM(I16:AG16)</f>
        <v>1</v>
      </c>
      <c r="H16" s="87"/>
      <c r="I16" s="88">
        <f>1-SUM(K16:AG16)</f>
        <v>9.7899999999999987E-2</v>
      </c>
      <c r="J16" s="87"/>
      <c r="K16" s="86">
        <f>ROUND(K11/$G$11,4)</f>
        <v>7.9399999999999998E-2</v>
      </c>
      <c r="L16" s="87"/>
      <c r="M16" s="86">
        <f>ROUND(M11/$G11,4)</f>
        <v>2.4400000000000002E-2</v>
      </c>
      <c r="N16" s="90"/>
      <c r="O16" s="86">
        <f>ROUND(O11/$G11,4)</f>
        <v>8.8900000000000007E-2</v>
      </c>
      <c r="P16" s="90"/>
      <c r="Q16" s="86">
        <f>ROUND(Q11/$G11,4)</f>
        <v>0.1086</v>
      </c>
      <c r="R16" s="90"/>
      <c r="S16" s="86">
        <f>ROUND(S11/$G11,4)</f>
        <v>8.1699999999999995E-2</v>
      </c>
      <c r="T16" s="90"/>
      <c r="U16" s="86">
        <f>ROUND(U11/$G11,4)</f>
        <v>0.51870000000000005</v>
      </c>
      <c r="V16" s="90"/>
      <c r="W16" s="86">
        <f>ROUND(W11/$G11,4)</f>
        <v>1E-4</v>
      </c>
      <c r="X16" s="90"/>
      <c r="Y16" s="86">
        <f>ROUND(Y11/$G11,4)</f>
        <v>2.9999999999999997E-4</v>
      </c>
      <c r="AA16" s="86">
        <f>ROUND(AA11/$G11,4)</f>
        <v>0</v>
      </c>
      <c r="AB16" s="86"/>
      <c r="AC16" s="86">
        <f>ROUND(AC11/$G11,4)</f>
        <v>0</v>
      </c>
      <c r="AD16" s="86"/>
      <c r="AE16" s="86">
        <f>ROUND(AE11/$G11,4)</f>
        <v>0</v>
      </c>
      <c r="AF16" s="90"/>
      <c r="AG16" s="86">
        <f>ROUND(AG11/$G11,4)</f>
        <v>0</v>
      </c>
      <c r="AI16" s="86">
        <f>ROUND(AI11/$G11,4)</f>
        <v>0</v>
      </c>
      <c r="AJ16" s="86"/>
      <c r="AK16" s="86">
        <f>ROUND(AK11/$G11,4)</f>
        <v>0</v>
      </c>
      <c r="AL16" s="86"/>
      <c r="AM16" s="86">
        <f>ROUND(AM11/$G11,4)</f>
        <v>0</v>
      </c>
      <c r="AO16" s="86">
        <f>ROUND(AO11/$G11,4)</f>
        <v>0</v>
      </c>
      <c r="AP16" s="90"/>
      <c r="AQ16" s="86">
        <f>ROUND(AQ11/$G11,4)</f>
        <v>0</v>
      </c>
      <c r="AR16" s="13"/>
      <c r="AS16" s="86">
        <f>ROUND(AS11/$G11,4)</f>
        <v>0</v>
      </c>
      <c r="AU16" s="86">
        <f>ROUND(AU11/$G11,4)</f>
        <v>0</v>
      </c>
      <c r="AV16" s="90"/>
      <c r="AW16" s="86">
        <f>ROUND(AW11/$G11,4)</f>
        <v>0</v>
      </c>
      <c r="AX16" s="86"/>
      <c r="AY16" s="86">
        <f>ROUND(AY11/$G11,4)</f>
        <v>0</v>
      </c>
      <c r="BA16" s="90"/>
      <c r="BB16" s="86">
        <f>ROUND(BB11/$G11,4)</f>
        <v>0</v>
      </c>
      <c r="BC16" s="13"/>
      <c r="BD16" s="86">
        <f>ROUND(BD11/$G11,4)</f>
        <v>0</v>
      </c>
      <c r="BF16" s="86">
        <f>ROUND(BF11/$G11,4)</f>
        <v>0</v>
      </c>
    </row>
    <row r="17" spans="1:58" s="14" customFormat="1" x14ac:dyDescent="0.2">
      <c r="A17" s="19"/>
      <c r="C17" s="2" t="s">
        <v>7</v>
      </c>
      <c r="D17" s="10"/>
      <c r="E17" s="14" t="s">
        <v>6</v>
      </c>
      <c r="G17" s="89">
        <f>SUM(I17:AG17)</f>
        <v>1</v>
      </c>
      <c r="H17" s="87"/>
      <c r="I17" s="88">
        <f>1-SUM(K17:AG17)</f>
        <v>8.0500000000000238E-2</v>
      </c>
      <c r="J17" s="87"/>
      <c r="K17" s="86">
        <f>ROUND(K12/$G12,4)</f>
        <v>6.6799999999999998E-2</v>
      </c>
      <c r="L17" s="87"/>
      <c r="M17" s="86">
        <f>ROUND(M12/$G12,4)</f>
        <v>2.3400000000000001E-2</v>
      </c>
      <c r="N17" s="90"/>
      <c r="O17" s="86">
        <f>ROUND(O12/$G12,4)</f>
        <v>6.0400000000000002E-2</v>
      </c>
      <c r="P17" s="90"/>
      <c r="Q17" s="86">
        <f>ROUND(Q12/$G12,4)</f>
        <v>0.1017</v>
      </c>
      <c r="R17" s="90"/>
      <c r="S17" s="86">
        <f>ROUND(S12/$G12,4)</f>
        <v>8.9499999999999996E-2</v>
      </c>
      <c r="T17" s="90"/>
      <c r="U17" s="86">
        <f>ROUND(U12/$G12,4)</f>
        <v>0.29389999999999999</v>
      </c>
      <c r="V17" s="90"/>
      <c r="W17" s="86">
        <f>ROUND(W12/$G12,4)</f>
        <v>0.21829999999999999</v>
      </c>
      <c r="X17" s="90"/>
      <c r="Y17" s="86">
        <f>ROUND(Y12/$G12,4)</f>
        <v>6.4899999999999999E-2</v>
      </c>
      <c r="AA17" s="86">
        <f>ROUND(AA12/$G12,4)</f>
        <v>1.4E-3</v>
      </c>
      <c r="AB17" s="86"/>
      <c r="AC17" s="86">
        <f>ROUND(AC12/$G12,4)</f>
        <v>2E-3</v>
      </c>
      <c r="AD17" s="86"/>
      <c r="AE17" s="86">
        <f>ROUND(AE12/$G12,4)</f>
        <v>3.0000000000000001E-3</v>
      </c>
      <c r="AF17" s="90"/>
      <c r="AG17" s="86">
        <f>ROUND(AG12/$G12,4)</f>
        <v>-5.7999999999999996E-3</v>
      </c>
      <c r="AI17" s="86">
        <f>ROUND(AI12/$G12,4)</f>
        <v>0</v>
      </c>
      <c r="AJ17" s="86"/>
      <c r="AK17" s="86">
        <f>ROUND(AK12/$G12,4)</f>
        <v>8.0000000000000004E-4</v>
      </c>
      <c r="AL17" s="86"/>
      <c r="AM17" s="86">
        <f>ROUND(AM12/$G12,4)</f>
        <v>1E-4</v>
      </c>
      <c r="AO17" s="86">
        <f>ROUND(AO12/$G12,4)</f>
        <v>-6.7999999999999996E-3</v>
      </c>
      <c r="AP17" s="90"/>
      <c r="AQ17" s="86">
        <f>ROUND(AQ12/$G12,4)</f>
        <v>0</v>
      </c>
      <c r="AR17" s="13"/>
      <c r="AS17" s="86">
        <f>ROUND(AS12/$G12,4)</f>
        <v>0</v>
      </c>
      <c r="AU17" s="86">
        <f>ROUND(AU12/$G12,4)</f>
        <v>0</v>
      </c>
      <c r="AV17" s="90"/>
      <c r="AW17" s="86">
        <f>ROUND(AW12/$G12,4)</f>
        <v>1E-4</v>
      </c>
      <c r="AX17" s="86"/>
      <c r="AY17" s="86">
        <f>ROUND(AY12/$G12,4)</f>
        <v>0</v>
      </c>
      <c r="BA17" s="90"/>
      <c r="BB17" s="86">
        <f>ROUND(BB12/$G12,4)</f>
        <v>0</v>
      </c>
      <c r="BC17" s="13"/>
      <c r="BD17" s="86">
        <f>ROUND(BD12/$G12,4)</f>
        <v>0</v>
      </c>
      <c r="BF17" s="86">
        <f>ROUND(BF12/$G12,4)</f>
        <v>0</v>
      </c>
    </row>
    <row r="18" spans="1:58" s="14" customFormat="1" x14ac:dyDescent="0.2">
      <c r="A18" s="19"/>
      <c r="C18" s="54"/>
      <c r="D18" s="10"/>
      <c r="G18" s="90"/>
      <c r="H18" s="90"/>
      <c r="I18" s="91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16"/>
      <c r="AA18" s="90"/>
      <c r="AB18" s="90"/>
      <c r="AC18" s="90"/>
      <c r="AD18" s="90"/>
      <c r="AE18" s="90"/>
      <c r="AF18" s="90"/>
      <c r="AG18" s="90"/>
      <c r="AH18" s="16"/>
      <c r="AI18" s="90"/>
      <c r="AJ18" s="90"/>
      <c r="AK18" s="90"/>
      <c r="AL18" s="90"/>
      <c r="AM18" s="90"/>
      <c r="AN18" s="16"/>
      <c r="AO18" s="90"/>
      <c r="AP18" s="90"/>
      <c r="AQ18" s="90"/>
      <c r="AR18" s="15"/>
      <c r="AS18" s="90"/>
      <c r="AT18" s="16"/>
      <c r="AU18" s="90"/>
      <c r="AV18" s="90"/>
      <c r="AW18" s="90"/>
      <c r="AX18" s="90"/>
      <c r="AY18" s="90"/>
      <c r="AZ18" s="16"/>
      <c r="BA18" s="90"/>
      <c r="BB18" s="90"/>
      <c r="BC18" s="15"/>
      <c r="BD18" s="90"/>
      <c r="BE18" s="16"/>
      <c r="BF18" s="90"/>
    </row>
    <row r="19" spans="1:58" s="14" customFormat="1" x14ac:dyDescent="0.2">
      <c r="A19" s="19"/>
      <c r="C19" s="54" t="s">
        <v>412</v>
      </c>
      <c r="D19" s="10"/>
      <c r="E19" s="14" t="s">
        <v>6</v>
      </c>
      <c r="G19" s="86">
        <f>SUM(I19:AG19)</f>
        <v>0.99999999999999989</v>
      </c>
      <c r="H19" s="87"/>
      <c r="I19" s="102">
        <f>1-SUM(K19:AG19)</f>
        <v>8.2500000000000018E-2</v>
      </c>
      <c r="J19" s="103"/>
      <c r="K19" s="102">
        <f>ROUND(AVERAGE(K15:K17),4)</f>
        <v>6.9199999999999998E-2</v>
      </c>
      <c r="L19" s="103"/>
      <c r="M19" s="102">
        <f>ROUND(AVERAGE(M15:M17),4)</f>
        <v>2.3599999999999999E-2</v>
      </c>
      <c r="N19" s="104"/>
      <c r="O19" s="102">
        <f>ROUND(AVERAGE(O15:O17),4)</f>
        <v>7.0599999999999996E-2</v>
      </c>
      <c r="P19" s="104"/>
      <c r="Q19" s="102">
        <f>ROUND(AVERAGE(Q15:Q17),4)</f>
        <v>0.1071</v>
      </c>
      <c r="R19" s="104"/>
      <c r="S19" s="102">
        <f>ROUND(AVERAGE(S15:S17),4)</f>
        <v>7.6399999999999996E-2</v>
      </c>
      <c r="T19" s="104"/>
      <c r="U19" s="102">
        <f>ROUND(AVERAGE(U15:U17),4)</f>
        <v>0.40350000000000003</v>
      </c>
      <c r="V19" s="111"/>
      <c r="W19" s="102">
        <f>ROUND(AVERAGE(W15:W17),4)</f>
        <v>0.14149999999999999</v>
      </c>
      <c r="X19" s="88"/>
      <c r="Y19" s="102">
        <f>ROUND(AVERAGE(Y15:Y17),4)</f>
        <v>2.3099999999999999E-2</v>
      </c>
      <c r="Z19" s="88"/>
      <c r="AA19" s="102">
        <f>ROUND(AVERAGE(AA15:AA17),4)</f>
        <v>8.0000000000000004E-4</v>
      </c>
      <c r="AB19" s="102"/>
      <c r="AC19" s="102">
        <f>ROUND(AVERAGE(AC15:AC17),4)</f>
        <v>1.1999999999999999E-3</v>
      </c>
      <c r="AD19" s="102"/>
      <c r="AE19" s="102">
        <f>ROUND(AVERAGE(AE15:AE17),4)</f>
        <v>2E-3</v>
      </c>
      <c r="AF19" s="102"/>
      <c r="AG19" s="102">
        <f>ROUND(AVERAGE(AG15:AG17),4)</f>
        <v>-1.5E-3</v>
      </c>
      <c r="AH19" s="88"/>
      <c r="AI19" s="102">
        <f>ROUND(AVERAGE(AI15:AI17),4)</f>
        <v>0</v>
      </c>
      <c r="AJ19" s="102"/>
      <c r="AK19" s="102">
        <f>ROUND(AVERAGE(AK15:AK17),4)</f>
        <v>2.9999999999999997E-4</v>
      </c>
      <c r="AL19" s="102"/>
      <c r="AM19" s="102">
        <f>ROUND(AVERAGE(AM15:AM17),4)</f>
        <v>2.9999999999999997E-4</v>
      </c>
      <c r="AN19" s="88"/>
      <c r="AO19" s="102">
        <f>ROUND(AVERAGE(AO15:AO17),4)</f>
        <v>-2.0999999999999999E-3</v>
      </c>
      <c r="AP19" s="88"/>
      <c r="AQ19" s="102">
        <f>ROUND(AVERAGE(AQ15:AQ17),4)</f>
        <v>0</v>
      </c>
      <c r="AR19" s="34"/>
      <c r="AS19" s="102">
        <f>ROUND(AVERAGE(AS15:AS17),4)</f>
        <v>0</v>
      </c>
      <c r="AT19" s="88"/>
      <c r="AU19" s="102">
        <f>ROUND(AVERAGE(AU15:AU17),4)</f>
        <v>0</v>
      </c>
      <c r="AV19" s="88"/>
      <c r="AW19" s="102">
        <f>ROUND(AVERAGE(AW15:AW17),4)</f>
        <v>0</v>
      </c>
      <c r="AX19" s="102"/>
      <c r="AY19" s="102">
        <f>ROUND(AVERAGE(AY15:AY17),4)</f>
        <v>0</v>
      </c>
      <c r="AZ19" s="88"/>
      <c r="BA19" s="88"/>
      <c r="BB19" s="102">
        <f>ROUND(AVERAGE(BB15:BB17),4)</f>
        <v>0</v>
      </c>
      <c r="BC19" s="34"/>
      <c r="BD19" s="102">
        <f>ROUND(AVERAGE(BD15:BD17),4)</f>
        <v>0</v>
      </c>
      <c r="BE19" s="88"/>
      <c r="BF19" s="102">
        <f>ROUND(AVERAGE(BF15:BF17),4)</f>
        <v>0</v>
      </c>
    </row>
    <row r="20" spans="1:58" s="14" customFormat="1" x14ac:dyDescent="0.2">
      <c r="A20" s="19"/>
      <c r="C20" s="54"/>
      <c r="D20" s="10"/>
      <c r="G20" s="90"/>
      <c r="H20" s="87"/>
      <c r="I20" s="91"/>
      <c r="J20" s="87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G20" s="90"/>
      <c r="AH20" s="90"/>
      <c r="AI20" s="90"/>
      <c r="AJ20" s="90"/>
      <c r="AK20" s="90"/>
      <c r="AL20" s="90"/>
      <c r="AM20" s="16"/>
    </row>
    <row r="21" spans="1:58" s="14" customFormat="1" x14ac:dyDescent="0.2">
      <c r="A21" s="19"/>
      <c r="C21" s="54"/>
      <c r="D21" s="10"/>
      <c r="G21" s="55"/>
      <c r="H21" s="15"/>
      <c r="I21" s="56"/>
      <c r="J21" s="15"/>
      <c r="K21" s="15"/>
      <c r="L21" s="15"/>
      <c r="M21" s="15"/>
      <c r="N21" s="15"/>
      <c r="O21" s="15"/>
      <c r="P21" s="15"/>
      <c r="Q21" s="15"/>
      <c r="R21" s="15"/>
      <c r="T21" s="15"/>
      <c r="V21" s="16"/>
      <c r="W21" s="16"/>
      <c r="X21" s="15"/>
      <c r="Y21" s="15"/>
      <c r="Z21" s="16"/>
      <c r="AA21" s="15"/>
      <c r="AB21" s="15"/>
      <c r="AC21" s="15"/>
      <c r="AD21" s="15"/>
      <c r="AG21" s="16"/>
      <c r="AH21" s="16"/>
      <c r="AI21" s="15"/>
      <c r="AJ21" s="15"/>
      <c r="AK21" s="15"/>
      <c r="AL21" s="15"/>
    </row>
    <row r="22" spans="1:58" s="14" customFormat="1" ht="15.75" x14ac:dyDescent="0.25">
      <c r="A22" s="19"/>
      <c r="C22" s="99" t="s">
        <v>79</v>
      </c>
      <c r="D22" s="10"/>
      <c r="G22" s="15"/>
      <c r="H22" s="15"/>
      <c r="I22" s="295" t="s">
        <v>203</v>
      </c>
      <c r="J22" s="241"/>
      <c r="K22" s="297" t="s">
        <v>204</v>
      </c>
      <c r="L22" s="241"/>
      <c r="M22" s="297" t="s">
        <v>205</v>
      </c>
      <c r="N22" s="297"/>
      <c r="O22" s="297" t="s">
        <v>205</v>
      </c>
      <c r="P22" s="241"/>
      <c r="Q22" s="297" t="s">
        <v>206</v>
      </c>
      <c r="R22" s="241"/>
      <c r="S22" s="298" t="s">
        <v>207</v>
      </c>
      <c r="T22" s="241"/>
      <c r="U22" s="298" t="s">
        <v>208</v>
      </c>
      <c r="V22" s="16"/>
      <c r="W22" s="16"/>
      <c r="X22" s="15"/>
      <c r="Y22" s="15"/>
      <c r="Z22" s="16"/>
      <c r="AA22" s="15"/>
      <c r="AB22" s="15"/>
      <c r="AC22" s="15"/>
      <c r="AD22" s="15"/>
      <c r="AG22" s="16"/>
      <c r="AH22" s="16"/>
      <c r="AI22" s="15"/>
      <c r="AJ22" s="15"/>
      <c r="AK22" s="15"/>
      <c r="AL22" s="15"/>
    </row>
    <row r="23" spans="1:58" s="17" customFormat="1" x14ac:dyDescent="0.2">
      <c r="A23" s="57"/>
      <c r="I23" s="58"/>
      <c r="M23" s="94"/>
      <c r="N23" s="92"/>
      <c r="P23" s="92"/>
      <c r="R23" s="92"/>
      <c r="T23" s="92"/>
      <c r="V23" s="92"/>
      <c r="X23" s="92"/>
      <c r="Z23" s="38"/>
      <c r="AA23" s="38"/>
      <c r="AB23" s="38"/>
      <c r="AG23" s="38"/>
      <c r="AH23" s="38"/>
    </row>
    <row r="24" spans="1:58" s="17" customFormat="1" x14ac:dyDescent="0.2">
      <c r="A24" s="57"/>
      <c r="C24" s="2" t="s">
        <v>2</v>
      </c>
      <c r="D24" s="10"/>
      <c r="E24" s="3" t="s">
        <v>3</v>
      </c>
      <c r="G24" s="84">
        <f>SUM(I24:AG24)</f>
        <v>6675138918.1999998</v>
      </c>
      <c r="I24" s="113">
        <f>I10</f>
        <v>588658574.24000001</v>
      </c>
      <c r="J24" s="8"/>
      <c r="K24" s="113">
        <f>K10</f>
        <v>522666021.57000005</v>
      </c>
      <c r="L24" s="8"/>
      <c r="M24" s="113">
        <f>M10</f>
        <v>196802776</v>
      </c>
      <c r="N24" s="49"/>
      <c r="O24" s="113">
        <f>O10</f>
        <v>532048476.17000002</v>
      </c>
      <c r="P24" s="49"/>
      <c r="Q24" s="113">
        <f>Q10</f>
        <v>946876781.34000003</v>
      </c>
      <c r="R24" s="49"/>
      <c r="S24" s="113">
        <f>S10</f>
        <v>494873746.19999999</v>
      </c>
      <c r="T24" s="49"/>
      <c r="U24" s="113">
        <f>U10</f>
        <v>3393212542.6799998</v>
      </c>
      <c r="V24" s="1"/>
      <c r="W24" s="1"/>
      <c r="X24" s="92"/>
      <c r="Z24" s="38"/>
      <c r="AA24" s="38"/>
      <c r="AB24" s="38"/>
      <c r="AG24" s="38"/>
      <c r="AH24" s="38"/>
    </row>
    <row r="25" spans="1:58" s="17" customFormat="1" x14ac:dyDescent="0.2">
      <c r="A25" s="57"/>
      <c r="C25" s="3" t="s">
        <v>4</v>
      </c>
      <c r="D25" s="10"/>
      <c r="E25" s="3" t="s">
        <v>5</v>
      </c>
      <c r="G25" s="85">
        <f>SUM(I25:AG25)</f>
        <v>3060515.166666667</v>
      </c>
      <c r="I25" s="114">
        <f>I11</f>
        <v>299552.75</v>
      </c>
      <c r="J25" s="8"/>
      <c r="K25" s="113">
        <f>K11</f>
        <v>243083.75</v>
      </c>
      <c r="L25" s="8"/>
      <c r="M25" s="113">
        <f>M11</f>
        <v>74692.75</v>
      </c>
      <c r="N25" s="49"/>
      <c r="O25" s="113">
        <f>O11</f>
        <v>272260.41666666669</v>
      </c>
      <c r="P25" s="49"/>
      <c r="Q25" s="113">
        <f>Q11</f>
        <v>332626.25</v>
      </c>
      <c r="R25" s="49"/>
      <c r="S25" s="113">
        <f>S11</f>
        <v>250173.33333333334</v>
      </c>
      <c r="T25" s="49"/>
      <c r="U25" s="113">
        <f>U11</f>
        <v>1588125.9166666667</v>
      </c>
      <c r="V25" s="1"/>
      <c r="W25" s="1"/>
      <c r="X25" s="92"/>
      <c r="Z25" s="38"/>
      <c r="AA25" s="38"/>
      <c r="AB25" s="38"/>
      <c r="AG25" s="38"/>
      <c r="AH25" s="38"/>
    </row>
    <row r="26" spans="1:58" s="17" customFormat="1" x14ac:dyDescent="0.2">
      <c r="A26" s="57"/>
      <c r="C26" s="2" t="s">
        <v>15</v>
      </c>
      <c r="D26" s="10"/>
      <c r="E26" s="3" t="s">
        <v>3</v>
      </c>
      <c r="G26" s="84">
        <f>SUM(I26:AG26)</f>
        <v>267589973.06999999</v>
      </c>
      <c r="I26" s="114">
        <f>I12</f>
        <v>30013523.280000005</v>
      </c>
      <c r="J26" s="8"/>
      <c r="K26" s="113">
        <f>K12</f>
        <v>24974685.020000003</v>
      </c>
      <c r="L26" s="8"/>
      <c r="M26" s="114">
        <f>M12</f>
        <v>8753909.0500000007</v>
      </c>
      <c r="N26" s="49"/>
      <c r="O26" s="114">
        <f>O12</f>
        <v>22587102.66</v>
      </c>
      <c r="P26" s="49"/>
      <c r="Q26" s="113">
        <f>Q12</f>
        <v>38004205.259999998</v>
      </c>
      <c r="R26" s="49"/>
      <c r="S26" s="113">
        <f>S12</f>
        <v>33429741.43</v>
      </c>
      <c r="T26" s="49"/>
      <c r="U26" s="113">
        <f>U12</f>
        <v>109826806.36999999</v>
      </c>
      <c r="V26" s="1"/>
      <c r="W26" s="1"/>
      <c r="X26" s="92"/>
      <c r="Z26" s="38"/>
      <c r="AA26" s="38"/>
      <c r="AB26" s="38"/>
      <c r="AG26" s="38"/>
      <c r="AH26" s="38"/>
    </row>
    <row r="27" spans="1:58" s="17" customFormat="1" x14ac:dyDescent="0.2">
      <c r="A27" s="57"/>
      <c r="C27" s="50" t="s">
        <v>415</v>
      </c>
      <c r="D27" s="10"/>
      <c r="E27" s="3" t="s">
        <v>3</v>
      </c>
      <c r="G27" s="84">
        <f>SUM(I27:AG27)</f>
        <v>386598647.43999994</v>
      </c>
      <c r="I27" s="114">
        <f>I253</f>
        <v>29250110.409999982</v>
      </c>
      <c r="J27" s="49"/>
      <c r="K27" s="114">
        <f>K253</f>
        <v>28077794.860000014</v>
      </c>
      <c r="L27" s="49"/>
      <c r="M27" s="114">
        <f>M253</f>
        <v>12099650.620000007</v>
      </c>
      <c r="N27" s="49"/>
      <c r="O27" s="114">
        <f>O253</f>
        <v>44548072.690000013</v>
      </c>
      <c r="P27" s="49"/>
      <c r="Q27" s="114">
        <f>Q253</f>
        <v>56885094.450000003</v>
      </c>
      <c r="R27" s="49"/>
      <c r="S27" s="114">
        <f>S253</f>
        <v>28473067.789999984</v>
      </c>
      <c r="T27" s="49"/>
      <c r="U27" s="114">
        <f>U253</f>
        <v>187264856.61999995</v>
      </c>
      <c r="V27" s="1"/>
      <c r="W27" s="1"/>
      <c r="X27" s="92"/>
      <c r="Z27" s="38"/>
      <c r="AA27" s="38"/>
      <c r="AB27" s="38"/>
      <c r="AG27" s="38"/>
      <c r="AH27" s="38"/>
    </row>
    <row r="28" spans="1:58" s="17" customFormat="1" x14ac:dyDescent="0.2">
      <c r="A28" s="57"/>
      <c r="C28" s="50" t="s">
        <v>16</v>
      </c>
      <c r="D28" s="10"/>
      <c r="E28" s="3"/>
      <c r="I28" s="1"/>
      <c r="J28" s="4"/>
      <c r="K28" s="1"/>
      <c r="L28" s="4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92"/>
      <c r="Z28" s="38"/>
      <c r="AA28" s="38"/>
      <c r="AB28" s="38"/>
      <c r="AG28" s="38"/>
      <c r="AH28" s="38"/>
    </row>
    <row r="29" spans="1:58" s="17" customFormat="1" x14ac:dyDescent="0.2">
      <c r="A29" s="57"/>
      <c r="I29" s="58"/>
      <c r="M29" s="94"/>
      <c r="N29" s="92"/>
      <c r="P29" s="92"/>
      <c r="R29" s="92"/>
      <c r="T29" s="92"/>
      <c r="V29" s="92"/>
      <c r="W29" s="92"/>
      <c r="X29" s="92"/>
      <c r="Z29" s="38"/>
      <c r="AA29" s="38"/>
      <c r="AB29" s="38"/>
      <c r="AG29" s="38"/>
      <c r="AH29" s="38"/>
    </row>
    <row r="30" spans="1:58" s="17" customFormat="1" x14ac:dyDescent="0.2">
      <c r="A30" s="57"/>
      <c r="C30" s="2" t="s">
        <v>2</v>
      </c>
      <c r="D30" s="10"/>
      <c r="E30" s="14" t="s">
        <v>6</v>
      </c>
      <c r="F30" s="97"/>
      <c r="G30" s="102">
        <f>SUM(I30:AG30)</f>
        <v>1</v>
      </c>
      <c r="I30" s="102">
        <f>1-SUM(K30:BF30)</f>
        <v>8.8200000000000056E-2</v>
      </c>
      <c r="J30" s="103"/>
      <c r="K30" s="102">
        <f>ROUND(K24/$G$24,4)</f>
        <v>7.8299999999999995E-2</v>
      </c>
      <c r="L30" s="103"/>
      <c r="M30" s="102">
        <f>ROUND(M24/$G$24,4)</f>
        <v>2.9499999999999998E-2</v>
      </c>
      <c r="N30" s="104"/>
      <c r="O30" s="102">
        <f>ROUND(O24/$G$24,4)</f>
        <v>7.9699999999999993E-2</v>
      </c>
      <c r="P30" s="104"/>
      <c r="Q30" s="102">
        <f>ROUND(Q24/$G$24,4)</f>
        <v>0.1419</v>
      </c>
      <c r="R30" s="104"/>
      <c r="S30" s="102">
        <f>ROUND(S24/$G$24,4)</f>
        <v>7.4099999999999999E-2</v>
      </c>
      <c r="T30" s="104"/>
      <c r="U30" s="102">
        <f>ROUND(U24/$G$24,4)</f>
        <v>0.50829999999999997</v>
      </c>
      <c r="V30" s="104"/>
      <c r="W30" s="104"/>
      <c r="X30" s="92"/>
      <c r="Y30" s="105"/>
      <c r="Z30" s="106"/>
      <c r="AA30" s="106"/>
      <c r="AB30" s="106"/>
      <c r="AG30" s="106"/>
      <c r="AH30" s="106"/>
      <c r="AI30" s="105"/>
      <c r="AJ30" s="105"/>
      <c r="AK30" s="105"/>
      <c r="AL30" s="105"/>
    </row>
    <row r="31" spans="1:58" s="17" customFormat="1" x14ac:dyDescent="0.2">
      <c r="A31" s="57"/>
      <c r="C31" s="3" t="s">
        <v>4</v>
      </c>
      <c r="D31" s="10"/>
      <c r="E31" s="14" t="s">
        <v>6</v>
      </c>
      <c r="F31" s="97"/>
      <c r="G31" s="102">
        <f>SUM(I31:AG31)</f>
        <v>1</v>
      </c>
      <c r="I31" s="102">
        <f>1-SUM(K31:BF31)</f>
        <v>9.7899999999999987E-2</v>
      </c>
      <c r="J31" s="103"/>
      <c r="K31" s="102">
        <f>ROUND(K25/$G$25,4)</f>
        <v>7.9399999999999998E-2</v>
      </c>
      <c r="L31" s="103"/>
      <c r="M31" s="102">
        <f>ROUND(M25/$G$25,4)</f>
        <v>2.4400000000000002E-2</v>
      </c>
      <c r="N31" s="104"/>
      <c r="O31" s="102">
        <f>ROUND(O25/$G$25,4)</f>
        <v>8.8999999999999996E-2</v>
      </c>
      <c r="P31" s="104"/>
      <c r="Q31" s="102">
        <f>ROUND(Q25/$G$25,4)</f>
        <v>0.1087</v>
      </c>
      <c r="R31" s="104"/>
      <c r="S31" s="102">
        <f>ROUND(S25/$G$25,4)</f>
        <v>8.1699999999999995E-2</v>
      </c>
      <c r="T31" s="104"/>
      <c r="U31" s="102">
        <f>ROUND(U25/$G$25,4)</f>
        <v>0.51890000000000003</v>
      </c>
      <c r="V31" s="104"/>
      <c r="W31" s="104"/>
      <c r="X31" s="92"/>
      <c r="Z31" s="38"/>
      <c r="AA31" s="38"/>
      <c r="AB31" s="38"/>
      <c r="AG31" s="38"/>
      <c r="AH31" s="38"/>
    </row>
    <row r="32" spans="1:58" s="17" customFormat="1" x14ac:dyDescent="0.2">
      <c r="A32" s="57"/>
      <c r="C32" s="2" t="s">
        <v>7</v>
      </c>
      <c r="D32" s="10"/>
      <c r="E32" s="14" t="s">
        <v>6</v>
      </c>
      <c r="F32" s="97"/>
      <c r="G32" s="102">
        <f>SUM(I32:AG32)</f>
        <v>1</v>
      </c>
      <c r="I32" s="102">
        <f>1-SUM(K32:BF32)</f>
        <v>0.11230000000000007</v>
      </c>
      <c r="J32" s="103"/>
      <c r="K32" s="102">
        <f>ROUND(K26/$G$26,4)</f>
        <v>9.3299999999999994E-2</v>
      </c>
      <c r="L32" s="103"/>
      <c r="M32" s="102">
        <f>ROUND(M26/$G$26,4)</f>
        <v>3.27E-2</v>
      </c>
      <c r="N32" s="104"/>
      <c r="O32" s="102">
        <f>ROUND(O26/$G$26,4)</f>
        <v>8.4400000000000003E-2</v>
      </c>
      <c r="P32" s="104"/>
      <c r="Q32" s="102">
        <f>ROUND(Q26/$G$26,4)</f>
        <v>0.14199999999999999</v>
      </c>
      <c r="R32" s="104"/>
      <c r="S32" s="102">
        <f>ROUND(S26/$G$26,4)</f>
        <v>0.1249</v>
      </c>
      <c r="T32" s="104"/>
      <c r="U32" s="102">
        <f>ROUND(U26/$G$26,4)</f>
        <v>0.41039999999999999</v>
      </c>
      <c r="V32" s="104"/>
      <c r="W32" s="104"/>
      <c r="X32" s="92"/>
      <c r="Z32" s="38"/>
      <c r="AA32" s="38"/>
      <c r="AB32" s="38"/>
      <c r="AG32" s="38"/>
      <c r="AH32" s="38"/>
    </row>
    <row r="33" spans="1:34" s="17" customFormat="1" x14ac:dyDescent="0.2">
      <c r="A33" s="57"/>
      <c r="C33" s="50" t="s">
        <v>415</v>
      </c>
      <c r="D33" s="10"/>
      <c r="E33" s="14" t="s">
        <v>6</v>
      </c>
      <c r="F33" s="97"/>
      <c r="G33" s="102">
        <f>SUM(I33:AG33)</f>
        <v>1</v>
      </c>
      <c r="I33" s="102">
        <f>1-SUM(K33:BF33)</f>
        <v>7.5700000000000101E-2</v>
      </c>
      <c r="J33" s="104"/>
      <c r="K33" s="102">
        <f>ROUND(K27/$G$27,4)</f>
        <v>7.2599999999999998E-2</v>
      </c>
      <c r="L33" s="104"/>
      <c r="M33" s="102">
        <f t="shared" ref="M33:U33" si="1">ROUND(M27/$G$27,4)</f>
        <v>3.1300000000000001E-2</v>
      </c>
      <c r="N33" s="104"/>
      <c r="O33" s="102">
        <f t="shared" si="1"/>
        <v>0.1152</v>
      </c>
      <c r="P33" s="104"/>
      <c r="Q33" s="102">
        <f t="shared" si="1"/>
        <v>0.14710000000000001</v>
      </c>
      <c r="R33" s="104"/>
      <c r="S33" s="102">
        <f t="shared" si="1"/>
        <v>7.3700000000000002E-2</v>
      </c>
      <c r="T33" s="104"/>
      <c r="U33" s="102">
        <f t="shared" si="1"/>
        <v>0.4844</v>
      </c>
      <c r="V33" s="104"/>
      <c r="W33" s="104"/>
      <c r="X33" s="92"/>
      <c r="Z33" s="38"/>
      <c r="AA33" s="38"/>
      <c r="AB33" s="38"/>
      <c r="AG33" s="38"/>
      <c r="AH33" s="38"/>
    </row>
    <row r="34" spans="1:34" s="17" customFormat="1" x14ac:dyDescent="0.2">
      <c r="A34" s="57"/>
      <c r="C34" s="54"/>
      <c r="D34" s="10"/>
      <c r="E34" s="14"/>
      <c r="G34" s="93"/>
      <c r="I34" s="103"/>
      <c r="J34" s="103"/>
      <c r="K34" s="103"/>
      <c r="L34" s="103"/>
      <c r="M34" s="103"/>
      <c r="N34" s="104"/>
      <c r="O34" s="103"/>
      <c r="P34" s="104"/>
      <c r="Q34" s="103"/>
      <c r="R34" s="104"/>
      <c r="S34" s="103"/>
      <c r="T34" s="104"/>
      <c r="U34" s="103"/>
      <c r="V34" s="104"/>
      <c r="W34" s="104"/>
      <c r="X34" s="92"/>
      <c r="Z34" s="38"/>
      <c r="AA34" s="38"/>
      <c r="AB34" s="38"/>
      <c r="AG34" s="38"/>
      <c r="AH34" s="38"/>
    </row>
    <row r="35" spans="1:34" s="17" customFormat="1" x14ac:dyDescent="0.2">
      <c r="A35" s="57"/>
      <c r="C35" s="54" t="str">
        <f>C19</f>
        <v>Total Composite Factor for FY 2015</v>
      </c>
      <c r="D35" s="10"/>
      <c r="E35" s="14" t="s">
        <v>6</v>
      </c>
      <c r="G35" s="102">
        <f>SUM(I35:AG35)</f>
        <v>1</v>
      </c>
      <c r="I35" s="102">
        <f>1-SUM(K35:BF35)</f>
        <v>9.3499999999999917E-2</v>
      </c>
      <c r="J35" s="103"/>
      <c r="K35" s="102">
        <f>ROUND(AVERAGE(K30:K33),4)</f>
        <v>8.09E-2</v>
      </c>
      <c r="L35" s="104"/>
      <c r="M35" s="102">
        <f t="shared" ref="M35:U35" si="2">ROUND(AVERAGE(M30:M33),4)</f>
        <v>2.9499999999999998E-2</v>
      </c>
      <c r="N35" s="104"/>
      <c r="O35" s="102">
        <f t="shared" si="2"/>
        <v>9.2100000000000001E-2</v>
      </c>
      <c r="P35" s="104"/>
      <c r="Q35" s="102">
        <f t="shared" si="2"/>
        <v>0.13489999999999999</v>
      </c>
      <c r="R35" s="104"/>
      <c r="S35" s="102">
        <f t="shared" si="2"/>
        <v>8.8599999999999998E-2</v>
      </c>
      <c r="T35" s="104"/>
      <c r="U35" s="102">
        <f t="shared" si="2"/>
        <v>0.48049999999999998</v>
      </c>
      <c r="V35" s="111"/>
      <c r="W35" s="104"/>
      <c r="X35" s="92"/>
      <c r="Z35" s="38"/>
      <c r="AA35" s="38"/>
      <c r="AB35" s="38"/>
      <c r="AG35" s="38"/>
      <c r="AH35" s="38"/>
    </row>
    <row r="36" spans="1:34" s="17" customFormat="1" x14ac:dyDescent="0.2">
      <c r="A36" s="57"/>
      <c r="C36" s="54"/>
      <c r="D36" s="10"/>
      <c r="E36" s="14"/>
      <c r="G36" s="104"/>
      <c r="I36" s="104"/>
      <c r="J36" s="103"/>
      <c r="K36" s="104"/>
      <c r="L36" s="103"/>
      <c r="M36" s="104"/>
      <c r="N36" s="104"/>
      <c r="O36" s="104"/>
      <c r="P36" s="104"/>
      <c r="Q36" s="104"/>
      <c r="R36" s="104"/>
      <c r="S36" s="104"/>
      <c r="T36" s="104"/>
      <c r="U36" s="104"/>
      <c r="V36" s="111"/>
      <c r="W36" s="104"/>
      <c r="X36" s="92"/>
      <c r="Z36" s="38"/>
      <c r="AA36" s="38"/>
      <c r="AB36" s="38"/>
      <c r="AG36" s="38"/>
      <c r="AH36" s="38"/>
    </row>
    <row r="37" spans="1:34" s="17" customFormat="1" x14ac:dyDescent="0.2">
      <c r="A37" s="57"/>
      <c r="C37" s="54"/>
      <c r="D37" s="10"/>
      <c r="E37" s="14"/>
      <c r="I37" s="312" t="s">
        <v>322</v>
      </c>
      <c r="J37" s="313"/>
      <c r="K37" s="313" t="s">
        <v>323</v>
      </c>
      <c r="L37" s="313"/>
      <c r="M37" s="313" t="s">
        <v>324</v>
      </c>
      <c r="N37" s="314"/>
      <c r="O37" s="315" t="s">
        <v>324</v>
      </c>
      <c r="P37" s="314"/>
      <c r="Q37" s="313" t="s">
        <v>325</v>
      </c>
      <c r="R37" s="314"/>
      <c r="S37" s="313" t="s">
        <v>326</v>
      </c>
      <c r="T37" s="314"/>
      <c r="U37" s="313" t="s">
        <v>327</v>
      </c>
      <c r="V37" s="314"/>
      <c r="W37" s="313" t="s">
        <v>328</v>
      </c>
      <c r="X37" s="314"/>
      <c r="Z37" s="38"/>
      <c r="AA37" s="38"/>
      <c r="AB37" s="38"/>
      <c r="AG37" s="38"/>
      <c r="AH37" s="38"/>
    </row>
    <row r="38" spans="1:34" ht="15.75" x14ac:dyDescent="0.25">
      <c r="C38" s="358" t="s">
        <v>252</v>
      </c>
      <c r="I38" s="295" t="s">
        <v>253</v>
      </c>
      <c r="J38" s="239"/>
      <c r="K38" s="296" t="s">
        <v>254</v>
      </c>
      <c r="L38" s="239"/>
      <c r="M38" s="296" t="s">
        <v>255</v>
      </c>
      <c r="N38" s="300"/>
      <c r="O38" s="301" t="s">
        <v>255</v>
      </c>
      <c r="P38" s="240"/>
      <c r="Q38" s="296" t="s">
        <v>256</v>
      </c>
      <c r="R38" s="240"/>
      <c r="S38" s="296" t="s">
        <v>257</v>
      </c>
      <c r="T38" s="240"/>
      <c r="U38" s="296" t="s">
        <v>258</v>
      </c>
    </row>
    <row r="40" spans="1:34" x14ac:dyDescent="0.2">
      <c r="C40" s="3" t="s">
        <v>4</v>
      </c>
      <c r="D40" s="10"/>
      <c r="E40" s="14" t="s">
        <v>6</v>
      </c>
      <c r="F40" s="97"/>
      <c r="G40" s="102">
        <f>SUM(I40:AG40)</f>
        <v>1</v>
      </c>
      <c r="H40" s="17"/>
      <c r="I40" s="102">
        <f>1-SUM(K40:BF40)</f>
        <v>9.7999999999999976E-2</v>
      </c>
      <c r="J40" s="103"/>
      <c r="K40" s="102">
        <f>ROUND(K47/$G$47,4)</f>
        <v>7.9399999999999998E-2</v>
      </c>
      <c r="L40" s="103"/>
      <c r="M40" s="102">
        <f>ROUND(M47/$G$47,4)</f>
        <v>2.4400000000000002E-2</v>
      </c>
      <c r="N40" s="104"/>
      <c r="O40" s="102">
        <f>ROUND(O47/$G$47,4)</f>
        <v>8.8900000000000007E-2</v>
      </c>
      <c r="P40" s="104"/>
      <c r="Q40" s="102">
        <f>ROUND(Q47/$G$47,4)</f>
        <v>0.1087</v>
      </c>
      <c r="R40" s="104"/>
      <c r="S40" s="102">
        <f>ROUND(S47/$G$47,4)</f>
        <v>8.1699999999999995E-2</v>
      </c>
      <c r="T40" s="104"/>
      <c r="U40" s="102">
        <f>ROUND(U47/$G$47,4)</f>
        <v>0.51880000000000004</v>
      </c>
      <c r="V40" s="102">
        <f t="shared" ref="V40:W40" si="3">ROUND(V47/$G$47,4)</f>
        <v>0</v>
      </c>
      <c r="W40" s="102">
        <f t="shared" si="3"/>
        <v>1E-4</v>
      </c>
    </row>
    <row r="41" spans="1:34" s="17" customFormat="1" x14ac:dyDescent="0.2">
      <c r="A41" s="57"/>
      <c r="C41" s="54"/>
      <c r="D41" s="10"/>
      <c r="E41" s="14"/>
      <c r="I41" s="59"/>
      <c r="N41" s="92"/>
      <c r="O41" s="93"/>
      <c r="P41" s="92"/>
      <c r="R41" s="92"/>
      <c r="T41" s="92"/>
      <c r="V41" s="92"/>
      <c r="X41" s="92"/>
      <c r="Z41" s="38"/>
      <c r="AA41" s="38"/>
      <c r="AB41" s="38"/>
      <c r="AG41" s="38"/>
      <c r="AH41" s="38"/>
    </row>
    <row r="42" spans="1:34" s="17" customFormat="1" x14ac:dyDescent="0.2">
      <c r="A42" s="57"/>
      <c r="C42" s="54"/>
      <c r="D42" s="10"/>
      <c r="E42" s="14"/>
      <c r="I42" s="59"/>
      <c r="N42" s="92"/>
      <c r="O42" s="93"/>
      <c r="P42" s="92"/>
      <c r="R42" s="92"/>
      <c r="T42" s="92"/>
      <c r="V42" s="92"/>
      <c r="X42" s="92"/>
      <c r="Z42" s="38"/>
      <c r="AA42" s="38"/>
      <c r="AB42" s="38"/>
      <c r="AG42" s="38"/>
      <c r="AH42" s="38"/>
    </row>
    <row r="43" spans="1:34" x14ac:dyDescent="0.2">
      <c r="O43" s="93"/>
    </row>
    <row r="44" spans="1:34" ht="15.75" x14ac:dyDescent="0.25">
      <c r="C44" s="99" t="s">
        <v>81</v>
      </c>
      <c r="D44" s="10"/>
      <c r="E44" s="14"/>
      <c r="F44" s="14"/>
      <c r="G44" s="15"/>
      <c r="H44" s="15"/>
      <c r="I44" s="299" t="s">
        <v>245</v>
      </c>
      <c r="J44" s="241"/>
      <c r="K44" s="297" t="s">
        <v>246</v>
      </c>
      <c r="L44" s="241"/>
      <c r="M44" s="297" t="s">
        <v>247</v>
      </c>
      <c r="N44" s="297"/>
      <c r="O44" s="297" t="s">
        <v>247</v>
      </c>
      <c r="P44" s="241"/>
      <c r="Q44" s="297" t="s">
        <v>248</v>
      </c>
      <c r="R44" s="241"/>
      <c r="S44" s="298" t="s">
        <v>249</v>
      </c>
      <c r="T44" s="241"/>
      <c r="U44" s="298" t="s">
        <v>250</v>
      </c>
      <c r="V44" s="244"/>
      <c r="W44" s="296" t="s">
        <v>251</v>
      </c>
    </row>
    <row r="45" spans="1:34" x14ac:dyDescent="0.2">
      <c r="C45" s="17"/>
      <c r="D45" s="17"/>
      <c r="E45" s="17"/>
      <c r="F45" s="17"/>
      <c r="G45" s="17"/>
      <c r="H45" s="17"/>
      <c r="I45" s="58"/>
      <c r="J45" s="17"/>
      <c r="K45" s="17"/>
      <c r="L45" s="17"/>
      <c r="M45" s="94"/>
      <c r="N45" s="92"/>
      <c r="O45" s="17"/>
      <c r="P45" s="92"/>
      <c r="Q45" s="17"/>
      <c r="R45" s="92"/>
      <c r="S45" s="17"/>
      <c r="T45" s="92"/>
      <c r="U45" s="17"/>
    </row>
    <row r="46" spans="1:34" x14ac:dyDescent="0.2">
      <c r="C46" s="2" t="s">
        <v>2</v>
      </c>
      <c r="D46" s="10"/>
      <c r="E46" s="3" t="s">
        <v>3</v>
      </c>
      <c r="F46" s="17"/>
      <c r="G46" s="84">
        <f>SUM(I46:AG46)</f>
        <v>8432239559.3299999</v>
      </c>
      <c r="H46" s="17"/>
      <c r="I46" s="113">
        <f>I10</f>
        <v>588658574.24000001</v>
      </c>
      <c r="J46" s="8"/>
      <c r="K46" s="113">
        <f>K10</f>
        <v>522666021.57000005</v>
      </c>
      <c r="L46" s="8"/>
      <c r="M46" s="113">
        <f>M10</f>
        <v>196802776</v>
      </c>
      <c r="N46" s="49"/>
      <c r="O46" s="113">
        <f>O10</f>
        <v>532048476.17000002</v>
      </c>
      <c r="P46" s="49"/>
      <c r="Q46" s="113">
        <f>Q10</f>
        <v>946876781.34000003</v>
      </c>
      <c r="R46" s="49"/>
      <c r="S46" s="113">
        <f>S10</f>
        <v>494873746.19999999</v>
      </c>
      <c r="T46" s="49"/>
      <c r="U46" s="113">
        <f>U10</f>
        <v>3393212542.6799998</v>
      </c>
      <c r="W46" s="113">
        <f>W10</f>
        <v>1757100641.1300001</v>
      </c>
    </row>
    <row r="47" spans="1:34" x14ac:dyDescent="0.2">
      <c r="C47" s="3" t="s">
        <v>4</v>
      </c>
      <c r="D47" s="10"/>
      <c r="E47" s="3" t="s">
        <v>5</v>
      </c>
      <c r="F47" s="17"/>
      <c r="G47" s="85">
        <f>SUM(I47:AG47)</f>
        <v>3060861.916666667</v>
      </c>
      <c r="H47" s="17"/>
      <c r="I47" s="113">
        <f>I11</f>
        <v>299552.75</v>
      </c>
      <c r="J47" s="8"/>
      <c r="K47" s="113">
        <f>K11</f>
        <v>243083.75</v>
      </c>
      <c r="L47" s="8"/>
      <c r="M47" s="113">
        <f>M11</f>
        <v>74692.75</v>
      </c>
      <c r="N47" s="49"/>
      <c r="O47" s="113">
        <f>O11</f>
        <v>272260.41666666669</v>
      </c>
      <c r="P47" s="49"/>
      <c r="Q47" s="113">
        <f>Q11</f>
        <v>332626.25</v>
      </c>
      <c r="R47" s="49"/>
      <c r="S47" s="113">
        <f>S11</f>
        <v>250173.33333333334</v>
      </c>
      <c r="T47" s="49"/>
      <c r="U47" s="113">
        <f>U11</f>
        <v>1588125.9166666667</v>
      </c>
      <c r="W47" s="113">
        <f>W11</f>
        <v>346.75</v>
      </c>
    </row>
    <row r="48" spans="1:34" x14ac:dyDescent="0.2">
      <c r="C48" s="2" t="s">
        <v>15</v>
      </c>
      <c r="D48" s="10"/>
      <c r="E48" s="3" t="s">
        <v>3</v>
      </c>
      <c r="F48" s="17"/>
      <c r="G48" s="84">
        <f>SUM(I48:AG48)</f>
        <v>349166625.57999998</v>
      </c>
      <c r="H48" s="17"/>
      <c r="I48" s="113">
        <f>I12</f>
        <v>30013523.280000005</v>
      </c>
      <c r="J48" s="8"/>
      <c r="K48" s="113">
        <f>K12</f>
        <v>24974685.020000003</v>
      </c>
      <c r="L48" s="8"/>
      <c r="M48" s="113">
        <f>M12</f>
        <v>8753909.0500000007</v>
      </c>
      <c r="N48" s="49"/>
      <c r="O48" s="113">
        <f>O12</f>
        <v>22587102.66</v>
      </c>
      <c r="P48" s="49"/>
      <c r="Q48" s="113">
        <f>Q12</f>
        <v>38004205.259999998</v>
      </c>
      <c r="R48" s="49"/>
      <c r="S48" s="113">
        <f>S12</f>
        <v>33429741.43</v>
      </c>
      <c r="T48" s="49"/>
      <c r="U48" s="113">
        <f>U12</f>
        <v>109826806.36999999</v>
      </c>
      <c r="W48" s="113">
        <f>W12</f>
        <v>81576652.510000005</v>
      </c>
    </row>
    <row r="49" spans="3:33" x14ac:dyDescent="0.2">
      <c r="C49" s="50" t="s">
        <v>415</v>
      </c>
      <c r="D49" s="10"/>
      <c r="E49" s="3" t="s">
        <v>3</v>
      </c>
      <c r="F49" s="17"/>
      <c r="G49" s="84">
        <f>SUM(I49:AG49)</f>
        <v>559417829.65999997</v>
      </c>
      <c r="H49" s="17"/>
      <c r="I49" s="113">
        <f>I253</f>
        <v>29250110.409999982</v>
      </c>
      <c r="J49" s="49"/>
      <c r="K49" s="113">
        <f>K253</f>
        <v>28077794.860000014</v>
      </c>
      <c r="L49" s="49"/>
      <c r="M49" s="113">
        <f>M253</f>
        <v>12099650.620000007</v>
      </c>
      <c r="N49" s="49"/>
      <c r="O49" s="113">
        <f>O253</f>
        <v>44548072.690000013</v>
      </c>
      <c r="P49" s="49"/>
      <c r="Q49" s="113">
        <f>Q253</f>
        <v>56885094.450000003</v>
      </c>
      <c r="R49" s="49"/>
      <c r="S49" s="113">
        <f>S253</f>
        <v>28473067.789999984</v>
      </c>
      <c r="T49" s="49"/>
      <c r="U49" s="113">
        <f>U253</f>
        <v>187264856.61999995</v>
      </c>
      <c r="V49" s="49"/>
      <c r="W49" s="113">
        <f>W253</f>
        <v>172819182.22</v>
      </c>
    </row>
    <row r="50" spans="3:33" x14ac:dyDescent="0.2">
      <c r="C50" s="50" t="s">
        <v>16</v>
      </c>
      <c r="D50" s="10"/>
      <c r="E50" s="3"/>
      <c r="F50" s="17"/>
      <c r="G50" s="17"/>
      <c r="H50" s="17"/>
      <c r="I50" s="1"/>
      <c r="J50" s="4"/>
      <c r="K50" s="1"/>
      <c r="L50" s="4"/>
      <c r="M50" s="1"/>
      <c r="N50" s="1"/>
      <c r="O50" s="1"/>
      <c r="P50" s="1"/>
      <c r="Q50" s="1"/>
      <c r="R50" s="1"/>
      <c r="S50" s="1"/>
      <c r="T50" s="1"/>
      <c r="U50" s="1"/>
      <c r="W50" s="18"/>
    </row>
    <row r="51" spans="3:33" x14ac:dyDescent="0.2">
      <c r="C51" s="17"/>
      <c r="D51" s="17"/>
      <c r="E51" s="17"/>
      <c r="F51" s="17"/>
      <c r="G51" s="17"/>
      <c r="H51" s="17"/>
      <c r="I51" s="58"/>
      <c r="J51" s="17"/>
      <c r="K51" s="17"/>
      <c r="L51" s="17"/>
      <c r="M51" s="94"/>
      <c r="N51" s="92"/>
      <c r="O51" s="17"/>
      <c r="P51" s="92"/>
      <c r="Q51" s="17"/>
      <c r="R51" s="92"/>
      <c r="S51" s="17"/>
      <c r="T51" s="92"/>
      <c r="U51" s="17"/>
    </row>
    <row r="52" spans="3:33" x14ac:dyDescent="0.2">
      <c r="C52" s="2" t="s">
        <v>2</v>
      </c>
      <c r="D52" s="10"/>
      <c r="E52" s="14" t="s">
        <v>6</v>
      </c>
      <c r="F52" s="97"/>
      <c r="G52" s="102">
        <f>SUM(I52:AG52)</f>
        <v>1</v>
      </c>
      <c r="H52" s="17"/>
      <c r="I52" s="102">
        <f>1-SUM(K52:BF52)</f>
        <v>6.9799999999999973E-2</v>
      </c>
      <c r="J52" s="103"/>
      <c r="K52" s="102">
        <f>ROUND(K46/$G$46,4)</f>
        <v>6.2E-2</v>
      </c>
      <c r="L52" s="103"/>
      <c r="M52" s="102">
        <f>ROUND(M46/$G$46,4)</f>
        <v>2.3300000000000001E-2</v>
      </c>
      <c r="N52" s="104"/>
      <c r="O52" s="102">
        <f>ROUND(O46/$G$46,4)</f>
        <v>6.3100000000000003E-2</v>
      </c>
      <c r="P52" s="104"/>
      <c r="Q52" s="102">
        <f>ROUND(Q46/$G$46,4)</f>
        <v>0.1123</v>
      </c>
      <c r="R52" s="104"/>
      <c r="S52" s="102">
        <f>ROUND(S46/$G$46,4)</f>
        <v>5.8700000000000002E-2</v>
      </c>
      <c r="T52" s="104"/>
      <c r="U52" s="102">
        <f>ROUND(U46/$G$46,4)</f>
        <v>0.40239999999999998</v>
      </c>
      <c r="W52" s="102">
        <f>ROUND(W46/$G$46,4)</f>
        <v>0.2084</v>
      </c>
    </row>
    <row r="53" spans="3:33" x14ac:dyDescent="0.2">
      <c r="C53" s="3" t="s">
        <v>4</v>
      </c>
      <c r="D53" s="10"/>
      <c r="E53" s="14" t="s">
        <v>6</v>
      </c>
      <c r="F53" s="97"/>
      <c r="G53" s="102">
        <f>SUM(I53:AG53)</f>
        <v>1</v>
      </c>
      <c r="H53" s="17"/>
      <c r="I53" s="102">
        <f>1-SUM(K53:BF53)</f>
        <v>9.7986714915785034E-2</v>
      </c>
      <c r="J53" s="103"/>
      <c r="K53" s="102">
        <f>ROUND(K47/$G$47,4)</f>
        <v>7.9399999999999998E-2</v>
      </c>
      <c r="L53" s="103"/>
      <c r="M53" s="102">
        <f>ROUND(M47/$G$47,4)</f>
        <v>2.4400000000000002E-2</v>
      </c>
      <c r="N53" s="104"/>
      <c r="O53" s="102">
        <f>ROUND(O47/$G$47,4)</f>
        <v>8.8900000000000007E-2</v>
      </c>
      <c r="P53" s="104"/>
      <c r="Q53" s="102">
        <f>ROUND(Q47/$G$47,4)</f>
        <v>0.1087</v>
      </c>
      <c r="R53" s="104"/>
      <c r="S53" s="102">
        <f>ROUND(S47/$G$47,4)</f>
        <v>8.1699999999999995E-2</v>
      </c>
      <c r="T53" s="104"/>
      <c r="U53" s="102">
        <f>ROUND(U47/$G$47,4)</f>
        <v>0.51880000000000004</v>
      </c>
      <c r="W53" s="102">
        <f>(W47/$G$47)</f>
        <v>1.1328508421497723E-4</v>
      </c>
    </row>
    <row r="54" spans="3:33" x14ac:dyDescent="0.2">
      <c r="C54" s="2" t="s">
        <v>7</v>
      </c>
      <c r="D54" s="10"/>
      <c r="E54" s="14" t="s">
        <v>6</v>
      </c>
      <c r="F54" s="97"/>
      <c r="G54" s="102">
        <f>SUM(I54:AG54)</f>
        <v>1</v>
      </c>
      <c r="H54" s="17"/>
      <c r="I54" s="102">
        <f>1-SUM(K54:BF54)</f>
        <v>8.6099999999999954E-2</v>
      </c>
      <c r="J54" s="103"/>
      <c r="K54" s="102">
        <f>ROUND(K48/$G$48,4)</f>
        <v>7.1499999999999994E-2</v>
      </c>
      <c r="L54" s="103"/>
      <c r="M54" s="102">
        <f>ROUND(M48/$G$48,4)</f>
        <v>2.5100000000000001E-2</v>
      </c>
      <c r="N54" s="104"/>
      <c r="O54" s="102">
        <f>ROUND(O48/$G$48,4)</f>
        <v>6.4699999999999994E-2</v>
      </c>
      <c r="P54" s="104"/>
      <c r="Q54" s="102">
        <f>ROUND(Q48/$G$48,4)</f>
        <v>0.10879999999999999</v>
      </c>
      <c r="R54" s="104"/>
      <c r="S54" s="102">
        <f>ROUND(S48/$G$48,4)</f>
        <v>9.5699999999999993E-2</v>
      </c>
      <c r="T54" s="104"/>
      <c r="U54" s="102">
        <f>ROUND(U48/$G$48,4)</f>
        <v>0.3145</v>
      </c>
      <c r="W54" s="102">
        <f>ROUND(W48/$G$48,4)</f>
        <v>0.2336</v>
      </c>
    </row>
    <row r="55" spans="3:33" x14ac:dyDescent="0.2">
      <c r="C55" s="50" t="s">
        <v>415</v>
      </c>
      <c r="D55" s="10"/>
      <c r="E55" s="14" t="s">
        <v>6</v>
      </c>
      <c r="F55" s="97"/>
      <c r="G55" s="102">
        <f>SUM(I55:AG55)</f>
        <v>1</v>
      </c>
      <c r="H55" s="17"/>
      <c r="I55" s="102">
        <f>1-SUM(K55:BF55)</f>
        <v>5.2400000000000002E-2</v>
      </c>
      <c r="J55" s="103"/>
      <c r="K55" s="102">
        <f>ROUND(K49/$G$49,4)</f>
        <v>5.0200000000000002E-2</v>
      </c>
      <c r="L55" s="104"/>
      <c r="M55" s="102">
        <f t="shared" ref="M55:W55" si="4">ROUND(M49/$G$49,4)</f>
        <v>2.1600000000000001E-2</v>
      </c>
      <c r="N55" s="104"/>
      <c r="O55" s="102">
        <f t="shared" si="4"/>
        <v>7.9600000000000004E-2</v>
      </c>
      <c r="P55" s="104"/>
      <c r="Q55" s="102">
        <f t="shared" si="4"/>
        <v>0.1017</v>
      </c>
      <c r="R55" s="104"/>
      <c r="S55" s="102">
        <f t="shared" si="4"/>
        <v>5.0900000000000001E-2</v>
      </c>
      <c r="T55" s="104"/>
      <c r="U55" s="102">
        <f t="shared" si="4"/>
        <v>0.3347</v>
      </c>
      <c r="V55" s="104"/>
      <c r="W55" s="102">
        <f t="shared" si="4"/>
        <v>0.30890000000000001</v>
      </c>
    </row>
    <row r="56" spans="3:33" x14ac:dyDescent="0.2">
      <c r="C56" s="54"/>
      <c r="D56" s="10"/>
      <c r="E56" s="14"/>
      <c r="F56" s="17"/>
      <c r="G56" s="93"/>
      <c r="H56" s="17"/>
      <c r="I56" s="103"/>
      <c r="J56" s="103"/>
      <c r="K56" s="103"/>
      <c r="L56" s="103"/>
      <c r="M56" s="103"/>
      <c r="N56" s="104"/>
      <c r="O56" s="103"/>
      <c r="P56" s="104"/>
      <c r="Q56" s="103"/>
      <c r="R56" s="104"/>
      <c r="S56" s="103"/>
      <c r="T56" s="104"/>
      <c r="U56" s="103"/>
      <c r="W56" s="90"/>
    </row>
    <row r="57" spans="3:33" x14ac:dyDescent="0.2">
      <c r="C57" s="123" t="str">
        <f>C19</f>
        <v>Total Composite Factor for FY 2015</v>
      </c>
      <c r="D57" s="10"/>
      <c r="E57" s="14" t="s">
        <v>6</v>
      </c>
      <c r="F57" s="17"/>
      <c r="G57" s="102">
        <f>SUM(I57:AG57)</f>
        <v>1</v>
      </c>
      <c r="H57" s="17"/>
      <c r="I57" s="102">
        <f>1-SUM(K57:BF57)</f>
        <v>7.6400000000000023E-2</v>
      </c>
      <c r="J57" s="103"/>
      <c r="K57" s="102">
        <f>ROUND(AVERAGE(K52:K55),4)</f>
        <v>6.5799999999999997E-2</v>
      </c>
      <c r="L57" s="104"/>
      <c r="M57" s="102">
        <f t="shared" ref="M57:W57" si="5">ROUND(AVERAGE(M52:M55),4)</f>
        <v>2.3599999999999999E-2</v>
      </c>
      <c r="N57" s="104"/>
      <c r="O57" s="102">
        <f t="shared" si="5"/>
        <v>7.4099999999999999E-2</v>
      </c>
      <c r="P57" s="104"/>
      <c r="Q57" s="102">
        <f t="shared" si="5"/>
        <v>0.1079</v>
      </c>
      <c r="R57" s="104"/>
      <c r="S57" s="102">
        <f t="shared" si="5"/>
        <v>7.1800000000000003E-2</v>
      </c>
      <c r="T57" s="104"/>
      <c r="U57" s="102">
        <f t="shared" si="5"/>
        <v>0.3926</v>
      </c>
      <c r="V57" s="104"/>
      <c r="W57" s="102">
        <f t="shared" si="5"/>
        <v>0.18779999999999999</v>
      </c>
    </row>
    <row r="59" spans="3:33" ht="15.75" x14ac:dyDescent="0.25">
      <c r="I59" s="245"/>
      <c r="K59" s="238"/>
      <c r="L59" s="239"/>
      <c r="M59" s="239"/>
      <c r="N59" s="239"/>
      <c r="O59" s="239"/>
      <c r="P59" s="240"/>
      <c r="Q59" s="246"/>
      <c r="R59" s="240"/>
      <c r="S59" s="239"/>
      <c r="T59" s="240"/>
      <c r="U59" s="239"/>
      <c r="V59" s="240"/>
      <c r="W59" s="239"/>
    </row>
    <row r="60" spans="3:33" ht="15.75" x14ac:dyDescent="0.25">
      <c r="C60" s="99" t="s">
        <v>209</v>
      </c>
      <c r="D60" s="10"/>
      <c r="E60" s="14"/>
      <c r="F60" s="14"/>
      <c r="G60" s="15"/>
      <c r="H60" s="15"/>
      <c r="I60" s="299" t="s">
        <v>210</v>
      </c>
      <c r="J60" s="241"/>
      <c r="K60" s="297" t="s">
        <v>211</v>
      </c>
      <c r="L60" s="241"/>
      <c r="M60" s="297" t="s">
        <v>212</v>
      </c>
      <c r="N60" s="297"/>
      <c r="O60" s="297" t="s">
        <v>212</v>
      </c>
      <c r="P60" s="241"/>
      <c r="Q60" s="297" t="s">
        <v>213</v>
      </c>
      <c r="R60" s="241"/>
      <c r="S60" s="298" t="s">
        <v>214</v>
      </c>
      <c r="T60" s="241"/>
      <c r="U60" s="298" t="s">
        <v>215</v>
      </c>
      <c r="V60" s="240"/>
      <c r="W60" s="296" t="s">
        <v>216</v>
      </c>
      <c r="X60" s="240"/>
      <c r="Y60" s="239"/>
      <c r="Z60" s="239"/>
      <c r="AA60" s="239"/>
      <c r="AB60" s="239"/>
      <c r="AC60" s="239"/>
      <c r="AD60" s="239"/>
      <c r="AE60" s="296" t="s">
        <v>217</v>
      </c>
      <c r="AG60" s="5"/>
    </row>
    <row r="61" spans="3:33" x14ac:dyDescent="0.2">
      <c r="C61" s="17"/>
      <c r="D61" s="17"/>
      <c r="E61" s="17"/>
      <c r="F61" s="17"/>
      <c r="G61" s="17"/>
      <c r="H61" s="17"/>
      <c r="I61" s="58"/>
      <c r="J61" s="17"/>
      <c r="K61" s="17"/>
      <c r="L61" s="17"/>
      <c r="M61" s="94"/>
      <c r="N61" s="92"/>
      <c r="O61" s="17"/>
      <c r="P61" s="92"/>
      <c r="Q61" s="17"/>
      <c r="R61" s="92"/>
      <c r="S61" s="17"/>
      <c r="T61" s="92"/>
      <c r="U61" s="17"/>
    </row>
    <row r="62" spans="3:33" x14ac:dyDescent="0.2">
      <c r="C62" s="2" t="s">
        <v>2</v>
      </c>
      <c r="D62" s="10"/>
      <c r="E62" s="3" t="s">
        <v>3</v>
      </c>
      <c r="F62" s="17"/>
      <c r="G62" s="84">
        <f>SUM(I62:AG62)</f>
        <v>8456771698.2399998</v>
      </c>
      <c r="H62" s="17"/>
      <c r="I62" s="113">
        <f>I10</f>
        <v>588658574.24000001</v>
      </c>
      <c r="J62" s="8"/>
      <c r="K62" s="113">
        <f>K10</f>
        <v>522666021.57000005</v>
      </c>
      <c r="L62" s="8"/>
      <c r="M62" s="113">
        <f>M10</f>
        <v>196802776</v>
      </c>
      <c r="N62" s="49"/>
      <c r="O62" s="113">
        <f>O10</f>
        <v>532048476.17000002</v>
      </c>
      <c r="P62" s="49"/>
      <c r="Q62" s="113">
        <f>Q10</f>
        <v>946876781.34000003</v>
      </c>
      <c r="R62" s="49"/>
      <c r="S62" s="113">
        <f>S10</f>
        <v>494873746.19999999</v>
      </c>
      <c r="T62" s="49"/>
      <c r="U62" s="113">
        <f>U10</f>
        <v>3393212542.6799998</v>
      </c>
      <c r="W62" s="113">
        <f>W10</f>
        <v>1757100641.1300001</v>
      </c>
      <c r="AA62" s="117"/>
      <c r="AB62" s="117"/>
      <c r="AC62" s="49"/>
      <c r="AD62" s="49"/>
      <c r="AE62" s="113">
        <f>AE10</f>
        <v>24532138.91</v>
      </c>
      <c r="AF62" s="49"/>
    </row>
    <row r="63" spans="3:33" x14ac:dyDescent="0.2">
      <c r="C63" s="3" t="s">
        <v>4</v>
      </c>
      <c r="D63" s="10"/>
      <c r="E63" s="3" t="s">
        <v>5</v>
      </c>
      <c r="F63" s="17"/>
      <c r="G63" s="84">
        <f>SUM(I63:AG63)</f>
        <v>3060876.916666667</v>
      </c>
      <c r="H63" s="17"/>
      <c r="I63" s="113">
        <f>I11</f>
        <v>299552.75</v>
      </c>
      <c r="J63" s="8"/>
      <c r="K63" s="113">
        <f>K11</f>
        <v>243083.75</v>
      </c>
      <c r="L63" s="8"/>
      <c r="M63" s="113">
        <f>M11</f>
        <v>74692.75</v>
      </c>
      <c r="N63" s="49"/>
      <c r="O63" s="113">
        <f>O11</f>
        <v>272260.41666666669</v>
      </c>
      <c r="P63" s="49"/>
      <c r="Q63" s="113">
        <f>Q11</f>
        <v>332626.25</v>
      </c>
      <c r="R63" s="49"/>
      <c r="S63" s="113">
        <f>S11</f>
        <v>250173.33333333334</v>
      </c>
      <c r="T63" s="49"/>
      <c r="U63" s="113">
        <f>U11</f>
        <v>1588125.9166666667</v>
      </c>
      <c r="W63" s="113">
        <f>W11</f>
        <v>346.75</v>
      </c>
      <c r="AA63" s="117"/>
      <c r="AB63" s="117"/>
      <c r="AC63" s="49"/>
      <c r="AD63" s="49"/>
      <c r="AE63" s="113">
        <f>AE11</f>
        <v>15</v>
      </c>
      <c r="AF63" s="49"/>
    </row>
    <row r="64" spans="3:33" x14ac:dyDescent="0.2">
      <c r="C64" s="2" t="s">
        <v>15</v>
      </c>
      <c r="D64" s="10"/>
      <c r="E64" s="3" t="s">
        <v>3</v>
      </c>
      <c r="F64" s="17"/>
      <c r="G64" s="84">
        <f>SUM(I64:AG64)</f>
        <v>350299507.52999997</v>
      </c>
      <c r="H64" s="17"/>
      <c r="I64" s="113">
        <f>I12</f>
        <v>30013523.280000005</v>
      </c>
      <c r="J64" s="8"/>
      <c r="K64" s="113">
        <f>K12</f>
        <v>24974685.020000003</v>
      </c>
      <c r="L64" s="8"/>
      <c r="M64" s="113">
        <f>M12</f>
        <v>8753909.0500000007</v>
      </c>
      <c r="N64" s="49"/>
      <c r="O64" s="113">
        <f>O12</f>
        <v>22587102.66</v>
      </c>
      <c r="P64" s="49"/>
      <c r="Q64" s="113">
        <f>Q12</f>
        <v>38004205.259999998</v>
      </c>
      <c r="R64" s="49"/>
      <c r="S64" s="113">
        <f>S12</f>
        <v>33429741.43</v>
      </c>
      <c r="T64" s="49"/>
      <c r="U64" s="113">
        <f>U12</f>
        <v>109826806.36999999</v>
      </c>
      <c r="W64" s="113">
        <f>W12</f>
        <v>81576652.510000005</v>
      </c>
      <c r="AA64" s="117"/>
      <c r="AB64" s="117"/>
      <c r="AC64" s="49"/>
      <c r="AD64" s="49"/>
      <c r="AE64" s="113">
        <f>AE12</f>
        <v>1132881.9500000002</v>
      </c>
      <c r="AF64" s="49"/>
    </row>
    <row r="65" spans="3:32" x14ac:dyDescent="0.2">
      <c r="C65" s="50" t="s">
        <v>415</v>
      </c>
      <c r="D65" s="10"/>
      <c r="E65" s="3" t="s">
        <v>3</v>
      </c>
      <c r="F65" s="17"/>
      <c r="G65" s="84">
        <f>SUM(I65:AG65)</f>
        <v>566955742.16999996</v>
      </c>
      <c r="H65" s="92"/>
      <c r="I65" s="113">
        <f>I253</f>
        <v>29250110.409999982</v>
      </c>
      <c r="J65" s="49"/>
      <c r="K65" s="113">
        <f>K253</f>
        <v>28077794.860000014</v>
      </c>
      <c r="L65" s="49"/>
      <c r="M65" s="113">
        <f>M253</f>
        <v>12099650.620000007</v>
      </c>
      <c r="N65" s="49"/>
      <c r="O65" s="113">
        <f>O253</f>
        <v>44548072.690000013</v>
      </c>
      <c r="P65" s="49"/>
      <c r="Q65" s="113">
        <f>Q253</f>
        <v>56885094.450000003</v>
      </c>
      <c r="R65" s="49"/>
      <c r="S65" s="113">
        <f>S253</f>
        <v>28473067.789999984</v>
      </c>
      <c r="T65" s="49"/>
      <c r="U65" s="113">
        <f>U253</f>
        <v>187264856.61999995</v>
      </c>
      <c r="V65" s="49"/>
      <c r="W65" s="113">
        <f>W253</f>
        <v>172819182.22</v>
      </c>
      <c r="AA65" s="117"/>
      <c r="AB65" s="117"/>
      <c r="AC65" s="49"/>
      <c r="AD65" s="49"/>
      <c r="AE65" s="113">
        <f t="shared" ref="AE65" si="6">AE253</f>
        <v>7537912.5099999988</v>
      </c>
      <c r="AF65" s="49"/>
    </row>
    <row r="66" spans="3:32" x14ac:dyDescent="0.2">
      <c r="C66" s="50" t="s">
        <v>16</v>
      </c>
      <c r="D66" s="10"/>
      <c r="E66" s="3"/>
      <c r="F66" s="17"/>
      <c r="G66" s="17"/>
      <c r="H66" s="17"/>
      <c r="I66" s="1"/>
      <c r="J66" s="4"/>
      <c r="K66" s="1"/>
      <c r="L66" s="4"/>
      <c r="M66" s="1"/>
      <c r="N66" s="1"/>
      <c r="O66" s="1"/>
      <c r="P66" s="1"/>
      <c r="Q66" s="1"/>
      <c r="R66" s="1"/>
      <c r="S66" s="1"/>
      <c r="T66" s="1"/>
      <c r="U66" s="1"/>
      <c r="W66" s="18"/>
      <c r="AA66" s="117"/>
      <c r="AB66" s="117"/>
      <c r="AC66" s="18"/>
      <c r="AD66" s="18"/>
      <c r="AE66" s="18"/>
      <c r="AF66" s="18"/>
    </row>
    <row r="67" spans="3:32" x14ac:dyDescent="0.2">
      <c r="C67" s="17"/>
      <c r="D67" s="17"/>
      <c r="E67" s="17"/>
      <c r="F67" s="17"/>
      <c r="G67" s="17"/>
      <c r="H67" s="17"/>
      <c r="I67" s="58"/>
      <c r="J67" s="17"/>
      <c r="K67" s="17"/>
      <c r="L67" s="17"/>
      <c r="M67" s="94"/>
      <c r="N67" s="92"/>
      <c r="O67" s="17"/>
      <c r="P67" s="92"/>
      <c r="Q67" s="17"/>
      <c r="R67" s="92"/>
      <c r="S67" s="17"/>
      <c r="T67" s="92"/>
      <c r="U67" s="17"/>
      <c r="AA67" s="117"/>
      <c r="AB67" s="117"/>
      <c r="AC67" s="48"/>
      <c r="AD67" s="48"/>
    </row>
    <row r="68" spans="3:32" x14ac:dyDescent="0.2">
      <c r="C68" s="2" t="s">
        <v>2</v>
      </c>
      <c r="D68" s="10"/>
      <c r="E68" s="14" t="s">
        <v>6</v>
      </c>
      <c r="F68" s="97"/>
      <c r="G68" s="102">
        <f>SUM(I68:AG68)</f>
        <v>1</v>
      </c>
      <c r="H68" s="17"/>
      <c r="I68" s="102">
        <f>1-SUM(K68:BF68)</f>
        <v>6.9599999999999995E-2</v>
      </c>
      <c r="J68" s="103"/>
      <c r="K68" s="102">
        <f>ROUND(K62/$G$62,4)</f>
        <v>6.1800000000000001E-2</v>
      </c>
      <c r="L68" s="103"/>
      <c r="M68" s="102">
        <f>ROUND(M62/$G$62,4)</f>
        <v>2.3300000000000001E-2</v>
      </c>
      <c r="N68" s="104"/>
      <c r="O68" s="102">
        <f>ROUND(O62/$G$62,4)</f>
        <v>6.2899999999999998E-2</v>
      </c>
      <c r="P68" s="104"/>
      <c r="Q68" s="102">
        <f>ROUND(Q62/$G$62,4)</f>
        <v>0.112</v>
      </c>
      <c r="R68" s="104"/>
      <c r="S68" s="102">
        <f>ROUND(S62/$G$62,4)</f>
        <v>5.8500000000000003E-2</v>
      </c>
      <c r="T68" s="104"/>
      <c r="U68" s="102">
        <f>ROUND(U62/$G$62,4)</f>
        <v>0.4012</v>
      </c>
      <c r="W68" s="102">
        <f>ROUND(W62/$G$62,4)</f>
        <v>0.20780000000000001</v>
      </c>
      <c r="AA68" s="117"/>
      <c r="AB68" s="117"/>
      <c r="AC68" s="104"/>
      <c r="AD68" s="104"/>
      <c r="AE68" s="102">
        <f>ROUND(AE62/$G$62,4)</f>
        <v>2.8999999999999998E-3</v>
      </c>
      <c r="AF68" s="104"/>
    </row>
    <row r="69" spans="3:32" x14ac:dyDescent="0.2">
      <c r="C69" s="3" t="s">
        <v>4</v>
      </c>
      <c r="D69" s="10"/>
      <c r="E69" s="14" t="s">
        <v>6</v>
      </c>
      <c r="F69" s="97"/>
      <c r="G69" s="102">
        <f>SUM(I69:AG69)</f>
        <v>1</v>
      </c>
      <c r="H69" s="17"/>
      <c r="I69" s="102">
        <f>1-SUM(K69:BF69)</f>
        <v>9.7999999999999976E-2</v>
      </c>
      <c r="J69" s="103"/>
      <c r="K69" s="102">
        <f>ROUND(K63/$G$63,4)</f>
        <v>7.9399999999999998E-2</v>
      </c>
      <c r="L69" s="103"/>
      <c r="M69" s="102">
        <f>ROUND(M63/$G$63,4)</f>
        <v>2.4400000000000002E-2</v>
      </c>
      <c r="N69" s="104"/>
      <c r="O69" s="102">
        <f>ROUND(O63/$G$63,4)</f>
        <v>8.8900000000000007E-2</v>
      </c>
      <c r="P69" s="104"/>
      <c r="Q69" s="102">
        <f>ROUND(Q63/$G$63,4)</f>
        <v>0.1087</v>
      </c>
      <c r="R69" s="104"/>
      <c r="S69" s="102">
        <f>ROUND(S63/$G$63,4)</f>
        <v>8.1699999999999995E-2</v>
      </c>
      <c r="T69" s="104"/>
      <c r="U69" s="102">
        <f>ROUND(U63/$G$63,4)</f>
        <v>0.51880000000000004</v>
      </c>
      <c r="W69" s="102">
        <f>ROUND(W63/$G$63,4)</f>
        <v>1E-4</v>
      </c>
      <c r="AA69" s="117"/>
      <c r="AB69" s="117"/>
      <c r="AC69" s="104"/>
      <c r="AD69" s="104"/>
      <c r="AE69" s="102">
        <f>ROUND(AE63/$G$63,4)</f>
        <v>0</v>
      </c>
      <c r="AF69" s="104"/>
    </row>
    <row r="70" spans="3:32" x14ac:dyDescent="0.2">
      <c r="C70" s="2" t="s">
        <v>7</v>
      </c>
      <c r="D70" s="10"/>
      <c r="E70" s="14" t="s">
        <v>6</v>
      </c>
      <c r="F70" s="97"/>
      <c r="G70" s="102">
        <f>SUM(I70:AG70)</f>
        <v>1</v>
      </c>
      <c r="H70" s="17"/>
      <c r="I70" s="102">
        <f>1-SUM(K70:BF70)</f>
        <v>8.5700000000000109E-2</v>
      </c>
      <c r="J70" s="103"/>
      <c r="K70" s="102">
        <f>ROUND(K64/$G$64,4)</f>
        <v>7.1300000000000002E-2</v>
      </c>
      <c r="L70" s="103"/>
      <c r="M70" s="102">
        <f>ROUND(M64/$G$64,4)</f>
        <v>2.5000000000000001E-2</v>
      </c>
      <c r="N70" s="104"/>
      <c r="O70" s="102">
        <f>ROUND(O64/$G$64,4)</f>
        <v>6.4500000000000002E-2</v>
      </c>
      <c r="P70" s="104"/>
      <c r="Q70" s="102">
        <f>ROUND(Q64/$G$64,4)</f>
        <v>0.1085</v>
      </c>
      <c r="R70" s="104"/>
      <c r="S70" s="102">
        <f>ROUND(S64/$G$64,4)</f>
        <v>9.5399999999999999E-2</v>
      </c>
      <c r="T70" s="104"/>
      <c r="U70" s="102">
        <f>ROUND(U64/$G$64,4)</f>
        <v>0.3135</v>
      </c>
      <c r="W70" s="102">
        <f>ROUND(W64/$G$64,4)</f>
        <v>0.2329</v>
      </c>
      <c r="AA70" s="117"/>
      <c r="AB70" s="117"/>
      <c r="AC70" s="104"/>
      <c r="AD70" s="104"/>
      <c r="AE70" s="102">
        <f>ROUND(AE64/$G$64,4)</f>
        <v>3.2000000000000002E-3</v>
      </c>
      <c r="AF70" s="104"/>
    </row>
    <row r="71" spans="3:32" x14ac:dyDescent="0.2">
      <c r="C71" s="50" t="s">
        <v>415</v>
      </c>
      <c r="D71" s="10"/>
      <c r="E71" s="14" t="s">
        <v>6</v>
      </c>
      <c r="F71" s="97"/>
      <c r="G71" s="102">
        <f>SUM(I71:AG71)</f>
        <v>0.99999999999999989</v>
      </c>
      <c r="H71" s="17"/>
      <c r="I71" s="102">
        <f>1-SUM(K71:BF71)</f>
        <v>5.1699999999999968E-2</v>
      </c>
      <c r="J71" s="103"/>
      <c r="K71" s="102">
        <f>ROUND(K65/$G$65,4)</f>
        <v>4.9500000000000002E-2</v>
      </c>
      <c r="L71" s="104"/>
      <c r="M71" s="102">
        <f t="shared" ref="M71:W71" si="7">ROUND(M65/$G$65,4)</f>
        <v>2.1299999999999999E-2</v>
      </c>
      <c r="N71" s="104"/>
      <c r="O71" s="102">
        <f t="shared" si="7"/>
        <v>7.8600000000000003E-2</v>
      </c>
      <c r="P71" s="104"/>
      <c r="Q71" s="102">
        <f t="shared" si="7"/>
        <v>0.1003</v>
      </c>
      <c r="R71" s="104"/>
      <c r="S71" s="102">
        <f t="shared" si="7"/>
        <v>5.0200000000000002E-2</v>
      </c>
      <c r="T71" s="104"/>
      <c r="U71" s="102">
        <f t="shared" si="7"/>
        <v>0.33029999999999998</v>
      </c>
      <c r="V71" s="104"/>
      <c r="W71" s="102">
        <f t="shared" si="7"/>
        <v>0.30480000000000002</v>
      </c>
      <c r="AA71" s="117"/>
      <c r="AB71" s="117"/>
      <c r="AC71" s="104"/>
      <c r="AD71" s="104"/>
      <c r="AE71" s="102">
        <f t="shared" ref="AE71" si="8">ROUND(AE65/$G$65,4)</f>
        <v>1.3299999999999999E-2</v>
      </c>
      <c r="AF71" s="104"/>
    </row>
    <row r="72" spans="3:32" x14ac:dyDescent="0.2">
      <c r="C72" s="54"/>
      <c r="D72" s="10"/>
      <c r="E72" s="14"/>
      <c r="F72" s="17"/>
      <c r="G72" s="93"/>
      <c r="H72" s="17"/>
      <c r="I72" s="103"/>
      <c r="J72" s="103"/>
      <c r="K72" s="103"/>
      <c r="L72" s="103"/>
      <c r="M72" s="103"/>
      <c r="N72" s="104"/>
      <c r="O72" s="103"/>
      <c r="P72" s="104"/>
      <c r="Q72" s="103"/>
      <c r="R72" s="104"/>
      <c r="S72" s="103"/>
      <c r="T72" s="104"/>
      <c r="U72" s="103"/>
      <c r="W72" s="90"/>
      <c r="AA72" s="117"/>
      <c r="AB72" s="117"/>
      <c r="AC72" s="90"/>
      <c r="AD72" s="90"/>
      <c r="AE72" s="90"/>
      <c r="AF72" s="90"/>
    </row>
    <row r="73" spans="3:32" x14ac:dyDescent="0.2">
      <c r="C73" s="123" t="str">
        <f>C19</f>
        <v>Total Composite Factor for FY 2015</v>
      </c>
      <c r="D73" s="10"/>
      <c r="E73" s="14" t="s">
        <v>6</v>
      </c>
      <c r="F73" s="17"/>
      <c r="G73" s="102">
        <f>SUM(I73:AG73)</f>
        <v>1</v>
      </c>
      <c r="H73" s="17"/>
      <c r="I73" s="102">
        <f>1-SUM(K73:BF73)</f>
        <v>7.6099999999999945E-2</v>
      </c>
      <c r="J73" s="103"/>
      <c r="K73" s="102">
        <f>ROUND(AVERAGE(K68:K71),4)</f>
        <v>6.5500000000000003E-2</v>
      </c>
      <c r="L73" s="104"/>
      <c r="M73" s="102">
        <f t="shared" ref="M73:W73" si="9">ROUND(AVERAGE(M68:M71),4)</f>
        <v>2.35E-2</v>
      </c>
      <c r="N73" s="104"/>
      <c r="O73" s="102">
        <f t="shared" si="9"/>
        <v>7.3700000000000002E-2</v>
      </c>
      <c r="P73" s="104"/>
      <c r="Q73" s="102">
        <f t="shared" si="9"/>
        <v>0.1074</v>
      </c>
      <c r="R73" s="104"/>
      <c r="S73" s="102">
        <f t="shared" si="9"/>
        <v>7.1499999999999994E-2</v>
      </c>
      <c r="T73" s="104"/>
      <c r="U73" s="102">
        <f t="shared" si="9"/>
        <v>0.39100000000000001</v>
      </c>
      <c r="V73" s="104"/>
      <c r="W73" s="102">
        <f t="shared" si="9"/>
        <v>0.18640000000000001</v>
      </c>
      <c r="AA73" s="117"/>
      <c r="AB73" s="117"/>
      <c r="AC73" s="104"/>
      <c r="AD73" s="104"/>
      <c r="AE73" s="102">
        <f>ROUND(AVERAGE(AE68:AE71),4)</f>
        <v>4.8999999999999998E-3</v>
      </c>
      <c r="AF73" s="104"/>
    </row>
    <row r="74" spans="3:32" x14ac:dyDescent="0.2">
      <c r="C74" s="123"/>
      <c r="D74" s="10"/>
      <c r="E74" s="14"/>
      <c r="F74" s="17"/>
      <c r="G74" s="104"/>
      <c r="H74" s="17"/>
      <c r="I74" s="104"/>
      <c r="J74" s="103"/>
      <c r="K74" s="104"/>
      <c r="L74" s="103"/>
      <c r="M74" s="104"/>
      <c r="N74" s="104"/>
      <c r="O74" s="104"/>
      <c r="P74" s="104"/>
      <c r="Q74" s="104"/>
      <c r="R74" s="104"/>
      <c r="S74" s="104"/>
      <c r="T74" s="104"/>
      <c r="U74" s="104"/>
      <c r="V74" s="111"/>
      <c r="W74" s="104"/>
      <c r="AA74" s="117"/>
      <c r="AB74" s="117"/>
      <c r="AC74" s="104"/>
      <c r="AD74" s="104"/>
    </row>
    <row r="76" spans="3:32" ht="15.75" x14ac:dyDescent="0.25">
      <c r="C76" s="121" t="s">
        <v>99</v>
      </c>
      <c r="D76" s="10"/>
      <c r="E76" s="14"/>
      <c r="F76" s="14"/>
      <c r="G76" s="15"/>
      <c r="H76" s="15"/>
      <c r="I76" s="299" t="s">
        <v>218</v>
      </c>
      <c r="J76" s="241"/>
      <c r="K76" s="297" t="s">
        <v>219</v>
      </c>
      <c r="L76" s="241"/>
      <c r="M76" s="241"/>
      <c r="N76" s="241"/>
      <c r="O76" s="241"/>
      <c r="P76" s="241"/>
      <c r="Q76" s="241"/>
      <c r="R76" s="241"/>
      <c r="S76" s="298" t="s">
        <v>220</v>
      </c>
      <c r="T76" s="15"/>
      <c r="U76" s="14"/>
    </row>
    <row r="77" spans="3:32" x14ac:dyDescent="0.2">
      <c r="C77" s="17"/>
      <c r="D77" s="17"/>
      <c r="E77" s="17"/>
      <c r="F77" s="17"/>
      <c r="G77" s="17"/>
      <c r="H77" s="17"/>
      <c r="I77" s="58"/>
      <c r="J77" s="17"/>
      <c r="K77" s="17"/>
      <c r="L77" s="17"/>
      <c r="M77" s="94"/>
      <c r="N77" s="92"/>
      <c r="O77" s="17"/>
      <c r="P77" s="92"/>
      <c r="Q77" s="17"/>
      <c r="R77" s="92"/>
      <c r="S77" s="17"/>
      <c r="T77" s="92"/>
      <c r="U77" s="17"/>
    </row>
    <row r="78" spans="3:32" x14ac:dyDescent="0.2">
      <c r="C78" s="2" t="s">
        <v>2</v>
      </c>
      <c r="D78" s="10"/>
      <c r="E78" s="3" t="s">
        <v>3</v>
      </c>
      <c r="F78" s="17"/>
      <c r="G78" s="84">
        <f>SUM(I78:AG78)</f>
        <v>1606198342.01</v>
      </c>
      <c r="H78" s="17"/>
      <c r="I78" s="113">
        <f>I10</f>
        <v>588658574.24000001</v>
      </c>
      <c r="J78" s="8"/>
      <c r="K78" s="113">
        <f>K10</f>
        <v>522666021.57000005</v>
      </c>
      <c r="L78" s="8"/>
      <c r="M78" s="113"/>
      <c r="N78" s="8"/>
      <c r="O78" s="113"/>
      <c r="P78" s="8"/>
      <c r="Q78" s="113"/>
      <c r="R78" s="8"/>
      <c r="S78" s="113">
        <f>S10</f>
        <v>494873746.19999999</v>
      </c>
      <c r="T78" s="8"/>
      <c r="U78" s="113"/>
      <c r="V78" s="8"/>
      <c r="W78" s="113"/>
    </row>
    <row r="79" spans="3:32" x14ac:dyDescent="0.2">
      <c r="C79" s="3" t="s">
        <v>4</v>
      </c>
      <c r="D79" s="10"/>
      <c r="E79" s="3" t="s">
        <v>5</v>
      </c>
      <c r="F79" s="17"/>
      <c r="G79" s="84">
        <f>SUM(I79:AG79)</f>
        <v>792809.83333333337</v>
      </c>
      <c r="H79" s="17"/>
      <c r="I79" s="113">
        <f>I11</f>
        <v>299552.75</v>
      </c>
      <c r="J79" s="8"/>
      <c r="K79" s="113">
        <f>K11</f>
        <v>243083.75</v>
      </c>
      <c r="L79" s="8"/>
      <c r="M79" s="113"/>
      <c r="N79" s="8"/>
      <c r="O79" s="113"/>
      <c r="P79" s="8"/>
      <c r="Q79" s="113"/>
      <c r="R79" s="8"/>
      <c r="S79" s="113">
        <f>S11</f>
        <v>250173.33333333334</v>
      </c>
      <c r="T79" s="8"/>
      <c r="U79" s="113"/>
      <c r="V79" s="8"/>
      <c r="W79" s="113"/>
    </row>
    <row r="80" spans="3:32" x14ac:dyDescent="0.2">
      <c r="C80" s="2" t="s">
        <v>15</v>
      </c>
      <c r="D80" s="10"/>
      <c r="E80" s="3" t="s">
        <v>3</v>
      </c>
      <c r="F80" s="17"/>
      <c r="G80" s="84">
        <f>SUM(I80:AG80)</f>
        <v>88417949.730000019</v>
      </c>
      <c r="H80" s="17"/>
      <c r="I80" s="113">
        <f>I12</f>
        <v>30013523.280000005</v>
      </c>
      <c r="J80" s="8"/>
      <c r="K80" s="113">
        <f>K12</f>
        <v>24974685.020000003</v>
      </c>
      <c r="L80" s="8"/>
      <c r="M80" s="113"/>
      <c r="N80" s="8"/>
      <c r="O80" s="113"/>
      <c r="P80" s="8"/>
      <c r="Q80" s="113"/>
      <c r="R80" s="8"/>
      <c r="S80" s="113">
        <f>S12</f>
        <v>33429741.43</v>
      </c>
      <c r="T80" s="8"/>
      <c r="U80" s="113"/>
      <c r="V80" s="8"/>
      <c r="W80" s="113"/>
    </row>
    <row r="81" spans="3:23" x14ac:dyDescent="0.2">
      <c r="C81" s="50" t="s">
        <v>415</v>
      </c>
      <c r="D81" s="10"/>
      <c r="E81" s="3" t="s">
        <v>3</v>
      </c>
      <c r="F81" s="17"/>
      <c r="G81" s="84">
        <f>SUM(I81:AG81)</f>
        <v>85800973.059999973</v>
      </c>
      <c r="H81" s="17"/>
      <c r="I81" s="113">
        <f>I253</f>
        <v>29250110.409999982</v>
      </c>
      <c r="J81" s="8"/>
      <c r="K81" s="113">
        <f>K253</f>
        <v>28077794.860000014</v>
      </c>
      <c r="L81" s="8"/>
      <c r="M81" s="49"/>
      <c r="N81" s="8"/>
      <c r="O81" s="49"/>
      <c r="P81" s="8"/>
      <c r="Q81" s="49"/>
      <c r="R81" s="8"/>
      <c r="S81" s="113">
        <f>S253</f>
        <v>28473067.789999984</v>
      </c>
      <c r="T81" s="8"/>
      <c r="U81" s="49"/>
      <c r="V81" s="8"/>
      <c r="W81" s="49"/>
    </row>
    <row r="82" spans="3:23" x14ac:dyDescent="0.2">
      <c r="C82" s="50" t="s">
        <v>16</v>
      </c>
      <c r="D82" s="10"/>
      <c r="E82" s="3"/>
      <c r="F82" s="17"/>
      <c r="G82" s="17"/>
      <c r="H82" s="17"/>
      <c r="I82" s="1"/>
      <c r="J82" s="4"/>
      <c r="K82" s="1"/>
      <c r="L82" s="4"/>
      <c r="M82" s="1"/>
      <c r="N82" s="1"/>
      <c r="O82" s="1"/>
      <c r="P82" s="1"/>
      <c r="Q82" s="1"/>
      <c r="R82" s="1"/>
      <c r="S82" s="1"/>
      <c r="T82" s="1"/>
      <c r="U82" s="1"/>
      <c r="W82" s="18"/>
    </row>
    <row r="83" spans="3:23" x14ac:dyDescent="0.2">
      <c r="C83" s="17"/>
      <c r="D83" s="17"/>
      <c r="E83" s="17"/>
      <c r="F83" s="17"/>
      <c r="G83" s="17"/>
      <c r="H83" s="17"/>
      <c r="I83" s="58"/>
      <c r="J83" s="17"/>
      <c r="K83" s="17"/>
      <c r="L83" s="17"/>
      <c r="M83" s="94"/>
      <c r="N83" s="92"/>
      <c r="O83" s="17"/>
      <c r="P83" s="92"/>
      <c r="Q83" s="17"/>
      <c r="R83" s="92"/>
      <c r="S83" s="17"/>
      <c r="T83" s="92"/>
      <c r="U83" s="17"/>
    </row>
    <row r="84" spans="3:23" x14ac:dyDescent="0.2">
      <c r="C84" s="2" t="s">
        <v>2</v>
      </c>
      <c r="D84" s="10"/>
      <c r="E84" s="14" t="s">
        <v>6</v>
      </c>
      <c r="F84" s="97"/>
      <c r="G84" s="102">
        <f>SUM(I84:AG84)</f>
        <v>1</v>
      </c>
      <c r="H84" s="17"/>
      <c r="I84" s="102">
        <f>1-SUM(K84:BF84)</f>
        <v>0.36650000000000005</v>
      </c>
      <c r="J84" s="103"/>
      <c r="K84" s="102">
        <f>ROUND(K78/$G$78,4)</f>
        <v>0.32540000000000002</v>
      </c>
      <c r="L84" s="103"/>
      <c r="M84" s="102">
        <f>ROUND(M78/$G$62,4)</f>
        <v>0</v>
      </c>
      <c r="N84" s="104"/>
      <c r="O84" s="102">
        <f>ROUND(O78/$G$62,4)</f>
        <v>0</v>
      </c>
      <c r="P84" s="104"/>
      <c r="Q84" s="102">
        <f>ROUND(Q78/$G$62,4)</f>
        <v>0</v>
      </c>
      <c r="R84" s="104"/>
      <c r="S84" s="102">
        <f>ROUND(S78/$G$78,4)</f>
        <v>0.30809999999999998</v>
      </c>
      <c r="T84" s="104"/>
      <c r="U84" s="102">
        <f>ROUND(U78/$G$62,4)</f>
        <v>0</v>
      </c>
      <c r="W84" s="102">
        <f>ROUND(W78/$G$62,4)</f>
        <v>0</v>
      </c>
    </row>
    <row r="85" spans="3:23" x14ac:dyDescent="0.2">
      <c r="C85" s="3" t="s">
        <v>4</v>
      </c>
      <c r="D85" s="10"/>
      <c r="E85" s="14" t="s">
        <v>6</v>
      </c>
      <c r="F85" s="97"/>
      <c r="G85" s="102">
        <f>SUM(I85:AG85)</f>
        <v>1</v>
      </c>
      <c r="H85" s="17"/>
      <c r="I85" s="102">
        <f>1-SUM(K85:BF85)</f>
        <v>0.37780000000000002</v>
      </c>
      <c r="J85" s="103"/>
      <c r="K85" s="102">
        <f>ROUND(K79/$G$79,4)</f>
        <v>0.30659999999999998</v>
      </c>
      <c r="L85" s="103"/>
      <c r="M85" s="102">
        <f>ROUND(M79/$G$63,4)</f>
        <v>0</v>
      </c>
      <c r="N85" s="104"/>
      <c r="O85" s="102">
        <f>ROUND(O79/$G$63,4)</f>
        <v>0</v>
      </c>
      <c r="P85" s="104"/>
      <c r="Q85" s="102">
        <f>ROUND(Q79/$G$63,4)</f>
        <v>0</v>
      </c>
      <c r="R85" s="104"/>
      <c r="S85" s="102">
        <f>ROUND(S79/$G$79,4)</f>
        <v>0.31559999999999999</v>
      </c>
      <c r="T85" s="104"/>
      <c r="U85" s="102">
        <f>ROUND(U79/$G$63,4)</f>
        <v>0</v>
      </c>
      <c r="W85" s="102">
        <f>ROUND(W79/$G$63,4)</f>
        <v>0</v>
      </c>
    </row>
    <row r="86" spans="3:23" x14ac:dyDescent="0.2">
      <c r="C86" s="2" t="s">
        <v>7</v>
      </c>
      <c r="D86" s="10"/>
      <c r="E86" s="14" t="s">
        <v>6</v>
      </c>
      <c r="F86" s="97"/>
      <c r="G86" s="102">
        <f>SUM(I86:AG86)</f>
        <v>1</v>
      </c>
      <c r="H86" s="17"/>
      <c r="I86" s="102">
        <f>1-SUM(K86:BF86)</f>
        <v>0.33940000000000003</v>
      </c>
      <c r="J86" s="103"/>
      <c r="K86" s="102">
        <f>ROUND(K80/$G$80,4)</f>
        <v>0.28249999999999997</v>
      </c>
      <c r="L86" s="103"/>
      <c r="M86" s="102">
        <f>ROUND(M80/$G$64,4)</f>
        <v>0</v>
      </c>
      <c r="N86" s="104"/>
      <c r="O86" s="102">
        <f>ROUND(O80/$G$64,4)</f>
        <v>0</v>
      </c>
      <c r="P86" s="104"/>
      <c r="Q86" s="102">
        <f>ROUND(Q80/$G$64,4)</f>
        <v>0</v>
      </c>
      <c r="R86" s="104"/>
      <c r="S86" s="102">
        <f>ROUND(S80/$G$80,4)</f>
        <v>0.37809999999999999</v>
      </c>
      <c r="T86" s="104"/>
      <c r="U86" s="102">
        <f>ROUND(U80/$G$64,4)</f>
        <v>0</v>
      </c>
      <c r="W86" s="102">
        <f>ROUND(W80/$G$64,4)</f>
        <v>0</v>
      </c>
    </row>
    <row r="87" spans="3:23" x14ac:dyDescent="0.2">
      <c r="C87" s="50" t="s">
        <v>415</v>
      </c>
      <c r="D87" s="10"/>
      <c r="E87" s="14" t="s">
        <v>6</v>
      </c>
      <c r="F87" s="97"/>
      <c r="G87" s="102">
        <f>SUM(I87:AG87)</f>
        <v>0.99999999999999989</v>
      </c>
      <c r="H87" s="17"/>
      <c r="I87" s="102">
        <f>1-SUM(K87:BF87)</f>
        <v>0.34089999999999998</v>
      </c>
      <c r="J87" s="103"/>
      <c r="K87" s="102">
        <f>ROUND(K81/$G$81,4)</f>
        <v>0.32719999999999999</v>
      </c>
      <c r="L87" s="103"/>
      <c r="M87" s="104"/>
      <c r="N87" s="104"/>
      <c r="O87" s="104"/>
      <c r="P87" s="104"/>
      <c r="Q87" s="104"/>
      <c r="R87" s="104"/>
      <c r="S87" s="102">
        <f>ROUND(S81/$G$81,4)</f>
        <v>0.33189999999999997</v>
      </c>
      <c r="T87" s="104"/>
      <c r="U87" s="104"/>
      <c r="W87" s="104"/>
    </row>
    <row r="88" spans="3:23" x14ac:dyDescent="0.2">
      <c r="C88" s="54"/>
      <c r="D88" s="10"/>
      <c r="E88" s="14"/>
      <c r="F88" s="17"/>
      <c r="G88" s="93"/>
      <c r="H88" s="17"/>
      <c r="I88" s="103"/>
      <c r="J88" s="103"/>
      <c r="K88" s="103"/>
      <c r="L88" s="103"/>
      <c r="M88" s="103"/>
      <c r="N88" s="104"/>
      <c r="O88" s="103"/>
      <c r="P88" s="104"/>
      <c r="Q88" s="103"/>
      <c r="R88" s="104"/>
      <c r="S88" s="103"/>
      <c r="T88" s="104"/>
      <c r="U88" s="103"/>
      <c r="W88" s="90"/>
    </row>
    <row r="89" spans="3:23" x14ac:dyDescent="0.2">
      <c r="C89" s="123" t="str">
        <f>C19</f>
        <v>Total Composite Factor for FY 2015</v>
      </c>
      <c r="D89" s="10"/>
      <c r="E89" s="14" t="s">
        <v>6</v>
      </c>
      <c r="F89" s="17"/>
      <c r="G89" s="102">
        <f>SUM(I89:AG89)</f>
        <v>1</v>
      </c>
      <c r="H89" s="17"/>
      <c r="I89" s="102">
        <f>1-SUM(K89:BF89)</f>
        <v>0.35620000000000007</v>
      </c>
      <c r="J89" s="103"/>
      <c r="K89" s="102">
        <f>ROUND(AVERAGE(K84:K87),4)</f>
        <v>0.31040000000000001</v>
      </c>
      <c r="L89" s="103"/>
      <c r="M89" s="102">
        <f>ROUND(AVERAGE(M84:M86),4)</f>
        <v>0</v>
      </c>
      <c r="N89" s="104"/>
      <c r="O89" s="102">
        <f>ROUND(AVERAGE(O84:O86),4)</f>
        <v>0</v>
      </c>
      <c r="P89" s="104"/>
      <c r="Q89" s="102">
        <f>ROUND(AVERAGE(Q84:Q86),4)</f>
        <v>0</v>
      </c>
      <c r="R89" s="104"/>
      <c r="S89" s="102">
        <f>ROUND(AVERAGE(S84:S87),4)</f>
        <v>0.33339999999999997</v>
      </c>
      <c r="T89" s="104"/>
      <c r="U89" s="102">
        <f>ROUND(AVERAGE(U84:U86),4)</f>
        <v>0</v>
      </c>
      <c r="V89" s="111"/>
      <c r="W89" s="102">
        <f>ROUND(AVERAGE(W84:W86),4)</f>
        <v>0</v>
      </c>
    </row>
    <row r="92" spans="3:23" ht="15.75" x14ac:dyDescent="0.25">
      <c r="C92" s="99" t="s">
        <v>100</v>
      </c>
      <c r="D92" s="10"/>
      <c r="E92" s="14"/>
      <c r="F92" s="14"/>
      <c r="G92" s="15"/>
      <c r="H92" s="15"/>
      <c r="I92" s="56"/>
      <c r="J92" s="15"/>
      <c r="K92" s="15"/>
      <c r="L92" s="15"/>
      <c r="M92" s="297" t="s">
        <v>221</v>
      </c>
      <c r="N92" s="241"/>
      <c r="O92" s="297" t="s">
        <v>222</v>
      </c>
      <c r="P92" s="15"/>
      <c r="Q92" s="15"/>
      <c r="R92" s="15"/>
      <c r="S92" s="14"/>
      <c r="T92" s="15"/>
      <c r="U92" s="14"/>
    </row>
    <row r="93" spans="3:23" x14ac:dyDescent="0.2">
      <c r="C93" s="17"/>
      <c r="D93" s="17"/>
      <c r="E93" s="17"/>
      <c r="F93" s="17"/>
      <c r="G93" s="17"/>
      <c r="H93" s="17"/>
      <c r="I93" s="58"/>
      <c r="J93" s="17"/>
      <c r="K93" s="17"/>
      <c r="L93" s="17"/>
      <c r="M93" s="94"/>
      <c r="N93" s="92"/>
      <c r="O93" s="17"/>
      <c r="P93" s="92"/>
      <c r="Q93" s="17"/>
      <c r="R93" s="92"/>
      <c r="S93" s="17"/>
      <c r="T93" s="92"/>
      <c r="U93" s="17"/>
    </row>
    <row r="94" spans="3:23" x14ac:dyDescent="0.2">
      <c r="C94" s="2" t="s">
        <v>2</v>
      </c>
      <c r="D94" s="10"/>
      <c r="E94" s="3" t="s">
        <v>3</v>
      </c>
      <c r="F94" s="17"/>
      <c r="G94" s="84">
        <f>SUM(I94:AG94)</f>
        <v>728851252.17000008</v>
      </c>
      <c r="H94" s="17"/>
      <c r="I94" s="113"/>
      <c r="J94" s="8"/>
      <c r="K94" s="113"/>
      <c r="L94" s="8"/>
      <c r="M94" s="113">
        <f>M10</f>
        <v>196802776</v>
      </c>
      <c r="N94" s="8"/>
      <c r="O94" s="113">
        <f>O10</f>
        <v>532048476.17000002</v>
      </c>
      <c r="P94" s="8"/>
      <c r="Q94" s="113"/>
      <c r="R94" s="8"/>
      <c r="S94" s="113"/>
      <c r="T94" s="8"/>
      <c r="U94" s="113"/>
      <c r="V94" s="8"/>
      <c r="W94" s="113"/>
    </row>
    <row r="95" spans="3:23" x14ac:dyDescent="0.2">
      <c r="C95" s="3" t="s">
        <v>4</v>
      </c>
      <c r="D95" s="10"/>
      <c r="E95" s="3" t="s">
        <v>5</v>
      </c>
      <c r="F95" s="17"/>
      <c r="G95" s="84">
        <f>SUM(I95:AG95)</f>
        <v>346953.16666666669</v>
      </c>
      <c r="H95" s="17"/>
      <c r="I95" s="113"/>
      <c r="J95" s="8"/>
      <c r="K95" s="113"/>
      <c r="L95" s="8"/>
      <c r="M95" s="113">
        <f>M11</f>
        <v>74692.75</v>
      </c>
      <c r="N95" s="8"/>
      <c r="O95" s="113">
        <f>O11</f>
        <v>272260.41666666669</v>
      </c>
      <c r="P95" s="8"/>
      <c r="Q95" s="113"/>
      <c r="R95" s="8"/>
      <c r="S95" s="113"/>
      <c r="T95" s="8"/>
      <c r="U95" s="113"/>
      <c r="V95" s="8"/>
      <c r="W95" s="113"/>
    </row>
    <row r="96" spans="3:23" x14ac:dyDescent="0.2">
      <c r="C96" s="2" t="s">
        <v>15</v>
      </c>
      <c r="D96" s="10"/>
      <c r="E96" s="3" t="s">
        <v>3</v>
      </c>
      <c r="F96" s="17"/>
      <c r="G96" s="84">
        <f>SUM(I96:AG96)</f>
        <v>31341011.710000001</v>
      </c>
      <c r="H96" s="17"/>
      <c r="I96" s="113"/>
      <c r="J96" s="8"/>
      <c r="K96" s="113"/>
      <c r="L96" s="8"/>
      <c r="M96" s="113">
        <f>M12</f>
        <v>8753909.0500000007</v>
      </c>
      <c r="N96" s="8"/>
      <c r="O96" s="113">
        <f>O12</f>
        <v>22587102.66</v>
      </c>
      <c r="P96" s="8"/>
      <c r="Q96" s="113"/>
      <c r="R96" s="8"/>
      <c r="S96" s="113"/>
      <c r="T96" s="8"/>
      <c r="U96" s="113"/>
      <c r="V96" s="8"/>
      <c r="W96" s="113"/>
    </row>
    <row r="97" spans="1:38" x14ac:dyDescent="0.2">
      <c r="C97" s="50" t="s">
        <v>415</v>
      </c>
      <c r="D97" s="10"/>
      <c r="E97" s="3" t="s">
        <v>3</v>
      </c>
      <c r="F97" s="17"/>
      <c r="G97" s="84">
        <f>SUM(I97:AG97)</f>
        <v>56647723.310000017</v>
      </c>
      <c r="H97" s="17"/>
      <c r="I97" s="49"/>
      <c r="J97" s="8"/>
      <c r="K97" s="49"/>
      <c r="L97" s="8"/>
      <c r="M97" s="113">
        <f>M253</f>
        <v>12099650.620000007</v>
      </c>
      <c r="N97" s="49"/>
      <c r="O97" s="113">
        <f>O253</f>
        <v>44548072.690000013</v>
      </c>
      <c r="P97" s="8"/>
      <c r="Q97" s="49"/>
      <c r="R97" s="8"/>
      <c r="S97" s="49"/>
      <c r="T97" s="8"/>
      <c r="U97" s="49"/>
      <c r="V97" s="8"/>
      <c r="W97" s="49"/>
    </row>
    <row r="98" spans="1:38" x14ac:dyDescent="0.2">
      <c r="C98" s="50" t="s">
        <v>16</v>
      </c>
      <c r="D98" s="10"/>
      <c r="E98" s="3"/>
      <c r="F98" s="17"/>
      <c r="G98" s="17"/>
      <c r="H98" s="17"/>
      <c r="I98" s="1"/>
      <c r="J98" s="4"/>
      <c r="K98" s="1"/>
      <c r="L98" s="4"/>
      <c r="M98" s="1"/>
      <c r="N98" s="1"/>
      <c r="O98" s="1"/>
      <c r="P98" s="1"/>
      <c r="Q98" s="1"/>
      <c r="R98" s="1"/>
      <c r="S98" s="1"/>
      <c r="T98" s="1"/>
      <c r="U98" s="1"/>
      <c r="W98" s="18"/>
    </row>
    <row r="99" spans="1:38" x14ac:dyDescent="0.2">
      <c r="C99" s="17"/>
      <c r="D99" s="17"/>
      <c r="E99" s="17"/>
      <c r="F99" s="17"/>
      <c r="G99" s="17"/>
      <c r="H99" s="17"/>
      <c r="I99" s="58"/>
      <c r="J99" s="17"/>
      <c r="K99" s="17"/>
      <c r="L99" s="17"/>
      <c r="M99" s="94"/>
      <c r="N99" s="92"/>
      <c r="O99" s="17"/>
      <c r="P99" s="92"/>
      <c r="Q99" s="17"/>
      <c r="R99" s="92"/>
      <c r="S99" s="17"/>
      <c r="T99" s="92"/>
      <c r="U99" s="17"/>
    </row>
    <row r="100" spans="1:38" x14ac:dyDescent="0.2">
      <c r="C100" s="2" t="s">
        <v>2</v>
      </c>
      <c r="D100" s="10"/>
      <c r="E100" s="14" t="s">
        <v>6</v>
      </c>
      <c r="F100" s="97"/>
      <c r="G100" s="102">
        <f>SUM(I100:AG100)</f>
        <v>1</v>
      </c>
      <c r="H100" s="17"/>
      <c r="I100" s="102">
        <f>ROUND(I94/$G$62,4)</f>
        <v>0</v>
      </c>
      <c r="J100" s="103"/>
      <c r="K100" s="102">
        <f>ROUND(K94/$G$78,4)</f>
        <v>0</v>
      </c>
      <c r="L100" s="103"/>
      <c r="M100" s="102">
        <f>ROUND(M94/$G$94,4)</f>
        <v>0.27</v>
      </c>
      <c r="N100" s="104"/>
      <c r="O100" s="102">
        <f>ROUND(O94/$G$94,4)</f>
        <v>0.73</v>
      </c>
      <c r="P100" s="104"/>
      <c r="Q100" s="102">
        <f>ROUND(Q94/$G$62,4)</f>
        <v>0</v>
      </c>
      <c r="R100" s="104"/>
      <c r="S100" s="102">
        <f>ROUND(S94/$G$78,4)</f>
        <v>0</v>
      </c>
      <c r="T100" s="104"/>
      <c r="U100" s="102">
        <f>ROUND(U94/$G$62,4)</f>
        <v>0</v>
      </c>
      <c r="W100" s="102">
        <f>ROUND(W94/$G$62,4)</f>
        <v>0</v>
      </c>
    </row>
    <row r="101" spans="1:38" x14ac:dyDescent="0.2">
      <c r="C101" s="3" t="s">
        <v>4</v>
      </c>
      <c r="D101" s="10"/>
      <c r="E101" s="14" t="s">
        <v>6</v>
      </c>
      <c r="F101" s="97"/>
      <c r="G101" s="102">
        <f>SUM(I101:AG101)</f>
        <v>1</v>
      </c>
      <c r="H101" s="17"/>
      <c r="I101" s="102">
        <f>ROUND(I95/$G$63,4)</f>
        <v>0</v>
      </c>
      <c r="J101" s="103"/>
      <c r="K101" s="102">
        <f>ROUND(K95/$G$79,4)</f>
        <v>0</v>
      </c>
      <c r="L101" s="103"/>
      <c r="M101" s="102">
        <f>ROUND(M95/$G$95,4)</f>
        <v>0.21529999999999999</v>
      </c>
      <c r="N101" s="104"/>
      <c r="O101" s="102">
        <f>ROUND(O95/$G$95,4)</f>
        <v>0.78469999999999995</v>
      </c>
      <c r="P101" s="104"/>
      <c r="Q101" s="102">
        <f>ROUND(Q95/$G$63,4)</f>
        <v>0</v>
      </c>
      <c r="R101" s="104"/>
      <c r="S101" s="102">
        <f>ROUND(S95/$G$79,4)</f>
        <v>0</v>
      </c>
      <c r="T101" s="104"/>
      <c r="U101" s="102">
        <f>ROUND(U95/$G$63,4)</f>
        <v>0</v>
      </c>
      <c r="W101" s="102">
        <f>ROUND(W95/$G$63,4)</f>
        <v>0</v>
      </c>
    </row>
    <row r="102" spans="1:38" x14ac:dyDescent="0.2">
      <c r="C102" s="2" t="s">
        <v>7</v>
      </c>
      <c r="D102" s="10"/>
      <c r="E102" s="14" t="s">
        <v>6</v>
      </c>
      <c r="F102" s="97"/>
      <c r="G102" s="102">
        <f>SUM(I102:AG102)</f>
        <v>1</v>
      </c>
      <c r="H102" s="17"/>
      <c r="I102" s="102">
        <f>ROUND(I96/$G$64,4)</f>
        <v>0</v>
      </c>
      <c r="J102" s="103"/>
      <c r="K102" s="102">
        <f>ROUND(K96/$G$80,4)</f>
        <v>0</v>
      </c>
      <c r="L102" s="103"/>
      <c r="M102" s="102">
        <f>ROUND(M96/$G$96,4)</f>
        <v>0.27929999999999999</v>
      </c>
      <c r="N102" s="104"/>
      <c r="O102" s="102">
        <f>ROUND(O96/$G$96,4)</f>
        <v>0.72070000000000001</v>
      </c>
      <c r="P102" s="104"/>
      <c r="Q102" s="102">
        <f>ROUND(Q96/$G$64,4)</f>
        <v>0</v>
      </c>
      <c r="R102" s="104"/>
      <c r="S102" s="102">
        <f>ROUND(S96/$G$80,4)</f>
        <v>0</v>
      </c>
      <c r="T102" s="104"/>
      <c r="U102" s="102">
        <f>ROUND(U96/$G$64,4)</f>
        <v>0</v>
      </c>
      <c r="W102" s="102">
        <f>ROUND(W96/$G$64,4)</f>
        <v>0</v>
      </c>
    </row>
    <row r="103" spans="1:38" x14ac:dyDescent="0.2">
      <c r="C103" s="50" t="s">
        <v>415</v>
      </c>
      <c r="D103" s="10"/>
      <c r="E103" s="14" t="s">
        <v>6</v>
      </c>
      <c r="F103" s="97"/>
      <c r="G103" s="102">
        <f>SUM(I103:AG103)</f>
        <v>1</v>
      </c>
      <c r="H103" s="17"/>
      <c r="I103" s="104"/>
      <c r="J103" s="103"/>
      <c r="K103" s="104"/>
      <c r="L103" s="103"/>
      <c r="M103" s="102">
        <f>ROUND(M97/$G$97,4)</f>
        <v>0.21360000000000001</v>
      </c>
      <c r="N103" s="104"/>
      <c r="O103" s="102">
        <f t="shared" ref="O103" si="10">ROUND(O97/$G$97,4)</f>
        <v>0.78639999999999999</v>
      </c>
      <c r="P103" s="104"/>
      <c r="Q103" s="104"/>
      <c r="R103" s="104"/>
      <c r="S103" s="104"/>
      <c r="T103" s="104"/>
      <c r="U103" s="104"/>
      <c r="W103" s="104"/>
    </row>
    <row r="104" spans="1:38" x14ac:dyDescent="0.2">
      <c r="C104" s="54"/>
      <c r="D104" s="10"/>
      <c r="E104" s="14"/>
      <c r="F104" s="17"/>
      <c r="G104" s="93"/>
      <c r="H104" s="17"/>
      <c r="I104" s="103"/>
      <c r="J104" s="103"/>
      <c r="K104" s="103"/>
      <c r="L104" s="103"/>
      <c r="M104" s="103"/>
      <c r="N104" s="104"/>
      <c r="O104" s="103"/>
      <c r="P104" s="104"/>
      <c r="Q104" s="103"/>
      <c r="R104" s="104"/>
      <c r="S104" s="103"/>
      <c r="T104" s="104"/>
      <c r="U104" s="103"/>
      <c r="W104" s="90"/>
    </row>
    <row r="105" spans="1:38" x14ac:dyDescent="0.2">
      <c r="C105" s="123" t="str">
        <f>C19</f>
        <v>Total Composite Factor for FY 2015</v>
      </c>
      <c r="D105" s="10"/>
      <c r="E105" s="14" t="s">
        <v>6</v>
      </c>
      <c r="F105" s="17"/>
      <c r="G105" s="102">
        <f>SUM(I105:AG105)</f>
        <v>1</v>
      </c>
      <c r="H105" s="17"/>
      <c r="I105" s="102">
        <f>ROUND(AVERAGE(I100:I102),4)</f>
        <v>0</v>
      </c>
      <c r="J105" s="103"/>
      <c r="K105" s="102">
        <f>ROUND(AVERAGE(K100:K102),4)</f>
        <v>0</v>
      </c>
      <c r="L105" s="103"/>
      <c r="M105" s="102">
        <f>1-O105</f>
        <v>0.24450000000000005</v>
      </c>
      <c r="N105" s="104"/>
      <c r="O105" s="102">
        <f>ROUND(AVERAGE(O100:O103),4)</f>
        <v>0.75549999999999995</v>
      </c>
      <c r="P105" s="104"/>
      <c r="Q105" s="102">
        <f>ROUND(AVERAGE(Q100:Q102),4)</f>
        <v>0</v>
      </c>
      <c r="R105" s="104"/>
      <c r="S105" s="102">
        <f>ROUND(AVERAGE(S100:S102),4)</f>
        <v>0</v>
      </c>
      <c r="T105" s="104"/>
      <c r="U105" s="102">
        <f>ROUND(AVERAGE(U100:U102),4)</f>
        <v>0</v>
      </c>
      <c r="V105" s="111"/>
      <c r="W105" s="102">
        <f>ROUND(AVERAGE(W100:W102),4)</f>
        <v>0</v>
      </c>
    </row>
    <row r="107" spans="1:38" ht="15.75" x14ac:dyDescent="0.25">
      <c r="G107" s="239"/>
      <c r="M107" s="239"/>
      <c r="N107" s="240"/>
      <c r="O107" s="239"/>
    </row>
    <row r="108" spans="1:38" s="14" customFormat="1" ht="15.75" x14ac:dyDescent="0.25">
      <c r="A108" s="19"/>
      <c r="C108" s="99" t="s">
        <v>102</v>
      </c>
      <c r="D108" s="10"/>
      <c r="G108" s="15"/>
      <c r="H108" s="15"/>
      <c r="I108" s="299" t="s">
        <v>223</v>
      </c>
      <c r="J108" s="241"/>
      <c r="K108" s="297" t="s">
        <v>224</v>
      </c>
      <c r="L108" s="241"/>
      <c r="M108" s="297" t="s">
        <v>225</v>
      </c>
      <c r="N108" s="297"/>
      <c r="O108" s="297" t="s">
        <v>225</v>
      </c>
      <c r="P108" s="241"/>
      <c r="Q108" s="297" t="s">
        <v>226</v>
      </c>
      <c r="R108" s="241"/>
      <c r="S108" s="298" t="s">
        <v>227</v>
      </c>
      <c r="T108" s="241"/>
      <c r="U108" s="242"/>
      <c r="V108" s="16"/>
      <c r="W108" s="16"/>
      <c r="X108" s="15"/>
      <c r="Y108" s="15"/>
      <c r="Z108" s="16"/>
      <c r="AA108" s="15"/>
      <c r="AB108" s="15"/>
      <c r="AC108" s="15"/>
      <c r="AD108" s="15"/>
      <c r="AG108" s="16"/>
      <c r="AH108" s="16"/>
      <c r="AI108" s="15"/>
      <c r="AJ108" s="15"/>
      <c r="AK108" s="15"/>
      <c r="AL108" s="15"/>
    </row>
    <row r="109" spans="1:38" s="17" customFormat="1" x14ac:dyDescent="0.2">
      <c r="A109" s="57"/>
      <c r="I109" s="58"/>
      <c r="M109" s="94"/>
      <c r="N109" s="92"/>
      <c r="P109" s="92"/>
      <c r="R109" s="92"/>
      <c r="T109" s="92"/>
      <c r="V109" s="92"/>
      <c r="X109" s="92"/>
      <c r="Z109" s="38"/>
      <c r="AA109" s="38"/>
      <c r="AB109" s="38"/>
      <c r="AG109" s="38"/>
      <c r="AH109" s="38"/>
    </row>
    <row r="110" spans="1:38" s="17" customFormat="1" x14ac:dyDescent="0.2">
      <c r="A110" s="57"/>
      <c r="C110" s="2" t="s">
        <v>2</v>
      </c>
      <c r="D110" s="10"/>
      <c r="E110" s="3" t="s">
        <v>3</v>
      </c>
      <c r="G110" s="84">
        <f>SUM(I110:AG110)</f>
        <v>3281926375.52</v>
      </c>
      <c r="I110" s="113">
        <f>I10</f>
        <v>588658574.24000001</v>
      </c>
      <c r="J110" s="8"/>
      <c r="K110" s="113">
        <f>K10</f>
        <v>522666021.57000005</v>
      </c>
      <c r="L110" s="8"/>
      <c r="M110" s="113">
        <f>M10</f>
        <v>196802776</v>
      </c>
      <c r="N110" s="49"/>
      <c r="O110" s="113">
        <f>O10</f>
        <v>532048476.17000002</v>
      </c>
      <c r="P110" s="49"/>
      <c r="Q110" s="113">
        <f>Q10</f>
        <v>946876781.34000003</v>
      </c>
      <c r="R110" s="49"/>
      <c r="S110" s="113">
        <f>S10</f>
        <v>494873746.19999999</v>
      </c>
      <c r="T110" s="49"/>
      <c r="U110" s="49"/>
      <c r="V110" s="1"/>
      <c r="W110" s="1"/>
      <c r="X110" s="92"/>
      <c r="Z110" s="38"/>
      <c r="AA110" s="38"/>
      <c r="AB110" s="38"/>
      <c r="AG110" s="38"/>
      <c r="AH110" s="38"/>
    </row>
    <row r="111" spans="1:38" s="17" customFormat="1" x14ac:dyDescent="0.2">
      <c r="A111" s="57"/>
      <c r="C111" s="3" t="s">
        <v>4</v>
      </c>
      <c r="D111" s="10"/>
      <c r="E111" s="3" t="s">
        <v>5</v>
      </c>
      <c r="G111" s="85">
        <f>SUM(I111:AG111)</f>
        <v>1472389.25</v>
      </c>
      <c r="I111" s="113">
        <f>+I11</f>
        <v>299552.75</v>
      </c>
      <c r="J111" s="8"/>
      <c r="K111" s="113">
        <f>K11</f>
        <v>243083.75</v>
      </c>
      <c r="L111" s="8"/>
      <c r="M111" s="113">
        <f>M11</f>
        <v>74692.75</v>
      </c>
      <c r="N111" s="49"/>
      <c r="O111" s="113">
        <f>O11</f>
        <v>272260.41666666669</v>
      </c>
      <c r="P111" s="49"/>
      <c r="Q111" s="113">
        <f>Q11</f>
        <v>332626.25</v>
      </c>
      <c r="R111" s="49"/>
      <c r="S111" s="113">
        <f>S11</f>
        <v>250173.33333333334</v>
      </c>
      <c r="T111" s="49"/>
      <c r="U111" s="49"/>
      <c r="V111" s="1"/>
      <c r="W111" s="1"/>
      <c r="X111" s="92"/>
      <c r="Z111" s="38"/>
      <c r="AA111" s="38"/>
      <c r="AB111" s="38"/>
      <c r="AG111" s="38"/>
      <c r="AH111" s="38"/>
    </row>
    <row r="112" spans="1:38" s="17" customFormat="1" x14ac:dyDescent="0.2">
      <c r="A112" s="57"/>
      <c r="C112" s="2" t="s">
        <v>15</v>
      </c>
      <c r="D112" s="10"/>
      <c r="E112" s="3" t="s">
        <v>3</v>
      </c>
      <c r="G112" s="84">
        <f>SUM(I112:AG112)</f>
        <v>157763166.70000002</v>
      </c>
      <c r="I112" s="113">
        <f>+I12</f>
        <v>30013523.280000005</v>
      </c>
      <c r="J112" s="8"/>
      <c r="K112" s="113">
        <f>K12</f>
        <v>24974685.020000003</v>
      </c>
      <c r="L112" s="8"/>
      <c r="M112" s="113">
        <f>M12</f>
        <v>8753909.0500000007</v>
      </c>
      <c r="N112" s="49"/>
      <c r="O112" s="113">
        <f>O12</f>
        <v>22587102.66</v>
      </c>
      <c r="P112" s="49"/>
      <c r="Q112" s="113">
        <f>Q12</f>
        <v>38004205.259999998</v>
      </c>
      <c r="R112" s="49"/>
      <c r="S112" s="113">
        <f>S12</f>
        <v>33429741.43</v>
      </c>
      <c r="T112" s="49"/>
      <c r="U112" s="49"/>
      <c r="V112" s="1"/>
      <c r="W112" s="1"/>
      <c r="X112" s="92"/>
      <c r="Z112" s="38"/>
      <c r="AA112" s="38"/>
      <c r="AB112" s="38"/>
      <c r="AG112" s="38"/>
      <c r="AH112" s="38"/>
    </row>
    <row r="113" spans="1:38" s="17" customFormat="1" x14ac:dyDescent="0.2">
      <c r="A113" s="57"/>
      <c r="C113" s="50" t="s">
        <v>415</v>
      </c>
      <c r="D113" s="10"/>
      <c r="E113" s="3" t="s">
        <v>3</v>
      </c>
      <c r="G113" s="84">
        <f>SUM(I113:AG113)</f>
        <v>199333790.82000002</v>
      </c>
      <c r="I113" s="113">
        <f>I253</f>
        <v>29250110.409999982</v>
      </c>
      <c r="J113" s="49"/>
      <c r="K113" s="113">
        <f>K253</f>
        <v>28077794.860000014</v>
      </c>
      <c r="L113" s="49"/>
      <c r="M113" s="113">
        <f>M253</f>
        <v>12099650.620000007</v>
      </c>
      <c r="N113" s="49"/>
      <c r="O113" s="113">
        <f>O253</f>
        <v>44548072.690000013</v>
      </c>
      <c r="P113" s="49"/>
      <c r="Q113" s="113">
        <f>Q253</f>
        <v>56885094.450000003</v>
      </c>
      <c r="R113" s="49"/>
      <c r="S113" s="113">
        <f>S253</f>
        <v>28473067.789999984</v>
      </c>
      <c r="T113" s="49"/>
      <c r="U113" s="49"/>
      <c r="V113" s="1"/>
      <c r="W113" s="1"/>
      <c r="X113" s="92"/>
      <c r="Z113" s="38"/>
      <c r="AA113" s="38"/>
      <c r="AB113" s="38"/>
      <c r="AG113" s="38"/>
      <c r="AH113" s="38"/>
    </row>
    <row r="114" spans="1:38" s="17" customFormat="1" x14ac:dyDescent="0.2">
      <c r="A114" s="57"/>
      <c r="C114" s="50" t="s">
        <v>16</v>
      </c>
      <c r="D114" s="10"/>
      <c r="E114" s="3"/>
      <c r="I114" s="1"/>
      <c r="J114" s="4"/>
      <c r="K114" s="1"/>
      <c r="L114" s="4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92"/>
      <c r="Z114" s="38"/>
      <c r="AA114" s="38"/>
      <c r="AB114" s="38"/>
      <c r="AG114" s="38"/>
      <c r="AH114" s="38"/>
    </row>
    <row r="115" spans="1:38" s="17" customFormat="1" x14ac:dyDescent="0.2">
      <c r="A115" s="57"/>
      <c r="I115" s="58"/>
      <c r="M115" s="94"/>
      <c r="N115" s="92"/>
      <c r="P115" s="92"/>
      <c r="R115" s="92"/>
      <c r="T115" s="92"/>
      <c r="U115" s="92"/>
      <c r="V115" s="92"/>
      <c r="W115" s="92"/>
      <c r="X115" s="92"/>
      <c r="Z115" s="38"/>
      <c r="AA115" s="38"/>
      <c r="AB115" s="38"/>
      <c r="AG115" s="38"/>
      <c r="AH115" s="38"/>
    </row>
    <row r="116" spans="1:38" s="17" customFormat="1" x14ac:dyDescent="0.2">
      <c r="A116" s="57"/>
      <c r="C116" s="2" t="s">
        <v>2</v>
      </c>
      <c r="D116" s="10"/>
      <c r="E116" s="14" t="s">
        <v>6</v>
      </c>
      <c r="F116" s="97"/>
      <c r="G116" s="102">
        <f>SUM(I116:AG116)</f>
        <v>1</v>
      </c>
      <c r="I116" s="102">
        <f>1-SUM(K116:BF116)</f>
        <v>0.17930000000000001</v>
      </c>
      <c r="J116" s="103"/>
      <c r="K116" s="102">
        <f>ROUND(K110/$G$110,4)</f>
        <v>0.1593</v>
      </c>
      <c r="L116" s="103"/>
      <c r="M116" s="102">
        <f>ROUND(M110/$G$110,4)</f>
        <v>0.06</v>
      </c>
      <c r="N116" s="104"/>
      <c r="O116" s="102">
        <f>ROUND(O110/$G$110,4)</f>
        <v>0.16209999999999999</v>
      </c>
      <c r="P116" s="104"/>
      <c r="Q116" s="102">
        <f>ROUND(Q110/$G$110,4)</f>
        <v>0.28849999999999998</v>
      </c>
      <c r="R116" s="104"/>
      <c r="S116" s="102">
        <f>ROUND(S110/$G$110,4)</f>
        <v>0.15079999999999999</v>
      </c>
      <c r="T116" s="104"/>
      <c r="U116" s="104"/>
      <c r="V116" s="48"/>
      <c r="W116" s="104"/>
      <c r="X116" s="92"/>
      <c r="Y116" s="105"/>
      <c r="Z116" s="106"/>
      <c r="AA116" s="106"/>
      <c r="AB116" s="106"/>
      <c r="AG116" s="106"/>
      <c r="AH116" s="106"/>
      <c r="AI116" s="105"/>
      <c r="AJ116" s="105"/>
      <c r="AK116" s="105"/>
      <c r="AL116" s="105"/>
    </row>
    <row r="117" spans="1:38" s="17" customFormat="1" x14ac:dyDescent="0.2">
      <c r="A117" s="57"/>
      <c r="C117" s="3" t="s">
        <v>4</v>
      </c>
      <c r="D117" s="10"/>
      <c r="E117" s="14" t="s">
        <v>6</v>
      </c>
      <c r="F117" s="97"/>
      <c r="G117" s="102">
        <f>SUM(I117:AG117)</f>
        <v>1</v>
      </c>
      <c r="I117" s="102">
        <f>1-SUM(K117:BF117)</f>
        <v>0.20350000000000001</v>
      </c>
      <c r="J117" s="103"/>
      <c r="K117" s="102">
        <f>ROUND(K111/$G$111,4)</f>
        <v>0.1651</v>
      </c>
      <c r="L117" s="103"/>
      <c r="M117" s="102">
        <f>ROUND(M111/$G$111,4)</f>
        <v>5.0700000000000002E-2</v>
      </c>
      <c r="N117" s="104"/>
      <c r="O117" s="102">
        <f>ROUND(O111/$G$111,4)</f>
        <v>0.18490000000000001</v>
      </c>
      <c r="P117" s="104"/>
      <c r="Q117" s="102">
        <f>ROUND(Q111/$G$111,4)</f>
        <v>0.22589999999999999</v>
      </c>
      <c r="R117" s="104"/>
      <c r="S117" s="102">
        <f>ROUND(S111/$G$111,4)</f>
        <v>0.1699</v>
      </c>
      <c r="T117" s="104"/>
      <c r="U117" s="104"/>
      <c r="V117" s="48"/>
      <c r="W117" s="104"/>
      <c r="X117" s="92"/>
      <c r="Z117" s="38"/>
      <c r="AA117" s="38"/>
      <c r="AB117" s="38"/>
      <c r="AG117" s="38"/>
      <c r="AH117" s="38"/>
    </row>
    <row r="118" spans="1:38" s="17" customFormat="1" x14ac:dyDescent="0.2">
      <c r="A118" s="57"/>
      <c r="C118" s="2" t="s">
        <v>7</v>
      </c>
      <c r="D118" s="10"/>
      <c r="E118" s="14" t="s">
        <v>6</v>
      </c>
      <c r="F118" s="97"/>
      <c r="G118" s="102">
        <f>SUM(I118:AG118)</f>
        <v>1</v>
      </c>
      <c r="I118" s="102">
        <f>1-SUM(K118:BF118)</f>
        <v>0.19020000000000004</v>
      </c>
      <c r="J118" s="103"/>
      <c r="K118" s="102">
        <f>ROUND(K112/$G$112,4)</f>
        <v>0.1583</v>
      </c>
      <c r="L118" s="103"/>
      <c r="M118" s="102">
        <f>ROUND(M112/$G$112,4)</f>
        <v>5.5500000000000001E-2</v>
      </c>
      <c r="N118" s="104"/>
      <c r="O118" s="102">
        <f>ROUND(O112/$G$112,4)</f>
        <v>0.14319999999999999</v>
      </c>
      <c r="P118" s="104"/>
      <c r="Q118" s="102">
        <f>ROUND(Q112/$G$112,4)</f>
        <v>0.2409</v>
      </c>
      <c r="R118" s="104"/>
      <c r="S118" s="102">
        <f>ROUND(S112/$G$112,4)</f>
        <v>0.21190000000000001</v>
      </c>
      <c r="T118" s="104"/>
      <c r="U118" s="104"/>
      <c r="V118" s="48"/>
      <c r="W118" s="104"/>
      <c r="X118" s="92"/>
      <c r="Z118" s="38"/>
      <c r="AA118" s="38"/>
      <c r="AB118" s="38"/>
      <c r="AG118" s="38"/>
      <c r="AH118" s="38"/>
    </row>
    <row r="119" spans="1:38" s="17" customFormat="1" x14ac:dyDescent="0.2">
      <c r="A119" s="57"/>
      <c r="C119" s="50" t="s">
        <v>415</v>
      </c>
      <c r="D119" s="10"/>
      <c r="E119" s="14" t="s">
        <v>6</v>
      </c>
      <c r="F119" s="97"/>
      <c r="G119" s="102">
        <f>SUM(I119:AG119)</f>
        <v>1</v>
      </c>
      <c r="I119" s="102">
        <f>1-SUM(K119:BF119)</f>
        <v>0.14669999999999994</v>
      </c>
      <c r="J119" s="103"/>
      <c r="K119" s="102">
        <f>ROUND(K113/$G$113,4)</f>
        <v>0.1409</v>
      </c>
      <c r="L119" s="104"/>
      <c r="M119" s="102">
        <f t="shared" ref="M119:S119" si="11">ROUND(M113/$G$113,4)</f>
        <v>6.0699999999999997E-2</v>
      </c>
      <c r="N119" s="104"/>
      <c r="O119" s="102">
        <f t="shared" si="11"/>
        <v>0.2235</v>
      </c>
      <c r="P119" s="104"/>
      <c r="Q119" s="102">
        <f t="shared" si="11"/>
        <v>0.28539999999999999</v>
      </c>
      <c r="R119" s="104"/>
      <c r="S119" s="102">
        <f t="shared" si="11"/>
        <v>0.14280000000000001</v>
      </c>
      <c r="T119" s="104"/>
      <c r="U119" s="104"/>
      <c r="V119" s="48"/>
      <c r="W119" s="104"/>
      <c r="X119" s="92"/>
      <c r="Z119" s="38"/>
      <c r="AA119" s="38"/>
      <c r="AB119" s="38"/>
      <c r="AG119" s="38"/>
      <c r="AH119" s="38"/>
    </row>
    <row r="120" spans="1:38" s="17" customFormat="1" x14ac:dyDescent="0.2">
      <c r="A120" s="57"/>
      <c r="C120" s="54"/>
      <c r="D120" s="10"/>
      <c r="E120" s="14"/>
      <c r="G120" s="93"/>
      <c r="I120" s="103"/>
      <c r="J120" s="103"/>
      <c r="K120" s="103"/>
      <c r="L120" s="103"/>
      <c r="M120" s="103"/>
      <c r="N120" s="104"/>
      <c r="O120" s="103"/>
      <c r="P120" s="104"/>
      <c r="Q120" s="103"/>
      <c r="R120" s="104"/>
      <c r="S120" s="103"/>
      <c r="T120" s="104"/>
      <c r="U120" s="104"/>
      <c r="V120" s="48"/>
      <c r="W120" s="90"/>
      <c r="X120" s="92"/>
      <c r="Z120" s="38"/>
      <c r="AA120" s="38"/>
      <c r="AB120" s="38"/>
      <c r="AG120" s="38"/>
      <c r="AH120" s="38"/>
    </row>
    <row r="121" spans="1:38" s="17" customFormat="1" x14ac:dyDescent="0.2">
      <c r="A121" s="57"/>
      <c r="C121" s="123" t="str">
        <f>C19</f>
        <v>Total Composite Factor for FY 2015</v>
      </c>
      <c r="D121" s="10"/>
      <c r="E121" s="14" t="s">
        <v>6</v>
      </c>
      <c r="G121" s="102">
        <f>SUM(I121:AG121)</f>
        <v>1</v>
      </c>
      <c r="I121" s="102">
        <f>1-SUM(K121:AK121)</f>
        <v>0.17989999999999995</v>
      </c>
      <c r="J121" s="103"/>
      <c r="K121" s="102">
        <f>ROUND(AVERAGE(K116:K119),4)</f>
        <v>0.15590000000000001</v>
      </c>
      <c r="L121" s="103"/>
      <c r="M121" s="102">
        <f>ROUND(AVERAGE(M116:M119),4)</f>
        <v>5.67E-2</v>
      </c>
      <c r="N121" s="104"/>
      <c r="O121" s="102">
        <f>ROUND(AVERAGE(O116:O119),4)</f>
        <v>0.1784</v>
      </c>
      <c r="P121" s="104"/>
      <c r="Q121" s="102">
        <f>ROUND(AVERAGE(Q116:Q119),4)</f>
        <v>0.26019999999999999</v>
      </c>
      <c r="R121" s="104"/>
      <c r="S121" s="102">
        <f>ROUND(AVERAGE(S116:S119),4)</f>
        <v>0.16889999999999999</v>
      </c>
      <c r="T121" s="104"/>
      <c r="U121" s="104"/>
      <c r="V121" s="111"/>
      <c r="W121" s="104"/>
      <c r="X121" s="92"/>
      <c r="Z121" s="38"/>
      <c r="AA121" s="38"/>
      <c r="AB121" s="38"/>
      <c r="AG121" s="38"/>
      <c r="AH121" s="38"/>
    </row>
    <row r="122" spans="1:38" s="17" customFormat="1" x14ac:dyDescent="0.2">
      <c r="A122" s="57"/>
      <c r="C122" s="54"/>
      <c r="D122" s="10"/>
      <c r="E122" s="14"/>
      <c r="I122" s="59"/>
      <c r="N122" s="92"/>
      <c r="O122" s="93"/>
      <c r="P122" s="92"/>
      <c r="R122" s="92"/>
      <c r="T122" s="92"/>
      <c r="V122" s="92"/>
      <c r="X122" s="92"/>
      <c r="Z122" s="38"/>
      <c r="AA122" s="38"/>
      <c r="AB122" s="38"/>
      <c r="AG122" s="38"/>
      <c r="AH122" s="38"/>
    </row>
    <row r="123" spans="1:38" s="17" customFormat="1" x14ac:dyDescent="0.2">
      <c r="A123" s="57"/>
      <c r="C123" s="54"/>
      <c r="D123" s="10"/>
      <c r="E123" s="14"/>
      <c r="I123" s="59"/>
      <c r="N123" s="92"/>
      <c r="O123" s="93"/>
      <c r="P123" s="92"/>
      <c r="R123" s="92"/>
      <c r="T123" s="92"/>
      <c r="V123" s="92"/>
      <c r="X123" s="92"/>
      <c r="Z123" s="38"/>
      <c r="AA123" s="38"/>
      <c r="AB123" s="38"/>
      <c r="AG123" s="38"/>
      <c r="AH123" s="38"/>
    </row>
    <row r="125" spans="1:38" s="14" customFormat="1" ht="15.75" x14ac:dyDescent="0.25">
      <c r="A125" s="19"/>
      <c r="C125" s="99" t="s">
        <v>101</v>
      </c>
      <c r="D125" s="10"/>
      <c r="G125" s="15"/>
      <c r="H125" s="15"/>
      <c r="I125" s="299" t="s">
        <v>228</v>
      </c>
      <c r="J125" s="241"/>
      <c r="K125" s="241"/>
      <c r="L125" s="241"/>
      <c r="M125" s="241"/>
      <c r="N125" s="241"/>
      <c r="O125" s="241"/>
      <c r="P125" s="241"/>
      <c r="Q125" s="241"/>
      <c r="R125" s="241"/>
      <c r="S125" s="242"/>
      <c r="T125" s="241"/>
      <c r="U125" s="298" t="s">
        <v>229</v>
      </c>
      <c r="V125" s="243"/>
      <c r="W125" s="303" t="s">
        <v>230</v>
      </c>
      <c r="X125" s="15"/>
      <c r="Y125" s="15"/>
      <c r="Z125" s="16"/>
      <c r="AA125" s="15"/>
      <c r="AB125" s="15"/>
      <c r="AC125" s="15"/>
      <c r="AD125" s="15"/>
      <c r="AG125" s="16"/>
      <c r="AH125" s="16"/>
      <c r="AI125" s="15"/>
      <c r="AJ125" s="15"/>
      <c r="AK125" s="15"/>
      <c r="AL125" s="15"/>
    </row>
    <row r="126" spans="1:38" s="17" customFormat="1" x14ac:dyDescent="0.2">
      <c r="A126" s="57"/>
      <c r="I126" s="58"/>
      <c r="M126" s="94"/>
      <c r="N126" s="92"/>
      <c r="P126" s="92"/>
      <c r="R126" s="92"/>
      <c r="T126" s="92"/>
      <c r="V126" s="92"/>
      <c r="X126" s="92"/>
      <c r="Z126" s="38"/>
      <c r="AA126" s="38"/>
      <c r="AB126" s="38"/>
      <c r="AG126" s="38"/>
      <c r="AH126" s="38"/>
    </row>
    <row r="127" spans="1:38" s="17" customFormat="1" x14ac:dyDescent="0.2">
      <c r="A127" s="57"/>
      <c r="C127" s="2" t="s">
        <v>2</v>
      </c>
      <c r="D127" s="10"/>
      <c r="E127" s="3" t="s">
        <v>3</v>
      </c>
      <c r="G127" s="84">
        <f>SUM(I127:AG127)</f>
        <v>5738971758.0500002</v>
      </c>
      <c r="I127" s="113">
        <f>I10</f>
        <v>588658574.24000001</v>
      </c>
      <c r="J127" s="8"/>
      <c r="K127" s="113"/>
      <c r="L127" s="8"/>
      <c r="M127" s="113"/>
      <c r="N127" s="49"/>
      <c r="O127" s="113"/>
      <c r="P127" s="49"/>
      <c r="Q127" s="113"/>
      <c r="R127" s="49"/>
      <c r="S127" s="113"/>
      <c r="T127" s="49"/>
      <c r="U127" s="113">
        <f>U10</f>
        <v>3393212542.6799998</v>
      </c>
      <c r="V127" s="48"/>
      <c r="W127" s="113">
        <f>W10</f>
        <v>1757100641.1300001</v>
      </c>
      <c r="X127" s="92"/>
      <c r="Z127" s="38"/>
      <c r="AA127" s="38"/>
      <c r="AB127" s="38"/>
      <c r="AG127" s="38"/>
      <c r="AH127" s="38"/>
    </row>
    <row r="128" spans="1:38" s="17" customFormat="1" x14ac:dyDescent="0.2">
      <c r="A128" s="57"/>
      <c r="C128" s="3" t="s">
        <v>4</v>
      </c>
      <c r="D128" s="10"/>
      <c r="E128" s="3" t="s">
        <v>5</v>
      </c>
      <c r="G128" s="85">
        <f>SUM(I128:AG128)</f>
        <v>1888025.4166666667</v>
      </c>
      <c r="I128" s="113">
        <f>I11</f>
        <v>299552.75</v>
      </c>
      <c r="J128" s="8"/>
      <c r="K128" s="113"/>
      <c r="L128" s="8"/>
      <c r="M128" s="113"/>
      <c r="N128" s="49"/>
      <c r="O128" s="113"/>
      <c r="P128" s="49"/>
      <c r="Q128" s="113"/>
      <c r="R128" s="49"/>
      <c r="S128" s="113"/>
      <c r="T128" s="49"/>
      <c r="U128" s="113">
        <f>U11</f>
        <v>1588125.9166666667</v>
      </c>
      <c r="V128" s="48"/>
      <c r="W128" s="113">
        <f>W11</f>
        <v>346.75</v>
      </c>
      <c r="X128" s="92"/>
      <c r="Z128" s="38"/>
      <c r="AA128" s="38"/>
      <c r="AB128" s="38"/>
      <c r="AG128" s="38"/>
      <c r="AH128" s="38"/>
    </row>
    <row r="129" spans="1:61" s="17" customFormat="1" x14ac:dyDescent="0.2">
      <c r="A129" s="57"/>
      <c r="C129" s="2" t="s">
        <v>15</v>
      </c>
      <c r="D129" s="10"/>
      <c r="E129" s="3" t="s">
        <v>3</v>
      </c>
      <c r="G129" s="84">
        <f>SUM(I129:AG129)</f>
        <v>221416982.16000003</v>
      </c>
      <c r="I129" s="113">
        <f>I12</f>
        <v>30013523.280000005</v>
      </c>
      <c r="J129" s="8"/>
      <c r="K129" s="113"/>
      <c r="L129" s="8"/>
      <c r="M129" s="113"/>
      <c r="N129" s="49"/>
      <c r="O129" s="113"/>
      <c r="P129" s="49"/>
      <c r="Q129" s="113"/>
      <c r="R129" s="49"/>
      <c r="S129" s="113"/>
      <c r="T129" s="49"/>
      <c r="U129" s="113">
        <f>U12</f>
        <v>109826806.36999999</v>
      </c>
      <c r="V129" s="48"/>
      <c r="W129" s="113">
        <f>W12</f>
        <v>81576652.510000005</v>
      </c>
      <c r="X129" s="92"/>
      <c r="Z129" s="38"/>
      <c r="AA129" s="38"/>
      <c r="AB129" s="38"/>
      <c r="AG129" s="38"/>
      <c r="AH129" s="38"/>
    </row>
    <row r="130" spans="1:61" s="17" customFormat="1" x14ac:dyDescent="0.2">
      <c r="A130" s="57"/>
      <c r="C130" s="50" t="s">
        <v>415</v>
      </c>
      <c r="D130" s="10"/>
      <c r="E130" s="3" t="s">
        <v>3</v>
      </c>
      <c r="G130" s="84">
        <f>SUM(I130:AG130)</f>
        <v>389334149.24999988</v>
      </c>
      <c r="I130" s="113">
        <f>I253</f>
        <v>29250110.409999982</v>
      </c>
      <c r="J130" s="8"/>
      <c r="K130" s="49"/>
      <c r="L130" s="8"/>
      <c r="M130" s="49"/>
      <c r="N130" s="49"/>
      <c r="O130" s="49"/>
      <c r="P130" s="49"/>
      <c r="Q130" s="49"/>
      <c r="R130" s="49"/>
      <c r="S130" s="49"/>
      <c r="T130" s="49"/>
      <c r="U130" s="113">
        <f>U253</f>
        <v>187264856.61999995</v>
      </c>
      <c r="V130" s="49"/>
      <c r="W130" s="113">
        <f>W253</f>
        <v>172819182.22</v>
      </c>
      <c r="X130" s="92"/>
      <c r="Z130" s="38"/>
      <c r="AA130" s="38"/>
      <c r="AB130" s="38"/>
      <c r="AG130" s="38"/>
      <c r="AH130" s="38"/>
    </row>
    <row r="131" spans="1:61" s="17" customFormat="1" x14ac:dyDescent="0.2">
      <c r="A131" s="57"/>
      <c r="C131" s="50" t="s">
        <v>16</v>
      </c>
      <c r="D131" s="10"/>
      <c r="E131" s="3"/>
      <c r="I131" s="1"/>
      <c r="J131" s="4"/>
      <c r="K131" s="1"/>
      <c r="L131" s="4"/>
      <c r="M131" s="1"/>
      <c r="N131" s="1"/>
      <c r="O131" s="1"/>
      <c r="P131" s="1"/>
      <c r="Q131" s="1"/>
      <c r="R131" s="1"/>
      <c r="S131" s="1"/>
      <c r="T131" s="1"/>
      <c r="U131" s="1"/>
      <c r="V131" s="48"/>
      <c r="W131" s="18"/>
      <c r="X131" s="92"/>
      <c r="Z131" s="38"/>
      <c r="AA131" s="38"/>
      <c r="AB131" s="38"/>
      <c r="AG131" s="38"/>
      <c r="AH131" s="38"/>
    </row>
    <row r="132" spans="1:61" s="17" customFormat="1" x14ac:dyDescent="0.2">
      <c r="A132" s="57"/>
      <c r="I132" s="58"/>
      <c r="M132" s="94"/>
      <c r="N132" s="92"/>
      <c r="P132" s="92"/>
      <c r="R132" s="92"/>
      <c r="T132" s="92"/>
      <c r="V132" s="48"/>
      <c r="W132" s="5"/>
      <c r="X132" s="92"/>
      <c r="Z132" s="38"/>
      <c r="AA132" s="38"/>
      <c r="AB132" s="38"/>
      <c r="AG132" s="38"/>
      <c r="AH132" s="38"/>
    </row>
    <row r="133" spans="1:61" s="17" customFormat="1" x14ac:dyDescent="0.2">
      <c r="A133" s="57"/>
      <c r="C133" s="2" t="s">
        <v>2</v>
      </c>
      <c r="D133" s="10"/>
      <c r="E133" s="14" t="s">
        <v>6</v>
      </c>
      <c r="F133" s="97"/>
      <c r="G133" s="102">
        <f>SUM(I133:AG133)</f>
        <v>1</v>
      </c>
      <c r="I133" s="102">
        <f>1-SUM(K133:BF133)</f>
        <v>0.10249999999999992</v>
      </c>
      <c r="J133" s="103"/>
      <c r="K133" s="102"/>
      <c r="L133" s="103"/>
      <c r="M133" s="102"/>
      <c r="N133" s="104"/>
      <c r="O133" s="102"/>
      <c r="P133" s="104"/>
      <c r="Q133" s="102"/>
      <c r="R133" s="104"/>
      <c r="S133" s="102"/>
      <c r="T133" s="104"/>
      <c r="U133" s="102">
        <f>ROUND(U127/$G$127,4)</f>
        <v>0.59130000000000005</v>
      </c>
      <c r="V133" s="48"/>
      <c r="W133" s="102">
        <f>ROUND(W127/$G$127,4)</f>
        <v>0.30620000000000003</v>
      </c>
      <c r="X133" s="92"/>
      <c r="Y133" s="105"/>
      <c r="Z133" s="106"/>
      <c r="AA133" s="106"/>
      <c r="AB133" s="106"/>
      <c r="AG133" s="106"/>
      <c r="AH133" s="106"/>
      <c r="AI133" s="105"/>
      <c r="AJ133" s="105"/>
      <c r="AK133" s="105"/>
      <c r="AL133" s="105"/>
    </row>
    <row r="134" spans="1:61" s="17" customFormat="1" x14ac:dyDescent="0.2">
      <c r="A134" s="57"/>
      <c r="C134" s="3" t="s">
        <v>4</v>
      </c>
      <c r="D134" s="10"/>
      <c r="E134" s="14" t="s">
        <v>6</v>
      </c>
      <c r="F134" s="97"/>
      <c r="G134" s="102">
        <f>SUM(I134:AG134)</f>
        <v>1</v>
      </c>
      <c r="I134" s="102">
        <f>1-SUM(K134:BF134)</f>
        <v>0.15860000000000007</v>
      </c>
      <c r="J134" s="103"/>
      <c r="K134" s="102"/>
      <c r="L134" s="103"/>
      <c r="M134" s="102"/>
      <c r="N134" s="104"/>
      <c r="O134" s="102"/>
      <c r="P134" s="104"/>
      <c r="Q134" s="102"/>
      <c r="R134" s="104"/>
      <c r="S134" s="102"/>
      <c r="T134" s="104"/>
      <c r="U134" s="102">
        <f>ROUND(U128/$G$128,4)</f>
        <v>0.84119999999999995</v>
      </c>
      <c r="V134" s="48"/>
      <c r="W134" s="102">
        <f>ROUND(W128/$G$128,4)</f>
        <v>2.0000000000000001E-4</v>
      </c>
      <c r="X134" s="92"/>
      <c r="Z134" s="38"/>
      <c r="AA134" s="38"/>
      <c r="AB134" s="38"/>
      <c r="AG134" s="38"/>
      <c r="AH134" s="38"/>
    </row>
    <row r="135" spans="1:61" s="17" customFormat="1" x14ac:dyDescent="0.2">
      <c r="A135" s="57"/>
      <c r="C135" s="2" t="s">
        <v>7</v>
      </c>
      <c r="D135" s="10"/>
      <c r="E135" s="14" t="s">
        <v>6</v>
      </c>
      <c r="F135" s="97"/>
      <c r="G135" s="102">
        <f>SUM(I135:AG135)</f>
        <v>1</v>
      </c>
      <c r="I135" s="102">
        <f>1-SUM(K135:BF135)</f>
        <v>0.13559999999999994</v>
      </c>
      <c r="J135" s="103"/>
      <c r="K135" s="102"/>
      <c r="L135" s="103"/>
      <c r="M135" s="102"/>
      <c r="N135" s="104"/>
      <c r="O135" s="102"/>
      <c r="P135" s="104"/>
      <c r="Q135" s="102"/>
      <c r="R135" s="104"/>
      <c r="S135" s="102"/>
      <c r="T135" s="104"/>
      <c r="U135" s="102">
        <f>ROUND(U129/$G$129,4)</f>
        <v>0.496</v>
      </c>
      <c r="V135" s="48"/>
      <c r="W135" s="102">
        <f>ROUND(W129/$G$129,4)</f>
        <v>0.36840000000000001</v>
      </c>
      <c r="X135" s="92"/>
      <c r="Z135" s="38"/>
      <c r="AA135" s="38"/>
      <c r="AB135" s="38"/>
      <c r="AG135" s="38"/>
      <c r="AH135" s="38"/>
    </row>
    <row r="136" spans="1:61" s="17" customFormat="1" x14ac:dyDescent="0.2">
      <c r="A136" s="57"/>
      <c r="C136" s="50" t="s">
        <v>415</v>
      </c>
      <c r="D136" s="10"/>
      <c r="E136" s="14" t="s">
        <v>6</v>
      </c>
      <c r="F136" s="97"/>
      <c r="G136" s="102">
        <f>SUM(I136:AG136)</f>
        <v>1</v>
      </c>
      <c r="I136" s="102">
        <f>1-SUM(K136:BF136)</f>
        <v>7.5099999999999945E-2</v>
      </c>
      <c r="J136" s="103"/>
      <c r="K136" s="104"/>
      <c r="L136" s="103"/>
      <c r="M136" s="104"/>
      <c r="N136" s="104"/>
      <c r="O136" s="104"/>
      <c r="P136" s="104"/>
      <c r="Q136" s="104"/>
      <c r="R136" s="104"/>
      <c r="S136" s="104"/>
      <c r="T136" s="104"/>
      <c r="U136" s="102">
        <f>ROUND(U130/$G$130,4)</f>
        <v>0.48099999999999998</v>
      </c>
      <c r="V136" s="104">
        <f t="shared" ref="V136:W136" si="12">ROUND(V130/$G$130,4)</f>
        <v>0</v>
      </c>
      <c r="W136" s="102">
        <f t="shared" si="12"/>
        <v>0.44390000000000002</v>
      </c>
      <c r="X136" s="92"/>
      <c r="Z136" s="38"/>
      <c r="AA136" s="38"/>
      <c r="AB136" s="38"/>
      <c r="AG136" s="38"/>
      <c r="AH136" s="38"/>
    </row>
    <row r="137" spans="1:61" s="17" customFormat="1" x14ac:dyDescent="0.2">
      <c r="A137" s="57"/>
      <c r="C137" s="54"/>
      <c r="D137" s="10"/>
      <c r="E137" s="14"/>
      <c r="G137" s="93"/>
      <c r="I137" s="103"/>
      <c r="J137" s="103"/>
      <c r="K137" s="103"/>
      <c r="L137" s="103"/>
      <c r="M137" s="103"/>
      <c r="N137" s="104"/>
      <c r="O137" s="103"/>
      <c r="P137" s="104"/>
      <c r="Q137" s="103"/>
      <c r="R137" s="104"/>
      <c r="S137" s="103"/>
      <c r="T137" s="104"/>
      <c r="U137" s="103"/>
      <c r="V137" s="48"/>
      <c r="W137" s="90"/>
      <c r="X137" s="92"/>
      <c r="Z137" s="38"/>
      <c r="AA137" s="38"/>
      <c r="AB137" s="38"/>
      <c r="AG137" s="38"/>
      <c r="AH137" s="38"/>
    </row>
    <row r="138" spans="1:61" s="17" customFormat="1" x14ac:dyDescent="0.2">
      <c r="A138" s="57"/>
      <c r="C138" s="123" t="str">
        <f>C19</f>
        <v>Total Composite Factor for FY 2015</v>
      </c>
      <c r="D138" s="10"/>
      <c r="E138" s="14" t="s">
        <v>6</v>
      </c>
      <c r="G138" s="102">
        <f>SUM(I138:AG138)</f>
        <v>1</v>
      </c>
      <c r="I138" s="102">
        <f>1-SUM(K138:BF138)</f>
        <v>0.11789999999999989</v>
      </c>
      <c r="J138" s="103"/>
      <c r="K138" s="102"/>
      <c r="L138" s="103"/>
      <c r="M138" s="102"/>
      <c r="N138" s="104"/>
      <c r="O138" s="102"/>
      <c r="P138" s="104"/>
      <c r="Q138" s="102"/>
      <c r="R138" s="104"/>
      <c r="S138" s="102"/>
      <c r="T138" s="104"/>
      <c r="U138" s="102">
        <f>ROUND(AVERAGE(U133:U136),4)</f>
        <v>0.60240000000000005</v>
      </c>
      <c r="V138" s="111"/>
      <c r="W138" s="102">
        <f>ROUND(AVERAGE(W133:W136),4)</f>
        <v>0.2797</v>
      </c>
      <c r="X138" s="92"/>
      <c r="Z138" s="38"/>
      <c r="AA138" s="38"/>
      <c r="AB138" s="38"/>
      <c r="AG138" s="38"/>
      <c r="AH138" s="38"/>
    </row>
    <row r="139" spans="1:61" s="17" customFormat="1" x14ac:dyDescent="0.2">
      <c r="A139" s="57"/>
      <c r="C139" s="54"/>
      <c r="D139" s="10"/>
      <c r="E139" s="14"/>
      <c r="I139" s="59"/>
      <c r="N139" s="92"/>
      <c r="O139" s="93"/>
      <c r="P139" s="92"/>
      <c r="R139" s="92"/>
      <c r="T139" s="92"/>
      <c r="V139" s="92"/>
      <c r="X139" s="92"/>
      <c r="Z139" s="38"/>
      <c r="AA139" s="38"/>
      <c r="AB139" s="38"/>
      <c r="AG139" s="38"/>
      <c r="AH139" s="38"/>
    </row>
    <row r="142" spans="1:61" s="6" customFormat="1" ht="15.75" x14ac:dyDescent="0.25">
      <c r="A142" s="43"/>
      <c r="C142" s="136" t="s">
        <v>231</v>
      </c>
      <c r="I142" s="295" t="s">
        <v>232</v>
      </c>
      <c r="J142" s="239"/>
      <c r="K142" s="239"/>
      <c r="L142" s="239"/>
      <c r="M142" s="239"/>
      <c r="N142" s="240"/>
      <c r="O142" s="239"/>
      <c r="P142" s="240"/>
      <c r="Q142" s="239"/>
      <c r="R142" s="240"/>
      <c r="S142" s="239"/>
      <c r="T142" s="240"/>
      <c r="U142" s="296" t="s">
        <v>233</v>
      </c>
      <c r="V142" s="20"/>
      <c r="X142" s="20"/>
    </row>
    <row r="143" spans="1:61" s="6" customFormat="1" ht="25.5" x14ac:dyDescent="0.2">
      <c r="A143" s="45"/>
      <c r="B143" s="46"/>
      <c r="C143" s="47"/>
      <c r="E143" s="20"/>
      <c r="G143" s="7" t="s">
        <v>1</v>
      </c>
      <c r="I143" s="83" t="s">
        <v>13</v>
      </c>
      <c r="K143" s="7" t="s">
        <v>10</v>
      </c>
      <c r="M143" s="7" t="s">
        <v>11</v>
      </c>
      <c r="N143" s="20"/>
      <c r="O143" s="7" t="s">
        <v>12</v>
      </c>
      <c r="P143" s="20"/>
      <c r="Q143" s="112" t="s">
        <v>83</v>
      </c>
      <c r="R143" s="20"/>
      <c r="S143" s="7" t="s">
        <v>82</v>
      </c>
      <c r="T143" s="20"/>
      <c r="U143" s="7" t="s">
        <v>14</v>
      </c>
      <c r="V143" s="20"/>
      <c r="W143" s="139"/>
      <c r="X143" s="20"/>
      <c r="Y143" s="20"/>
      <c r="Z143" s="20"/>
      <c r="AA143" s="139"/>
      <c r="AB143" s="139"/>
      <c r="AC143" s="139"/>
      <c r="AD143" s="139"/>
      <c r="AE143" s="20"/>
      <c r="AF143" s="20"/>
      <c r="AG143" s="20"/>
      <c r="AH143" s="20"/>
      <c r="AI143" s="139"/>
      <c r="AJ143" s="139"/>
      <c r="AK143" s="139"/>
      <c r="AL143" s="139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</row>
    <row r="144" spans="1:61" x14ac:dyDescent="0.2">
      <c r="G144" s="48"/>
      <c r="H144" s="48"/>
      <c r="I144" s="49"/>
      <c r="W144" s="48"/>
      <c r="Y144" s="48"/>
      <c r="Z144" s="117"/>
      <c r="AA144" s="117"/>
      <c r="AB144" s="117"/>
      <c r="AC144" s="48"/>
      <c r="AD144" s="48"/>
      <c r="AE144" s="48"/>
      <c r="AF144" s="48"/>
      <c r="AG144" s="117"/>
      <c r="AH144" s="117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  <c r="BF144" s="48"/>
      <c r="BG144" s="48"/>
      <c r="BH144" s="48"/>
      <c r="BI144" s="48"/>
    </row>
    <row r="145" spans="1:61" s="3" customFormat="1" x14ac:dyDescent="0.2">
      <c r="A145" s="19"/>
      <c r="C145" s="2" t="s">
        <v>2</v>
      </c>
      <c r="D145" s="10"/>
      <c r="E145" s="3" t="s">
        <v>3</v>
      </c>
      <c r="G145" s="84">
        <f>SUM(I145:AG145)</f>
        <v>3981871116.9200001</v>
      </c>
      <c r="H145" s="49"/>
      <c r="I145" s="113">
        <f>I10</f>
        <v>588658574.24000001</v>
      </c>
      <c r="J145" s="8"/>
      <c r="K145" s="113"/>
      <c r="L145" s="8"/>
      <c r="M145" s="113"/>
      <c r="N145" s="49"/>
      <c r="O145" s="113"/>
      <c r="P145" s="49"/>
      <c r="Q145" s="113"/>
      <c r="R145" s="49"/>
      <c r="S145" s="113"/>
      <c r="T145" s="49"/>
      <c r="U145" s="113">
        <f>U10</f>
        <v>3393212542.6799998</v>
      </c>
      <c r="V145" s="49"/>
      <c r="W145" s="49"/>
      <c r="X145" s="49"/>
      <c r="Y145" s="49"/>
      <c r="Z145" s="49"/>
      <c r="AA145" s="49"/>
      <c r="AB145" s="49"/>
      <c r="AC145" s="49"/>
      <c r="AD145" s="49"/>
      <c r="AE145" s="96"/>
      <c r="AF145" s="96"/>
      <c r="AG145" s="49"/>
      <c r="AH145" s="49"/>
      <c r="AI145" s="49"/>
      <c r="AJ145" s="49"/>
      <c r="AK145" s="49"/>
      <c r="AL145" s="49"/>
      <c r="AM145" s="96"/>
      <c r="AN145" s="96"/>
      <c r="AO145" s="96"/>
      <c r="AP145" s="96"/>
      <c r="AQ145" s="96"/>
      <c r="AR145" s="96"/>
      <c r="AS145" s="96"/>
      <c r="AT145" s="96"/>
      <c r="AU145" s="96"/>
      <c r="AV145" s="96"/>
      <c r="AW145" s="96"/>
      <c r="AX145" s="96"/>
      <c r="AY145" s="96"/>
      <c r="AZ145" s="96"/>
      <c r="BA145" s="96"/>
      <c r="BB145" s="96"/>
      <c r="BC145" s="96"/>
      <c r="BD145" s="96"/>
      <c r="BE145" s="96"/>
      <c r="BF145" s="96"/>
      <c r="BG145" s="96"/>
      <c r="BH145" s="96"/>
      <c r="BI145" s="96"/>
    </row>
    <row r="146" spans="1:61" s="3" customFormat="1" x14ac:dyDescent="0.2">
      <c r="A146" s="19"/>
      <c r="C146" s="3" t="s">
        <v>4</v>
      </c>
      <c r="D146" s="10"/>
      <c r="E146" s="3" t="s">
        <v>5</v>
      </c>
      <c r="G146" s="85">
        <f>SUM(I146:AG146)</f>
        <v>1887678.6666666667</v>
      </c>
      <c r="H146" s="49"/>
      <c r="I146" s="114">
        <f>I11</f>
        <v>299552.75</v>
      </c>
      <c r="J146" s="8"/>
      <c r="K146" s="113"/>
      <c r="L146" s="8"/>
      <c r="M146" s="113"/>
      <c r="N146" s="49"/>
      <c r="O146" s="113"/>
      <c r="P146" s="49"/>
      <c r="Q146" s="113"/>
      <c r="R146" s="49"/>
      <c r="S146" s="113"/>
      <c r="T146" s="49"/>
      <c r="U146" s="113">
        <f>U11</f>
        <v>1588125.9166666667</v>
      </c>
      <c r="V146" s="49"/>
      <c r="W146" s="49"/>
      <c r="X146" s="49"/>
      <c r="Y146" s="49"/>
      <c r="Z146" s="49"/>
      <c r="AA146" s="49"/>
      <c r="AB146" s="49"/>
      <c r="AC146" s="49"/>
      <c r="AD146" s="49"/>
      <c r="AE146" s="96"/>
      <c r="AF146" s="96"/>
      <c r="AG146" s="49"/>
      <c r="AH146" s="49"/>
      <c r="AI146" s="49"/>
      <c r="AJ146" s="49"/>
      <c r="AK146" s="49"/>
      <c r="AL146" s="49"/>
      <c r="AM146" s="96"/>
      <c r="AN146" s="96"/>
      <c r="AO146" s="96"/>
      <c r="AP146" s="96"/>
      <c r="AQ146" s="96"/>
      <c r="AR146" s="96"/>
      <c r="AS146" s="96"/>
      <c r="AT146" s="96"/>
      <c r="AU146" s="96"/>
      <c r="AV146" s="96"/>
      <c r="AW146" s="96"/>
      <c r="AX146" s="96"/>
      <c r="AY146" s="96"/>
      <c r="AZ146" s="96"/>
      <c r="BA146" s="96"/>
      <c r="BB146" s="96"/>
      <c r="BC146" s="96"/>
      <c r="BD146" s="96"/>
      <c r="BE146" s="96"/>
      <c r="BF146" s="96"/>
      <c r="BG146" s="96"/>
      <c r="BH146" s="96"/>
      <c r="BI146" s="96"/>
    </row>
    <row r="147" spans="1:61" s="3" customFormat="1" x14ac:dyDescent="0.2">
      <c r="A147" s="19"/>
      <c r="C147" s="2" t="s">
        <v>15</v>
      </c>
      <c r="D147" s="10"/>
      <c r="E147" s="3" t="s">
        <v>3</v>
      </c>
      <c r="G147" s="84">
        <f>SUM(I147:AG147)</f>
        <v>139840329.65000001</v>
      </c>
      <c r="H147" s="49"/>
      <c r="I147" s="114">
        <f>I12</f>
        <v>30013523.280000005</v>
      </c>
      <c r="J147" s="8"/>
      <c r="K147" s="113"/>
      <c r="L147" s="8"/>
      <c r="M147" s="114"/>
      <c r="N147" s="49"/>
      <c r="O147" s="114"/>
      <c r="P147" s="49"/>
      <c r="Q147" s="113"/>
      <c r="R147" s="49"/>
      <c r="S147" s="113"/>
      <c r="T147" s="49"/>
      <c r="U147" s="113">
        <f>U12</f>
        <v>109826806.36999999</v>
      </c>
      <c r="V147" s="49"/>
      <c r="W147" s="49"/>
      <c r="X147" s="49"/>
      <c r="Y147" s="49"/>
      <c r="Z147" s="49"/>
      <c r="AA147" s="49"/>
      <c r="AB147" s="49"/>
      <c r="AC147" s="49"/>
      <c r="AD147" s="49"/>
      <c r="AE147" s="96"/>
      <c r="AF147" s="96"/>
      <c r="AG147" s="49"/>
      <c r="AH147" s="49"/>
      <c r="AI147" s="49"/>
      <c r="AJ147" s="49"/>
      <c r="AK147" s="49"/>
      <c r="AL147" s="49"/>
      <c r="AM147" s="96"/>
      <c r="AN147" s="96"/>
      <c r="AO147" s="96"/>
      <c r="AP147" s="96"/>
      <c r="AQ147" s="96"/>
      <c r="AR147" s="96"/>
      <c r="AS147" s="96"/>
      <c r="AT147" s="96"/>
      <c r="AU147" s="96"/>
      <c r="AV147" s="96"/>
      <c r="AW147" s="96"/>
      <c r="AX147" s="96"/>
      <c r="AY147" s="96"/>
      <c r="AZ147" s="96"/>
      <c r="BA147" s="96"/>
      <c r="BB147" s="96"/>
      <c r="BC147" s="96"/>
      <c r="BD147" s="96"/>
      <c r="BE147" s="96"/>
      <c r="BF147" s="96"/>
      <c r="BG147" s="96"/>
      <c r="BH147" s="96"/>
      <c r="BI147" s="96"/>
    </row>
    <row r="148" spans="1:61" s="3" customFormat="1" x14ac:dyDescent="0.2">
      <c r="A148" s="19"/>
      <c r="C148" s="50" t="s">
        <v>415</v>
      </c>
      <c r="D148" s="10"/>
      <c r="E148" s="3" t="s">
        <v>3</v>
      </c>
      <c r="G148" s="84">
        <f>SUM(I148:AG148)</f>
        <v>216514967.02999991</v>
      </c>
      <c r="H148" s="49"/>
      <c r="I148" s="114">
        <f>I253</f>
        <v>29250110.409999982</v>
      </c>
      <c r="J148" s="8"/>
      <c r="K148" s="49"/>
      <c r="L148" s="8"/>
      <c r="M148" s="49"/>
      <c r="N148" s="49"/>
      <c r="O148" s="49"/>
      <c r="P148" s="49"/>
      <c r="Q148" s="49"/>
      <c r="R148" s="49"/>
      <c r="S148" s="49"/>
      <c r="T148" s="49"/>
      <c r="U148" s="113">
        <f>U253</f>
        <v>187264856.61999995</v>
      </c>
      <c r="V148" s="49"/>
      <c r="W148" s="49"/>
      <c r="X148" s="49"/>
      <c r="Y148" s="49"/>
      <c r="Z148" s="49"/>
      <c r="AA148" s="49"/>
      <c r="AB148" s="49"/>
      <c r="AC148" s="49"/>
      <c r="AD148" s="49"/>
      <c r="AE148" s="96"/>
      <c r="AF148" s="96"/>
      <c r="AG148" s="49"/>
      <c r="AH148" s="49"/>
      <c r="AI148" s="49"/>
      <c r="AJ148" s="49"/>
      <c r="AK148" s="49"/>
      <c r="AL148" s="49"/>
      <c r="AM148" s="96"/>
      <c r="AN148" s="96"/>
      <c r="AO148" s="96"/>
      <c r="AP148" s="96"/>
      <c r="AQ148" s="96"/>
      <c r="AR148" s="96"/>
      <c r="AS148" s="96"/>
      <c r="AT148" s="96"/>
      <c r="AU148" s="96"/>
      <c r="AV148" s="96"/>
      <c r="AW148" s="96"/>
      <c r="AX148" s="96"/>
      <c r="AY148" s="96"/>
      <c r="AZ148" s="96"/>
      <c r="BA148" s="96"/>
      <c r="BB148" s="96"/>
      <c r="BC148" s="96"/>
      <c r="BD148" s="96"/>
      <c r="BE148" s="96"/>
      <c r="BF148" s="96"/>
      <c r="BG148" s="96"/>
      <c r="BH148" s="96"/>
      <c r="BI148" s="96"/>
    </row>
    <row r="149" spans="1:61" s="3" customFormat="1" x14ac:dyDescent="0.2">
      <c r="A149" s="19"/>
      <c r="C149" s="50" t="s">
        <v>16</v>
      </c>
      <c r="D149" s="10"/>
      <c r="G149" s="51"/>
      <c r="H149" s="8"/>
      <c r="I149" s="1"/>
      <c r="J149" s="4"/>
      <c r="K149" s="1"/>
      <c r="L149" s="4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8"/>
      <c r="X149" s="1"/>
      <c r="Y149" s="18"/>
      <c r="Z149" s="96"/>
      <c r="AA149" s="18"/>
      <c r="AB149" s="18"/>
      <c r="AC149" s="18"/>
      <c r="AD149" s="18"/>
      <c r="AE149" s="96"/>
      <c r="AF149" s="96"/>
      <c r="AG149" s="96"/>
      <c r="AH149" s="96"/>
      <c r="AI149" s="1"/>
      <c r="AJ149" s="1"/>
      <c r="AK149" s="1"/>
      <c r="AL149" s="1"/>
      <c r="AM149" s="96"/>
      <c r="AN149" s="96"/>
      <c r="AO149" s="96"/>
      <c r="AP149" s="96"/>
      <c r="AQ149" s="96"/>
      <c r="AR149" s="96"/>
      <c r="AS149" s="96"/>
      <c r="AT149" s="96"/>
      <c r="AU149" s="96"/>
      <c r="AV149" s="96"/>
      <c r="AW149" s="96"/>
      <c r="AX149" s="96"/>
      <c r="AY149" s="96"/>
      <c r="AZ149" s="96"/>
      <c r="BA149" s="96"/>
      <c r="BB149" s="96"/>
      <c r="BC149" s="96"/>
      <c r="BD149" s="96"/>
      <c r="BE149" s="96"/>
      <c r="BF149" s="96"/>
      <c r="BG149" s="96"/>
      <c r="BH149" s="96"/>
      <c r="BI149" s="96"/>
    </row>
    <row r="150" spans="1:61" x14ac:dyDescent="0.2">
      <c r="A150" s="52" t="s">
        <v>9</v>
      </c>
      <c r="B150" s="47"/>
      <c r="D150" s="10"/>
      <c r="G150" s="53"/>
      <c r="I150" s="110"/>
      <c r="W150" s="48"/>
      <c r="Y150" s="48"/>
      <c r="Z150" s="117"/>
      <c r="AA150" s="117"/>
      <c r="AB150" s="117"/>
      <c r="AC150" s="48"/>
      <c r="AD150" s="48"/>
      <c r="AE150" s="48"/>
      <c r="AF150" s="48"/>
      <c r="AG150" s="117"/>
      <c r="AH150" s="117"/>
      <c r="AI150" s="53"/>
      <c r="AJ150" s="53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  <c r="BF150" s="48"/>
      <c r="BG150" s="48"/>
      <c r="BH150" s="48"/>
      <c r="BI150" s="48"/>
    </row>
    <row r="151" spans="1:61" s="14" customFormat="1" x14ac:dyDescent="0.2">
      <c r="A151" s="19"/>
      <c r="C151" s="2" t="s">
        <v>2</v>
      </c>
      <c r="D151" s="10"/>
      <c r="E151" s="14" t="s">
        <v>6</v>
      </c>
      <c r="G151" s="86">
        <f>SUM(I151:AG151)</f>
        <v>1</v>
      </c>
      <c r="H151" s="87"/>
      <c r="I151" s="88">
        <f>1-SUM(K151:BF151)</f>
        <v>0.14780000000000004</v>
      </c>
      <c r="J151" s="87"/>
      <c r="K151" s="86">
        <f>ROUND(K145/$G$10,4)</f>
        <v>0</v>
      </c>
      <c r="L151" s="87"/>
      <c r="M151" s="86">
        <f>ROUND(M145/$G145,4)</f>
        <v>0</v>
      </c>
      <c r="N151" s="90"/>
      <c r="O151" s="86">
        <f>ROUND(O145/$G145,4)</f>
        <v>0</v>
      </c>
      <c r="P151" s="90"/>
      <c r="Q151" s="86">
        <f>ROUND(Q145/$G145,4)</f>
        <v>0</v>
      </c>
      <c r="R151" s="90"/>
      <c r="S151" s="86">
        <f>ROUND(S145/$G145,4)</f>
        <v>0</v>
      </c>
      <c r="T151" s="90"/>
      <c r="U151" s="86">
        <f>ROUND(U145/$G145,4)</f>
        <v>0.85219999999999996</v>
      </c>
      <c r="V151" s="90"/>
      <c r="W151" s="90"/>
      <c r="X151" s="90"/>
      <c r="Y151" s="90"/>
      <c r="Z151" s="16"/>
      <c r="AA151" s="90"/>
      <c r="AB151" s="90"/>
      <c r="AC151" s="90"/>
      <c r="AD151" s="90"/>
      <c r="AE151" s="16"/>
      <c r="AF151" s="16"/>
      <c r="AG151" s="16"/>
      <c r="AH151" s="16"/>
      <c r="AI151" s="90"/>
      <c r="AJ151" s="90"/>
      <c r="AK151" s="90"/>
      <c r="AL151" s="90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</row>
    <row r="152" spans="1:61" s="14" customFormat="1" x14ac:dyDescent="0.2">
      <c r="A152" s="19"/>
      <c r="C152" s="3" t="s">
        <v>4</v>
      </c>
      <c r="D152" s="10"/>
      <c r="E152" s="14" t="s">
        <v>6</v>
      </c>
      <c r="G152" s="89">
        <f>SUM(I152:AG152)</f>
        <v>1</v>
      </c>
      <c r="H152" s="87"/>
      <c r="I152" s="88">
        <f>1-SUM(K152:BF152)</f>
        <v>0.15869999999999995</v>
      </c>
      <c r="J152" s="87"/>
      <c r="K152" s="86">
        <f>ROUND(K146/$G$11,4)</f>
        <v>0</v>
      </c>
      <c r="L152" s="87"/>
      <c r="M152" s="86">
        <f>ROUND(M146/$G146,4)</f>
        <v>0</v>
      </c>
      <c r="N152" s="90"/>
      <c r="O152" s="86">
        <f>ROUND(O146/$G146,4)</f>
        <v>0</v>
      </c>
      <c r="P152" s="90"/>
      <c r="Q152" s="86">
        <f>ROUND(Q146/$G146,4)</f>
        <v>0</v>
      </c>
      <c r="R152" s="90"/>
      <c r="S152" s="86">
        <f>ROUND(S146/$G146,4)</f>
        <v>0</v>
      </c>
      <c r="T152" s="90"/>
      <c r="U152" s="86">
        <f>ROUND(U146/$G146,4)</f>
        <v>0.84130000000000005</v>
      </c>
      <c r="V152" s="90"/>
      <c r="W152" s="90"/>
      <c r="X152" s="90"/>
      <c r="Y152" s="90"/>
      <c r="Z152" s="16"/>
      <c r="AA152" s="90"/>
      <c r="AB152" s="90"/>
      <c r="AC152" s="90"/>
      <c r="AD152" s="90"/>
      <c r="AE152" s="16"/>
      <c r="AF152" s="16"/>
      <c r="AG152" s="16"/>
      <c r="AH152" s="16"/>
      <c r="AI152" s="90"/>
      <c r="AJ152" s="90"/>
      <c r="AK152" s="90"/>
      <c r="AL152" s="90"/>
      <c r="AM152" s="16"/>
      <c r="AN152" s="16"/>
      <c r="AO152" s="16"/>
      <c r="AP152" s="16"/>
      <c r="AQ152" s="16"/>
      <c r="AR152" s="16"/>
      <c r="AS152" s="16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  <c r="BF152" s="16"/>
      <c r="BG152" s="16"/>
      <c r="BH152" s="16"/>
      <c r="BI152" s="16"/>
    </row>
    <row r="153" spans="1:61" s="14" customFormat="1" x14ac:dyDescent="0.2">
      <c r="A153" s="19"/>
      <c r="C153" s="2" t="s">
        <v>7</v>
      </c>
      <c r="D153" s="10"/>
      <c r="E153" s="14" t="s">
        <v>6</v>
      </c>
      <c r="G153" s="89">
        <f>SUM(I153:AG153)</f>
        <v>1</v>
      </c>
      <c r="H153" s="87"/>
      <c r="I153" s="88">
        <f>1-SUM(K153:BF153)</f>
        <v>0.21460000000000001</v>
      </c>
      <c r="J153" s="87"/>
      <c r="K153" s="86">
        <f>ROUND(K147/$G147,4)</f>
        <v>0</v>
      </c>
      <c r="L153" s="87"/>
      <c r="M153" s="86">
        <f>ROUND(M147/$G147,4)</f>
        <v>0</v>
      </c>
      <c r="N153" s="90"/>
      <c r="O153" s="86">
        <f>ROUND(O147/$G147,4)</f>
        <v>0</v>
      </c>
      <c r="P153" s="90"/>
      <c r="Q153" s="86">
        <f>ROUND(Q147/$G147,4)</f>
        <v>0</v>
      </c>
      <c r="R153" s="90"/>
      <c r="S153" s="86">
        <f>ROUND(S147/$G147,4)</f>
        <v>0</v>
      </c>
      <c r="T153" s="90"/>
      <c r="U153" s="86">
        <f>ROUND(U147/$G147,4)</f>
        <v>0.78539999999999999</v>
      </c>
      <c r="V153" s="90"/>
      <c r="W153" s="90"/>
      <c r="X153" s="90"/>
      <c r="Y153" s="90"/>
      <c r="Z153" s="16"/>
      <c r="AA153" s="90"/>
      <c r="AB153" s="90"/>
      <c r="AC153" s="90"/>
      <c r="AD153" s="90"/>
      <c r="AE153" s="16"/>
      <c r="AF153" s="16"/>
      <c r="AG153" s="16"/>
      <c r="AH153" s="16"/>
      <c r="AI153" s="90"/>
      <c r="AJ153" s="90"/>
      <c r="AK153" s="90"/>
      <c r="AL153" s="90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</row>
    <row r="154" spans="1:61" s="14" customFormat="1" x14ac:dyDescent="0.2">
      <c r="A154" s="19"/>
      <c r="C154" s="50" t="s">
        <v>415</v>
      </c>
      <c r="D154" s="10"/>
      <c r="E154" s="14" t="s">
        <v>6</v>
      </c>
      <c r="G154" s="89">
        <f>SUM(I154:AG154)</f>
        <v>1</v>
      </c>
      <c r="H154" s="87"/>
      <c r="I154" s="88">
        <f>ROUND(I148/$G$148,4)</f>
        <v>0.1351</v>
      </c>
      <c r="J154" s="87"/>
      <c r="K154" s="90"/>
      <c r="L154" s="87"/>
      <c r="M154" s="90"/>
      <c r="N154" s="90"/>
      <c r="O154" s="90"/>
      <c r="P154" s="90"/>
      <c r="Q154" s="90"/>
      <c r="R154" s="90"/>
      <c r="S154" s="90"/>
      <c r="T154" s="90"/>
      <c r="U154" s="86">
        <f>ROUND(U148/$G$148,4)</f>
        <v>0.8649</v>
      </c>
      <c r="V154" s="90"/>
      <c r="W154" s="90"/>
      <c r="X154" s="90"/>
      <c r="Y154" s="90"/>
      <c r="Z154" s="16"/>
      <c r="AA154" s="90"/>
      <c r="AB154" s="90"/>
      <c r="AC154" s="90"/>
      <c r="AD154" s="90"/>
      <c r="AE154" s="16"/>
      <c r="AF154" s="16"/>
      <c r="AG154" s="16"/>
      <c r="AH154" s="16"/>
      <c r="AI154" s="90"/>
      <c r="AJ154" s="90"/>
      <c r="AK154" s="90"/>
      <c r="AL154" s="90"/>
      <c r="AM154" s="16"/>
      <c r="AN154" s="16"/>
      <c r="AO154" s="16"/>
      <c r="AP154" s="16"/>
      <c r="AQ154" s="16"/>
      <c r="AR154" s="16"/>
      <c r="AS154" s="16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  <c r="BF154" s="16"/>
      <c r="BG154" s="16"/>
      <c r="BH154" s="16"/>
      <c r="BI154" s="16"/>
    </row>
    <row r="155" spans="1:61" s="14" customFormat="1" x14ac:dyDescent="0.2">
      <c r="A155" s="19"/>
      <c r="C155" s="54"/>
      <c r="D155" s="10"/>
      <c r="G155" s="90"/>
      <c r="H155" s="90"/>
      <c r="I155" s="91"/>
      <c r="J155" s="90"/>
      <c r="K155" s="90"/>
      <c r="L155" s="90"/>
      <c r="M155" s="90"/>
      <c r="N155" s="90"/>
      <c r="O155" s="90"/>
      <c r="P155" s="90"/>
      <c r="Q155" s="90"/>
      <c r="R155" s="90"/>
      <c r="S155" s="90"/>
      <c r="T155" s="90"/>
      <c r="U155" s="90"/>
      <c r="V155" s="90"/>
      <c r="W155" s="90"/>
      <c r="X155" s="90"/>
      <c r="Y155" s="90"/>
      <c r="Z155" s="16"/>
      <c r="AA155" s="90"/>
      <c r="AB155" s="90"/>
      <c r="AC155" s="90"/>
      <c r="AD155" s="90"/>
      <c r="AE155" s="16"/>
      <c r="AF155" s="16"/>
      <c r="AG155" s="16"/>
      <c r="AH155" s="16"/>
      <c r="AI155" s="90"/>
      <c r="AJ155" s="90"/>
      <c r="AK155" s="90"/>
      <c r="AL155" s="90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</row>
    <row r="156" spans="1:61" s="14" customFormat="1" x14ac:dyDescent="0.2">
      <c r="A156" s="19"/>
      <c r="C156" s="123" t="str">
        <f>C19</f>
        <v>Total Composite Factor for FY 2015</v>
      </c>
      <c r="D156" s="10"/>
      <c r="E156" s="14" t="s">
        <v>6</v>
      </c>
      <c r="G156" s="86">
        <f>SUM(I156:AG156)</f>
        <v>1</v>
      </c>
      <c r="H156" s="87"/>
      <c r="I156" s="102">
        <f>1-SUM(K156:BF156)</f>
        <v>0.16400000000000003</v>
      </c>
      <c r="J156" s="103"/>
      <c r="K156" s="102">
        <f>ROUND(AVERAGE(K151:K153),4)</f>
        <v>0</v>
      </c>
      <c r="L156" s="103"/>
      <c r="M156" s="102">
        <f>ROUND(AVERAGE(M151:M153),4)</f>
        <v>0</v>
      </c>
      <c r="N156" s="104"/>
      <c r="O156" s="102">
        <f>ROUND(AVERAGE(O151:O153),4)</f>
        <v>0</v>
      </c>
      <c r="P156" s="104"/>
      <c r="Q156" s="102">
        <f>ROUND(AVERAGE(Q151:Q153),4)</f>
        <v>0</v>
      </c>
      <c r="R156" s="104"/>
      <c r="S156" s="102">
        <f>ROUND(AVERAGE(S151:S153),4)</f>
        <v>0</v>
      </c>
      <c r="T156" s="104"/>
      <c r="U156" s="102">
        <f>ROUND(AVERAGE(U151:U154),4)</f>
        <v>0.83599999999999997</v>
      </c>
      <c r="V156" s="111"/>
      <c r="W156" s="104"/>
      <c r="X156" s="91"/>
      <c r="Y156" s="104"/>
      <c r="Z156" s="91"/>
      <c r="AA156" s="104"/>
      <c r="AB156" s="104"/>
      <c r="AC156" s="104"/>
      <c r="AD156" s="104"/>
      <c r="AE156" s="16"/>
      <c r="AF156" s="16"/>
      <c r="AG156" s="91"/>
      <c r="AH156" s="91"/>
      <c r="AI156" s="104"/>
      <c r="AJ156" s="104"/>
      <c r="AK156" s="104"/>
      <c r="AL156" s="104"/>
      <c r="AM156" s="16"/>
      <c r="AN156" s="16"/>
      <c r="AO156" s="16"/>
      <c r="AP156" s="16"/>
      <c r="AQ156" s="16"/>
      <c r="AR156" s="16"/>
      <c r="AS156" s="16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  <c r="BF156" s="16"/>
      <c r="BG156" s="16"/>
      <c r="BH156" s="16"/>
      <c r="BI156" s="16"/>
    </row>
    <row r="160" spans="1:61" s="6" customFormat="1" ht="15.75" x14ac:dyDescent="0.25">
      <c r="A160" s="43"/>
      <c r="C160" s="236" t="s">
        <v>237</v>
      </c>
      <c r="E160" s="237"/>
      <c r="F160" s="237"/>
      <c r="G160" s="237"/>
      <c r="H160" s="237"/>
      <c r="I160" s="295" t="s">
        <v>238</v>
      </c>
      <c r="J160" s="239"/>
      <c r="K160" s="296" t="s">
        <v>239</v>
      </c>
      <c r="L160" s="239"/>
      <c r="M160" s="296" t="s">
        <v>240</v>
      </c>
      <c r="N160" s="300"/>
      <c r="O160" s="296" t="s">
        <v>240</v>
      </c>
      <c r="P160" s="240"/>
      <c r="Q160" s="296" t="s">
        <v>241</v>
      </c>
      <c r="R160" s="240"/>
      <c r="S160" s="296" t="s">
        <v>242</v>
      </c>
      <c r="T160" s="240"/>
      <c r="U160" s="302" t="s">
        <v>243</v>
      </c>
      <c r="V160" s="240"/>
      <c r="W160" s="239"/>
      <c r="X160" s="240"/>
      <c r="Y160" s="239"/>
      <c r="Z160" s="239"/>
      <c r="AA160" s="239"/>
      <c r="AB160" s="239"/>
      <c r="AC160" s="239"/>
      <c r="AD160" s="239"/>
      <c r="AE160" s="296" t="s">
        <v>244</v>
      </c>
    </row>
    <row r="161" spans="1:41" s="6" customFormat="1" ht="25.5" x14ac:dyDescent="0.2">
      <c r="A161" s="45"/>
      <c r="B161" s="46"/>
      <c r="C161" s="47"/>
      <c r="E161" s="20"/>
      <c r="G161" s="7" t="s">
        <v>1</v>
      </c>
      <c r="I161" s="83" t="s">
        <v>13</v>
      </c>
      <c r="K161" s="7" t="s">
        <v>10</v>
      </c>
      <c r="M161" s="7" t="s">
        <v>11</v>
      </c>
      <c r="N161" s="20"/>
      <c r="O161" s="7" t="s">
        <v>12</v>
      </c>
      <c r="P161" s="20"/>
      <c r="Q161" s="112" t="s">
        <v>83</v>
      </c>
      <c r="R161" s="20"/>
      <c r="S161" s="7" t="s">
        <v>82</v>
      </c>
      <c r="T161" s="20"/>
      <c r="U161" s="7" t="s">
        <v>14</v>
      </c>
      <c r="V161" s="20"/>
      <c r="W161" s="139"/>
      <c r="X161" s="20"/>
      <c r="Y161" s="20"/>
      <c r="Z161" s="20"/>
      <c r="AA161" s="139"/>
      <c r="AB161" s="139"/>
      <c r="AC161" s="139"/>
      <c r="AD161" s="139"/>
      <c r="AE161" s="7"/>
      <c r="AF161" s="20"/>
      <c r="AG161" s="20"/>
      <c r="AH161" s="20"/>
      <c r="AI161" s="139"/>
      <c r="AJ161" s="139"/>
      <c r="AK161" s="139"/>
      <c r="AL161" s="139"/>
      <c r="AM161" s="20"/>
      <c r="AN161" s="20"/>
      <c r="AO161" s="20"/>
    </row>
    <row r="162" spans="1:41" x14ac:dyDescent="0.2">
      <c r="G162" s="48"/>
      <c r="H162" s="48"/>
      <c r="I162" s="49"/>
      <c r="W162" s="48"/>
      <c r="Y162" s="48"/>
      <c r="Z162" s="117"/>
      <c r="AA162" s="117"/>
      <c r="AB162" s="117"/>
      <c r="AC162" s="48"/>
      <c r="AD162" s="48"/>
      <c r="AG162" s="117"/>
      <c r="AH162" s="117"/>
      <c r="AI162" s="48"/>
      <c r="AJ162" s="48"/>
      <c r="AK162" s="48"/>
      <c r="AL162" s="48"/>
      <c r="AM162" s="48"/>
      <c r="AN162" s="48"/>
      <c r="AO162" s="48"/>
    </row>
    <row r="163" spans="1:41" s="3" customFormat="1" x14ac:dyDescent="0.2">
      <c r="A163" s="19"/>
      <c r="C163" s="2" t="s">
        <v>2</v>
      </c>
      <c r="D163" s="10"/>
      <c r="E163" s="3" t="s">
        <v>3</v>
      </c>
      <c r="G163" s="84">
        <f>SUM(I163:AG163)</f>
        <v>6699671057.1099997</v>
      </c>
      <c r="H163" s="49"/>
      <c r="I163" s="113">
        <f>I10</f>
        <v>588658574.24000001</v>
      </c>
      <c r="J163" s="8"/>
      <c r="K163" s="113">
        <f>K10</f>
        <v>522666021.57000005</v>
      </c>
      <c r="L163" s="8"/>
      <c r="M163" s="113">
        <f>M10</f>
        <v>196802776</v>
      </c>
      <c r="N163" s="49"/>
      <c r="O163" s="113">
        <f>O10</f>
        <v>532048476.17000002</v>
      </c>
      <c r="P163" s="49"/>
      <c r="Q163" s="113">
        <f>Q10</f>
        <v>946876781.34000003</v>
      </c>
      <c r="R163" s="49"/>
      <c r="S163" s="113">
        <f>S10</f>
        <v>494873746.19999999</v>
      </c>
      <c r="T163" s="49"/>
      <c r="U163" s="113">
        <f>U10</f>
        <v>3393212542.6799998</v>
      </c>
      <c r="V163" s="49"/>
      <c r="W163" s="49"/>
      <c r="X163" s="49"/>
      <c r="Y163" s="49"/>
      <c r="Z163" s="49"/>
      <c r="AA163" s="49"/>
      <c r="AB163" s="49"/>
      <c r="AC163" s="49"/>
      <c r="AD163" s="49"/>
      <c r="AE163" s="113">
        <f>AE10</f>
        <v>24532138.91</v>
      </c>
      <c r="AF163" s="49"/>
      <c r="AG163" s="49"/>
      <c r="AH163" s="49"/>
      <c r="AI163" s="49"/>
      <c r="AJ163" s="49"/>
      <c r="AK163" s="49"/>
      <c r="AL163" s="49"/>
      <c r="AM163" s="96"/>
      <c r="AN163" s="96"/>
      <c r="AO163" s="96"/>
    </row>
    <row r="164" spans="1:41" s="3" customFormat="1" x14ac:dyDescent="0.2">
      <c r="A164" s="19"/>
      <c r="C164" s="3" t="s">
        <v>4</v>
      </c>
      <c r="D164" s="10"/>
      <c r="E164" s="3" t="s">
        <v>5</v>
      </c>
      <c r="G164" s="85">
        <f>SUM(I164:AG164)</f>
        <v>3060530.166666667</v>
      </c>
      <c r="H164" s="49"/>
      <c r="I164" s="114">
        <f>I11</f>
        <v>299552.75</v>
      </c>
      <c r="J164" s="8"/>
      <c r="K164" s="113">
        <f>K11</f>
        <v>243083.75</v>
      </c>
      <c r="L164" s="8"/>
      <c r="M164" s="113">
        <f>M11</f>
        <v>74692.75</v>
      </c>
      <c r="N164" s="49"/>
      <c r="O164" s="113">
        <f>O11</f>
        <v>272260.41666666669</v>
      </c>
      <c r="P164" s="49"/>
      <c r="Q164" s="113">
        <f>Q11</f>
        <v>332626.25</v>
      </c>
      <c r="R164" s="49"/>
      <c r="S164" s="113">
        <f>S11</f>
        <v>250173.33333333334</v>
      </c>
      <c r="T164" s="49"/>
      <c r="U164" s="113">
        <f>U11</f>
        <v>1588125.9166666667</v>
      </c>
      <c r="V164" s="49"/>
      <c r="W164" s="49"/>
      <c r="X164" s="49"/>
      <c r="Y164" s="49"/>
      <c r="Z164" s="49"/>
      <c r="AA164" s="49"/>
      <c r="AB164" s="49"/>
      <c r="AC164" s="49"/>
      <c r="AD164" s="49"/>
      <c r="AE164" s="113">
        <f>AE11</f>
        <v>15</v>
      </c>
      <c r="AF164" s="49"/>
      <c r="AG164" s="49"/>
      <c r="AH164" s="49"/>
      <c r="AI164" s="49"/>
      <c r="AJ164" s="49"/>
      <c r="AK164" s="49"/>
      <c r="AL164" s="49"/>
      <c r="AM164" s="96"/>
      <c r="AN164" s="96"/>
      <c r="AO164" s="96"/>
    </row>
    <row r="165" spans="1:41" s="3" customFormat="1" x14ac:dyDescent="0.2">
      <c r="A165" s="19"/>
      <c r="C165" s="2" t="s">
        <v>15</v>
      </c>
      <c r="D165" s="10"/>
      <c r="E165" s="3" t="s">
        <v>3</v>
      </c>
      <c r="G165" s="84">
        <f>SUM(I165:AG165)</f>
        <v>268722855.01999998</v>
      </c>
      <c r="H165" s="49"/>
      <c r="I165" s="114">
        <f>I12</f>
        <v>30013523.280000005</v>
      </c>
      <c r="J165" s="8"/>
      <c r="K165" s="113">
        <f>K12</f>
        <v>24974685.020000003</v>
      </c>
      <c r="L165" s="8"/>
      <c r="M165" s="114">
        <f>M12</f>
        <v>8753909.0500000007</v>
      </c>
      <c r="N165" s="49"/>
      <c r="O165" s="114">
        <f>O12</f>
        <v>22587102.66</v>
      </c>
      <c r="P165" s="49"/>
      <c r="Q165" s="113">
        <f>Q12</f>
        <v>38004205.259999998</v>
      </c>
      <c r="R165" s="49"/>
      <c r="S165" s="113">
        <f>S12</f>
        <v>33429741.43</v>
      </c>
      <c r="T165" s="49"/>
      <c r="U165" s="113">
        <f>U12</f>
        <v>109826806.36999999</v>
      </c>
      <c r="V165" s="49"/>
      <c r="W165" s="49"/>
      <c r="X165" s="49"/>
      <c r="Y165" s="49"/>
      <c r="Z165" s="49"/>
      <c r="AA165" s="49"/>
      <c r="AB165" s="49"/>
      <c r="AC165" s="49"/>
      <c r="AD165" s="49"/>
      <c r="AE165" s="113">
        <f>AE12</f>
        <v>1132881.9500000002</v>
      </c>
      <c r="AF165" s="49"/>
      <c r="AG165" s="49"/>
      <c r="AH165" s="49"/>
      <c r="AI165" s="49"/>
      <c r="AJ165" s="49"/>
      <c r="AK165" s="49"/>
      <c r="AL165" s="49"/>
      <c r="AM165" s="96"/>
      <c r="AN165" s="96"/>
      <c r="AO165" s="96"/>
    </row>
    <row r="166" spans="1:41" s="3" customFormat="1" x14ac:dyDescent="0.2">
      <c r="A166" s="19"/>
      <c r="C166" s="50" t="s">
        <v>415</v>
      </c>
      <c r="D166" s="10"/>
      <c r="E166" s="3" t="s">
        <v>3</v>
      </c>
      <c r="G166" s="84">
        <f>SUM(I166:AG166)</f>
        <v>394136559.94999993</v>
      </c>
      <c r="H166" s="49"/>
      <c r="I166" s="114">
        <f>I253</f>
        <v>29250110.409999982</v>
      </c>
      <c r="J166" s="49"/>
      <c r="K166" s="114">
        <f>K253</f>
        <v>28077794.860000014</v>
      </c>
      <c r="L166" s="49"/>
      <c r="M166" s="114">
        <f>M253</f>
        <v>12099650.620000007</v>
      </c>
      <c r="N166" s="49"/>
      <c r="O166" s="114">
        <f>O253</f>
        <v>44548072.690000013</v>
      </c>
      <c r="P166" s="49"/>
      <c r="Q166" s="114">
        <f>Q253</f>
        <v>56885094.450000003</v>
      </c>
      <c r="R166" s="49"/>
      <c r="S166" s="114">
        <f>S253</f>
        <v>28473067.789999984</v>
      </c>
      <c r="T166" s="49"/>
      <c r="U166" s="114">
        <f>U253</f>
        <v>187264856.61999995</v>
      </c>
      <c r="V166" s="49"/>
      <c r="W166" s="49"/>
      <c r="X166" s="49"/>
      <c r="Y166" s="49"/>
      <c r="Z166" s="49"/>
      <c r="AA166" s="49"/>
      <c r="AB166" s="49"/>
      <c r="AC166" s="49"/>
      <c r="AD166" s="49"/>
      <c r="AE166" s="113">
        <f>AE253</f>
        <v>7537912.5099999988</v>
      </c>
      <c r="AF166" s="49"/>
      <c r="AG166" s="49"/>
      <c r="AH166" s="49"/>
      <c r="AI166" s="49"/>
      <c r="AJ166" s="49"/>
      <c r="AK166" s="49"/>
      <c r="AL166" s="49"/>
      <c r="AM166" s="96"/>
      <c r="AN166" s="96"/>
      <c r="AO166" s="96"/>
    </row>
    <row r="167" spans="1:41" s="3" customFormat="1" x14ac:dyDescent="0.2">
      <c r="A167" s="19"/>
      <c r="C167" s="50" t="s">
        <v>16</v>
      </c>
      <c r="D167" s="10"/>
      <c r="G167" s="51"/>
      <c r="H167" s="8"/>
      <c r="I167" s="1"/>
      <c r="J167" s="4"/>
      <c r="K167" s="1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8"/>
      <c r="X167" s="1"/>
      <c r="Y167" s="18"/>
      <c r="Z167" s="96"/>
      <c r="AA167" s="18"/>
      <c r="AB167" s="18"/>
      <c r="AC167" s="18"/>
      <c r="AD167" s="18"/>
      <c r="AE167" s="1"/>
      <c r="AF167" s="1"/>
      <c r="AG167" s="96"/>
      <c r="AH167" s="96"/>
      <c r="AI167" s="1"/>
      <c r="AJ167" s="1"/>
      <c r="AK167" s="1"/>
      <c r="AL167" s="1"/>
      <c r="AM167" s="96"/>
      <c r="AN167" s="96"/>
      <c r="AO167" s="96"/>
    </row>
    <row r="168" spans="1:41" x14ac:dyDescent="0.2">
      <c r="A168" s="52" t="s">
        <v>9</v>
      </c>
      <c r="B168" s="47"/>
      <c r="D168" s="10"/>
      <c r="G168" s="53"/>
      <c r="I168" s="110"/>
      <c r="W168" s="48"/>
      <c r="Y168" s="48"/>
      <c r="Z168" s="117"/>
      <c r="AA168" s="117"/>
      <c r="AB168" s="117"/>
      <c r="AC168" s="48"/>
      <c r="AD168" s="48"/>
      <c r="AG168" s="117"/>
      <c r="AH168" s="117"/>
      <c r="AI168" s="53"/>
      <c r="AJ168" s="53"/>
      <c r="AK168" s="48"/>
      <c r="AL168" s="48"/>
      <c r="AM168" s="48"/>
      <c r="AN168" s="48"/>
      <c r="AO168" s="48"/>
    </row>
    <row r="169" spans="1:41" s="14" customFormat="1" x14ac:dyDescent="0.2">
      <c r="A169" s="19"/>
      <c r="C169" s="2" t="s">
        <v>2</v>
      </c>
      <c r="D169" s="10"/>
      <c r="E169" s="14" t="s">
        <v>6</v>
      </c>
      <c r="G169" s="86">
        <f>SUM(I169:AG169)</f>
        <v>1</v>
      </c>
      <c r="H169" s="87"/>
      <c r="I169" s="88">
        <f>1-SUM(K169:BF169)</f>
        <v>0.10450000000000004</v>
      </c>
      <c r="J169" s="87"/>
      <c r="K169" s="86">
        <f>ROUND(K163/$G$10,4)</f>
        <v>6.13E-2</v>
      </c>
      <c r="L169" s="87"/>
      <c r="M169" s="86">
        <f>ROUND(M163/$G163,4)</f>
        <v>2.9399999999999999E-2</v>
      </c>
      <c r="N169" s="90"/>
      <c r="O169" s="86">
        <f>ROUND(O163/$G163,4)</f>
        <v>7.9399999999999998E-2</v>
      </c>
      <c r="P169" s="90"/>
      <c r="Q169" s="86">
        <f>ROUND(Q163/$G163,4)</f>
        <v>0.14130000000000001</v>
      </c>
      <c r="R169" s="90"/>
      <c r="S169" s="86">
        <f>ROUND(S163/$G163,4)</f>
        <v>7.3899999999999993E-2</v>
      </c>
      <c r="T169" s="90"/>
      <c r="U169" s="86">
        <f>ROUND(U163/$G163,4)</f>
        <v>0.50649999999999995</v>
      </c>
      <c r="V169" s="90"/>
      <c r="W169" s="90"/>
      <c r="X169" s="90"/>
      <c r="Y169" s="90"/>
      <c r="Z169" s="16"/>
      <c r="AA169" s="90"/>
      <c r="AB169" s="90"/>
      <c r="AC169" s="90"/>
      <c r="AD169" s="90"/>
      <c r="AE169" s="86">
        <f>ROUND(AE163/$G163,4)</f>
        <v>3.7000000000000002E-3</v>
      </c>
      <c r="AF169" s="90"/>
      <c r="AG169" s="16"/>
      <c r="AH169" s="16"/>
      <c r="AI169" s="90"/>
      <c r="AJ169" s="90"/>
      <c r="AK169" s="90"/>
      <c r="AL169" s="90"/>
      <c r="AM169" s="16"/>
      <c r="AN169" s="16"/>
      <c r="AO169" s="16"/>
    </row>
    <row r="170" spans="1:41" s="14" customFormat="1" x14ac:dyDescent="0.2">
      <c r="A170" s="19"/>
      <c r="C170" s="3" t="s">
        <v>4</v>
      </c>
      <c r="D170" s="10"/>
      <c r="E170" s="14" t="s">
        <v>6</v>
      </c>
      <c r="G170" s="89">
        <f>SUM(I170:AG170)</f>
        <v>1</v>
      </c>
      <c r="H170" s="87"/>
      <c r="I170" s="88">
        <f>1-SUM(K170:BF170)</f>
        <v>9.7899999999999987E-2</v>
      </c>
      <c r="J170" s="87"/>
      <c r="K170" s="86">
        <f>ROUND(K164/$G$11,4)</f>
        <v>7.9399999999999998E-2</v>
      </c>
      <c r="L170" s="87"/>
      <c r="M170" s="86">
        <f>ROUND(M164/$G164,4)</f>
        <v>2.4400000000000002E-2</v>
      </c>
      <c r="N170" s="90"/>
      <c r="O170" s="86">
        <f>ROUND(O164/$G164,4)</f>
        <v>8.8999999999999996E-2</v>
      </c>
      <c r="P170" s="90"/>
      <c r="Q170" s="86">
        <f>ROUND(Q164/$G164,4)</f>
        <v>0.1087</v>
      </c>
      <c r="R170" s="90"/>
      <c r="S170" s="86">
        <f>ROUND(S164/$G164,4)</f>
        <v>8.1699999999999995E-2</v>
      </c>
      <c r="T170" s="90"/>
      <c r="U170" s="86">
        <f>ROUND(U164/$G164,4)</f>
        <v>0.51890000000000003</v>
      </c>
      <c r="V170" s="90"/>
      <c r="W170" s="90"/>
      <c r="X170" s="90"/>
      <c r="Y170" s="90"/>
      <c r="Z170" s="16"/>
      <c r="AA170" s="90"/>
      <c r="AB170" s="90"/>
      <c r="AC170" s="90"/>
      <c r="AD170" s="90"/>
      <c r="AE170" s="86">
        <f>ROUND(AE164/$G164,4)</f>
        <v>0</v>
      </c>
      <c r="AF170" s="90"/>
      <c r="AG170" s="16"/>
      <c r="AH170" s="16"/>
      <c r="AI170" s="90"/>
      <c r="AJ170" s="90"/>
      <c r="AK170" s="90"/>
      <c r="AL170" s="90"/>
      <c r="AM170" s="16"/>
      <c r="AN170" s="16"/>
      <c r="AO170" s="16"/>
    </row>
    <row r="171" spans="1:41" s="14" customFormat="1" x14ac:dyDescent="0.2">
      <c r="A171" s="19"/>
      <c r="C171" s="2" t="s">
        <v>7</v>
      </c>
      <c r="D171" s="10"/>
      <c r="E171" s="14" t="s">
        <v>6</v>
      </c>
      <c r="G171" s="89">
        <f>SUM(I171:AG171)</f>
        <v>1</v>
      </c>
      <c r="H171" s="87"/>
      <c r="I171" s="88">
        <f>1-SUM(K171:BF171)</f>
        <v>0.11170000000000002</v>
      </c>
      <c r="J171" s="87"/>
      <c r="K171" s="86">
        <f>ROUND(K165/$G165,4)</f>
        <v>9.2899999999999996E-2</v>
      </c>
      <c r="L171" s="87"/>
      <c r="M171" s="86">
        <f>ROUND(M165/$G165,4)</f>
        <v>3.2599999999999997E-2</v>
      </c>
      <c r="N171" s="90"/>
      <c r="O171" s="86">
        <f>ROUND(O165/$G165,4)</f>
        <v>8.4099999999999994E-2</v>
      </c>
      <c r="P171" s="90"/>
      <c r="Q171" s="86">
        <f>ROUND(Q165/$G165,4)</f>
        <v>0.1414</v>
      </c>
      <c r="R171" s="90"/>
      <c r="S171" s="86">
        <f>ROUND(S165/$G165,4)</f>
        <v>0.1244</v>
      </c>
      <c r="T171" s="90"/>
      <c r="U171" s="86">
        <f>ROUND(U165/$G165,4)</f>
        <v>0.40870000000000001</v>
      </c>
      <c r="V171" s="90"/>
      <c r="W171" s="90"/>
      <c r="X171" s="90"/>
      <c r="Y171" s="90"/>
      <c r="Z171" s="16"/>
      <c r="AA171" s="90"/>
      <c r="AB171" s="90"/>
      <c r="AC171" s="90"/>
      <c r="AD171" s="90"/>
      <c r="AE171" s="86">
        <f>ROUND(AE165/$G165,4)</f>
        <v>4.1999999999999997E-3</v>
      </c>
      <c r="AF171" s="90"/>
      <c r="AG171" s="16"/>
      <c r="AH171" s="16"/>
      <c r="AI171" s="90"/>
      <c r="AJ171" s="90"/>
      <c r="AK171" s="90"/>
      <c r="AL171" s="90"/>
      <c r="AM171" s="16"/>
      <c r="AN171" s="16"/>
      <c r="AO171" s="16"/>
    </row>
    <row r="172" spans="1:41" s="14" customFormat="1" x14ac:dyDescent="0.2">
      <c r="A172" s="19"/>
      <c r="C172" s="50" t="s">
        <v>415</v>
      </c>
      <c r="D172" s="10"/>
      <c r="E172" s="14" t="s">
        <v>6</v>
      </c>
      <c r="G172" s="89">
        <f>SUM(I172:AG172)</f>
        <v>0.99980000000000013</v>
      </c>
      <c r="H172" s="87"/>
      <c r="I172" s="88">
        <f>ROUND(I166/$G$166,4)</f>
        <v>7.4200000000000002E-2</v>
      </c>
      <c r="J172" s="91"/>
      <c r="K172" s="88">
        <f t="shared" ref="K172:U172" si="13">ROUND(K166/$G$166,4)</f>
        <v>7.1199999999999999E-2</v>
      </c>
      <c r="L172" s="91"/>
      <c r="M172" s="88">
        <f t="shared" si="13"/>
        <v>3.0700000000000002E-2</v>
      </c>
      <c r="N172" s="91"/>
      <c r="O172" s="88">
        <f t="shared" si="13"/>
        <v>0.113</v>
      </c>
      <c r="P172" s="91"/>
      <c r="Q172" s="88">
        <f t="shared" si="13"/>
        <v>0.14430000000000001</v>
      </c>
      <c r="R172" s="91"/>
      <c r="S172" s="88">
        <f t="shared" si="13"/>
        <v>7.22E-2</v>
      </c>
      <c r="T172" s="91"/>
      <c r="U172" s="88">
        <f t="shared" si="13"/>
        <v>0.47510000000000002</v>
      </c>
      <c r="V172" s="90"/>
      <c r="W172" s="90"/>
      <c r="X172" s="90"/>
      <c r="Y172" s="90"/>
      <c r="Z172" s="16"/>
      <c r="AA172" s="90"/>
      <c r="AB172" s="90"/>
      <c r="AC172" s="90"/>
      <c r="AD172" s="90"/>
      <c r="AE172" s="88">
        <f t="shared" ref="AE172" si="14">ROUND(AE166/$G$166,4)</f>
        <v>1.9099999999999999E-2</v>
      </c>
      <c r="AF172" s="90"/>
      <c r="AG172" s="16"/>
      <c r="AH172" s="16"/>
      <c r="AI172" s="90"/>
      <c r="AJ172" s="90"/>
      <c r="AK172" s="90"/>
      <c r="AL172" s="90"/>
      <c r="AM172" s="16"/>
      <c r="AN172" s="16"/>
      <c r="AO172" s="16"/>
    </row>
    <row r="173" spans="1:41" s="14" customFormat="1" x14ac:dyDescent="0.2">
      <c r="A173" s="19"/>
      <c r="C173" s="54"/>
      <c r="D173" s="10"/>
      <c r="G173" s="90"/>
      <c r="H173" s="90"/>
      <c r="I173" s="91"/>
      <c r="J173" s="90"/>
      <c r="K173" s="90"/>
      <c r="L173" s="90"/>
      <c r="M173" s="90"/>
      <c r="N173" s="90"/>
      <c r="O173" s="90"/>
      <c r="P173" s="90"/>
      <c r="Q173" s="90"/>
      <c r="R173" s="90"/>
      <c r="S173" s="90"/>
      <c r="T173" s="90"/>
      <c r="U173" s="90"/>
      <c r="V173" s="90"/>
      <c r="W173" s="90"/>
      <c r="X173" s="90"/>
      <c r="Y173" s="90"/>
      <c r="Z173" s="16"/>
      <c r="AA173" s="90"/>
      <c r="AB173" s="90"/>
      <c r="AC173" s="90"/>
      <c r="AD173" s="90"/>
      <c r="AE173" s="90"/>
      <c r="AF173" s="90"/>
      <c r="AG173" s="16"/>
      <c r="AH173" s="16"/>
      <c r="AI173" s="90"/>
      <c r="AJ173" s="90"/>
      <c r="AK173" s="90"/>
      <c r="AL173" s="90"/>
      <c r="AM173" s="16"/>
      <c r="AN173" s="16"/>
      <c r="AO173" s="16"/>
    </row>
    <row r="174" spans="1:41" s="14" customFormat="1" x14ac:dyDescent="0.2">
      <c r="A174" s="19"/>
      <c r="C174" s="123" t="str">
        <f>C19</f>
        <v>Total Composite Factor for FY 2015</v>
      </c>
      <c r="D174" s="10"/>
      <c r="E174" s="14" t="s">
        <v>6</v>
      </c>
      <c r="G174" s="86">
        <f>SUM(I174:AG174)</f>
        <v>0.99999999999999989</v>
      </c>
      <c r="H174" s="87"/>
      <c r="I174" s="102">
        <f>1-SUM(K174:BF174)</f>
        <v>9.6999999999999975E-2</v>
      </c>
      <c r="J174" s="103"/>
      <c r="K174" s="102">
        <f>ROUND(AVERAGE(K169:K172),4)</f>
        <v>7.6200000000000004E-2</v>
      </c>
      <c r="L174" s="103"/>
      <c r="M174" s="102">
        <f>ROUND(AVERAGE(M169:M172),4)</f>
        <v>2.93E-2</v>
      </c>
      <c r="N174" s="104"/>
      <c r="O174" s="102">
        <f>ROUND(AVERAGE(O169:O172),4)</f>
        <v>9.1399999999999995E-2</v>
      </c>
      <c r="P174" s="104"/>
      <c r="Q174" s="102">
        <f>ROUND(AVERAGE(Q169:Q172),4)</f>
        <v>0.13389999999999999</v>
      </c>
      <c r="R174" s="104"/>
      <c r="S174" s="102">
        <f>ROUND(AVERAGE(S169:T172),4)</f>
        <v>8.8099999999999998E-2</v>
      </c>
      <c r="T174" s="104"/>
      <c r="U174" s="102">
        <f>ROUND(AVERAGE(U169:U172),4)</f>
        <v>0.4773</v>
      </c>
      <c r="V174" s="111"/>
      <c r="W174" s="104"/>
      <c r="X174" s="91"/>
      <c r="Y174" s="104"/>
      <c r="Z174" s="91"/>
      <c r="AA174" s="104"/>
      <c r="AB174" s="104"/>
      <c r="AC174" s="104"/>
      <c r="AD174" s="104"/>
      <c r="AE174" s="102">
        <f>ROUND(AVERAGE(AE169:AE172),4)</f>
        <v>6.7999999999999996E-3</v>
      </c>
      <c r="AF174" s="104"/>
      <c r="AG174" s="91"/>
      <c r="AH174" s="91"/>
      <c r="AI174" s="104"/>
      <c r="AJ174" s="104"/>
      <c r="AK174" s="104"/>
      <c r="AL174" s="104"/>
      <c r="AM174" s="16"/>
      <c r="AN174" s="16"/>
      <c r="AO174" s="16"/>
    </row>
    <row r="175" spans="1:41" x14ac:dyDescent="0.2">
      <c r="W175" s="48"/>
      <c r="Y175" s="48"/>
      <c r="Z175" s="117"/>
      <c r="AA175" s="117"/>
      <c r="AB175" s="117"/>
      <c r="AC175" s="48"/>
      <c r="AD175" s="48"/>
      <c r="AG175" s="117"/>
      <c r="AH175" s="117"/>
      <c r="AI175" s="48"/>
      <c r="AJ175" s="48"/>
      <c r="AK175" s="48"/>
      <c r="AL175" s="48"/>
      <c r="AM175" s="48"/>
      <c r="AN175" s="48"/>
      <c r="AO175" s="48"/>
    </row>
    <row r="178" spans="1:69" s="6" customFormat="1" ht="15.75" x14ac:dyDescent="0.25">
      <c r="A178" s="43"/>
      <c r="C178" s="136" t="s">
        <v>109</v>
      </c>
      <c r="D178" s="137"/>
      <c r="E178" s="138"/>
      <c r="I178" s="238"/>
      <c r="J178" s="239"/>
      <c r="K178" s="296" t="s">
        <v>234</v>
      </c>
      <c r="L178" s="239"/>
      <c r="M178" s="296" t="s">
        <v>235</v>
      </c>
      <c r="N178" s="300"/>
      <c r="O178" s="296" t="s">
        <v>235</v>
      </c>
      <c r="P178" s="240"/>
      <c r="Q178" s="239"/>
      <c r="R178" s="240"/>
      <c r="S178" s="296" t="s">
        <v>236</v>
      </c>
      <c r="T178" s="240"/>
      <c r="U178" s="239"/>
      <c r="V178" s="240"/>
      <c r="W178" s="239"/>
      <c r="X178" s="20"/>
    </row>
    <row r="179" spans="1:69" s="6" customFormat="1" ht="25.5" x14ac:dyDescent="0.2">
      <c r="A179" s="45" t="s">
        <v>8</v>
      </c>
      <c r="B179" s="46"/>
      <c r="C179" s="47"/>
      <c r="E179" s="20"/>
      <c r="G179" s="7" t="s">
        <v>1</v>
      </c>
      <c r="I179" s="83" t="s">
        <v>13</v>
      </c>
      <c r="K179" s="7" t="s">
        <v>10</v>
      </c>
      <c r="M179" s="7" t="s">
        <v>11</v>
      </c>
      <c r="N179" s="20"/>
      <c r="O179" s="7" t="s">
        <v>12</v>
      </c>
      <c r="P179" s="20"/>
      <c r="Q179" s="112" t="s">
        <v>83</v>
      </c>
      <c r="R179" s="20"/>
      <c r="S179" s="7" t="s">
        <v>82</v>
      </c>
      <c r="T179" s="20"/>
      <c r="U179" s="20"/>
      <c r="V179" s="20"/>
      <c r="W179" s="139"/>
      <c r="X179" s="20"/>
      <c r="Y179" s="20"/>
      <c r="Z179" s="20"/>
      <c r="AA179" s="139"/>
      <c r="AB179" s="139"/>
      <c r="AC179" s="139"/>
      <c r="AD179" s="139"/>
      <c r="AE179" s="20"/>
      <c r="AF179" s="20"/>
      <c r="AG179" s="20"/>
      <c r="AH179" s="20"/>
      <c r="AI179" s="139"/>
      <c r="AJ179" s="139"/>
      <c r="AK179" s="139"/>
      <c r="AL179" s="139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</row>
    <row r="180" spans="1:69" x14ac:dyDescent="0.2">
      <c r="G180" s="48"/>
      <c r="H180" s="48"/>
      <c r="I180" s="49"/>
      <c r="U180" s="48"/>
      <c r="W180" s="48"/>
      <c r="Y180" s="48"/>
      <c r="Z180" s="117"/>
      <c r="AA180" s="117"/>
      <c r="AB180" s="117"/>
      <c r="AC180" s="48"/>
      <c r="AD180" s="48"/>
      <c r="AE180" s="48"/>
      <c r="AF180" s="48"/>
      <c r="AG180" s="117"/>
      <c r="AH180" s="117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48"/>
    </row>
    <row r="181" spans="1:69" s="3" customFormat="1" x14ac:dyDescent="0.2">
      <c r="A181" s="19"/>
      <c r="C181" s="2" t="s">
        <v>2</v>
      </c>
      <c r="D181" s="10"/>
      <c r="E181" s="3" t="s">
        <v>3</v>
      </c>
      <c r="G181" s="84">
        <f>SUM(I181:AG181)</f>
        <v>1746391019.9400001</v>
      </c>
      <c r="H181" s="49"/>
      <c r="I181" s="113"/>
      <c r="J181" s="8"/>
      <c r="K181" s="113">
        <f>K10</f>
        <v>522666021.57000005</v>
      </c>
      <c r="L181" s="8"/>
      <c r="M181" s="113">
        <f>M10</f>
        <v>196802776</v>
      </c>
      <c r="N181" s="49"/>
      <c r="O181" s="113">
        <f>O10</f>
        <v>532048476.17000002</v>
      </c>
      <c r="P181" s="49"/>
      <c r="Q181" s="113"/>
      <c r="R181" s="49"/>
      <c r="S181" s="113">
        <f>S10</f>
        <v>494873746.19999999</v>
      </c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96"/>
      <c r="AF181" s="96"/>
      <c r="AG181" s="49"/>
      <c r="AH181" s="49"/>
      <c r="AI181" s="49"/>
      <c r="AJ181" s="49"/>
      <c r="AK181" s="49"/>
      <c r="AL181" s="49"/>
      <c r="AM181" s="96"/>
      <c r="AN181" s="96"/>
      <c r="AO181" s="96"/>
      <c r="AP181" s="96"/>
      <c r="AQ181" s="96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96"/>
      <c r="BD181" s="96"/>
      <c r="BE181" s="96"/>
      <c r="BF181" s="96"/>
      <c r="BG181" s="96"/>
      <c r="BH181" s="96"/>
      <c r="BI181" s="96"/>
      <c r="BJ181" s="96"/>
      <c r="BK181" s="96"/>
      <c r="BL181" s="96"/>
      <c r="BM181" s="96"/>
      <c r="BN181" s="96"/>
      <c r="BO181" s="96"/>
      <c r="BP181" s="96"/>
      <c r="BQ181" s="96"/>
    </row>
    <row r="182" spans="1:69" s="3" customFormat="1" x14ac:dyDescent="0.2">
      <c r="A182" s="19"/>
      <c r="C182" s="3" t="s">
        <v>4</v>
      </c>
      <c r="D182" s="10"/>
      <c r="E182" s="3" t="s">
        <v>5</v>
      </c>
      <c r="G182" s="85">
        <f>SUM(I182:AG182)</f>
        <v>840210.25000000012</v>
      </c>
      <c r="H182" s="49"/>
      <c r="I182" s="114"/>
      <c r="J182" s="8"/>
      <c r="K182" s="113">
        <f>K11</f>
        <v>243083.75</v>
      </c>
      <c r="L182" s="8"/>
      <c r="M182" s="113">
        <f>M11</f>
        <v>74692.75</v>
      </c>
      <c r="N182" s="49"/>
      <c r="O182" s="113">
        <f>O11</f>
        <v>272260.41666666669</v>
      </c>
      <c r="P182" s="49"/>
      <c r="Q182" s="113"/>
      <c r="R182" s="49"/>
      <c r="S182" s="113">
        <f>S11</f>
        <v>250173.33333333334</v>
      </c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96"/>
      <c r="AF182" s="96"/>
      <c r="AG182" s="49"/>
      <c r="AH182" s="49"/>
      <c r="AI182" s="49"/>
      <c r="AJ182" s="49"/>
      <c r="AK182" s="49"/>
      <c r="AL182" s="49"/>
      <c r="AM182" s="96"/>
      <c r="AN182" s="96"/>
      <c r="AO182" s="96"/>
      <c r="AP182" s="96"/>
      <c r="AQ182" s="96"/>
      <c r="AR182" s="96"/>
      <c r="AS182" s="96"/>
      <c r="AT182" s="96"/>
      <c r="AU182" s="96"/>
      <c r="AV182" s="96"/>
      <c r="AW182" s="96"/>
      <c r="AX182" s="96"/>
      <c r="AY182" s="96"/>
      <c r="AZ182" s="96"/>
      <c r="BA182" s="96"/>
      <c r="BB182" s="96"/>
      <c r="BC182" s="96"/>
      <c r="BD182" s="96"/>
      <c r="BE182" s="96"/>
      <c r="BF182" s="96"/>
      <c r="BG182" s="96"/>
      <c r="BH182" s="96"/>
      <c r="BI182" s="96"/>
      <c r="BJ182" s="96"/>
      <c r="BK182" s="96"/>
      <c r="BL182" s="96"/>
      <c r="BM182" s="96"/>
      <c r="BN182" s="96"/>
      <c r="BO182" s="96"/>
      <c r="BP182" s="96"/>
      <c r="BQ182" s="96"/>
    </row>
    <row r="183" spans="1:69" s="3" customFormat="1" x14ac:dyDescent="0.2">
      <c r="A183" s="19"/>
      <c r="C183" s="2" t="s">
        <v>15</v>
      </c>
      <c r="D183" s="10"/>
      <c r="E183" s="3" t="s">
        <v>3</v>
      </c>
      <c r="G183" s="84">
        <f>SUM(I183:AG183)</f>
        <v>89745438.159999996</v>
      </c>
      <c r="H183" s="49"/>
      <c r="I183" s="114"/>
      <c r="J183" s="8"/>
      <c r="K183" s="113">
        <f>K12</f>
        <v>24974685.020000003</v>
      </c>
      <c r="L183" s="8"/>
      <c r="M183" s="114">
        <f>M12</f>
        <v>8753909.0500000007</v>
      </c>
      <c r="N183" s="49"/>
      <c r="O183" s="114">
        <f>O12</f>
        <v>22587102.66</v>
      </c>
      <c r="P183" s="49"/>
      <c r="Q183" s="113"/>
      <c r="R183" s="49"/>
      <c r="S183" s="113">
        <f>S12</f>
        <v>33429741.43</v>
      </c>
      <c r="T183" s="49"/>
      <c r="U183" s="49"/>
      <c r="V183" s="49"/>
      <c r="W183" s="49"/>
      <c r="X183" s="49"/>
      <c r="Y183" s="49"/>
      <c r="Z183" s="49"/>
      <c r="AA183" s="49"/>
      <c r="AB183" s="49"/>
      <c r="AC183" s="49"/>
      <c r="AD183" s="49"/>
      <c r="AE183" s="96"/>
      <c r="AF183" s="96"/>
      <c r="AG183" s="49"/>
      <c r="AH183" s="49"/>
      <c r="AI183" s="49"/>
      <c r="AJ183" s="49"/>
      <c r="AK183" s="49"/>
      <c r="AL183" s="49"/>
      <c r="AM183" s="96"/>
      <c r="AN183" s="96"/>
      <c r="AO183" s="96"/>
      <c r="AP183" s="96"/>
      <c r="AQ183" s="96"/>
      <c r="AR183" s="96"/>
      <c r="AS183" s="96"/>
      <c r="AT183" s="96"/>
      <c r="AU183" s="96"/>
      <c r="AV183" s="96"/>
      <c r="AW183" s="96"/>
      <c r="AX183" s="96"/>
      <c r="AY183" s="96"/>
      <c r="AZ183" s="96"/>
      <c r="BA183" s="96"/>
      <c r="BB183" s="96"/>
      <c r="BC183" s="96"/>
      <c r="BD183" s="96"/>
      <c r="BE183" s="96"/>
      <c r="BF183" s="96"/>
      <c r="BG183" s="96"/>
      <c r="BH183" s="96"/>
      <c r="BI183" s="96"/>
      <c r="BJ183" s="96"/>
      <c r="BK183" s="96"/>
      <c r="BL183" s="96"/>
      <c r="BM183" s="96"/>
      <c r="BN183" s="96"/>
      <c r="BO183" s="96"/>
      <c r="BP183" s="96"/>
      <c r="BQ183" s="96"/>
    </row>
    <row r="184" spans="1:69" s="3" customFormat="1" x14ac:dyDescent="0.2">
      <c r="A184" s="19"/>
      <c r="C184" s="50" t="s">
        <v>415</v>
      </c>
      <c r="D184" s="10"/>
      <c r="E184" s="3" t="s">
        <v>3</v>
      </c>
      <c r="G184" s="84">
        <f>SUM(I184:AG184)</f>
        <v>113198585.96000001</v>
      </c>
      <c r="H184" s="49"/>
      <c r="I184" s="49"/>
      <c r="J184" s="8"/>
      <c r="K184" s="113">
        <f>K253</f>
        <v>28077794.860000014</v>
      </c>
      <c r="L184" s="8"/>
      <c r="M184" s="114">
        <f>M253</f>
        <v>12099650.620000007</v>
      </c>
      <c r="N184" s="49"/>
      <c r="O184" s="114">
        <f>O253</f>
        <v>44548072.690000013</v>
      </c>
      <c r="P184" s="49"/>
      <c r="Q184" s="49"/>
      <c r="R184" s="49"/>
      <c r="S184" s="113">
        <f>S253</f>
        <v>28473067.789999984</v>
      </c>
      <c r="T184" s="49"/>
      <c r="U184" s="49"/>
      <c r="V184" s="49"/>
      <c r="W184" s="49"/>
      <c r="X184" s="49"/>
      <c r="Y184" s="49"/>
      <c r="Z184" s="49"/>
      <c r="AA184" s="49"/>
      <c r="AB184" s="49"/>
      <c r="AC184" s="49"/>
      <c r="AD184" s="49"/>
      <c r="AE184" s="96"/>
      <c r="AF184" s="96"/>
      <c r="AG184" s="49"/>
      <c r="AH184" s="49"/>
      <c r="AI184" s="49"/>
      <c r="AJ184" s="49"/>
      <c r="AK184" s="49"/>
      <c r="AL184" s="49"/>
      <c r="AM184" s="96"/>
      <c r="AN184" s="96"/>
      <c r="AO184" s="96"/>
      <c r="AP184" s="96"/>
      <c r="AQ184" s="96"/>
      <c r="AR184" s="96"/>
      <c r="AS184" s="96"/>
      <c r="AT184" s="96"/>
      <c r="AU184" s="96"/>
      <c r="AV184" s="96"/>
      <c r="AW184" s="96"/>
      <c r="AX184" s="96"/>
      <c r="AY184" s="96"/>
      <c r="AZ184" s="96"/>
      <c r="BA184" s="96"/>
      <c r="BB184" s="96"/>
      <c r="BC184" s="96"/>
      <c r="BD184" s="96"/>
      <c r="BE184" s="96"/>
      <c r="BF184" s="96"/>
      <c r="BG184" s="96"/>
      <c r="BH184" s="96"/>
      <c r="BI184" s="96"/>
      <c r="BJ184" s="96"/>
      <c r="BK184" s="96"/>
      <c r="BL184" s="96"/>
      <c r="BM184" s="96"/>
      <c r="BN184" s="96"/>
      <c r="BO184" s="96"/>
      <c r="BP184" s="96"/>
      <c r="BQ184" s="96"/>
    </row>
    <row r="185" spans="1:69" s="3" customFormat="1" x14ac:dyDescent="0.2">
      <c r="A185" s="19"/>
      <c r="C185" s="50" t="s">
        <v>16</v>
      </c>
      <c r="D185" s="10"/>
      <c r="G185" s="51"/>
      <c r="H185" s="8"/>
      <c r="I185" s="1"/>
      <c r="J185" s="4"/>
      <c r="K185" s="1"/>
      <c r="L185" s="4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8"/>
      <c r="X185" s="1"/>
      <c r="Y185" s="18"/>
      <c r="Z185" s="96"/>
      <c r="AA185" s="18"/>
      <c r="AB185" s="18"/>
      <c r="AC185" s="18"/>
      <c r="AD185" s="18"/>
      <c r="AE185" s="96"/>
      <c r="AF185" s="96"/>
      <c r="AG185" s="96"/>
      <c r="AH185" s="96"/>
      <c r="AI185" s="1"/>
      <c r="AJ185" s="1"/>
      <c r="AK185" s="1"/>
      <c r="AL185" s="1"/>
      <c r="AM185" s="96"/>
      <c r="AN185" s="96"/>
      <c r="AO185" s="96"/>
      <c r="AP185" s="96"/>
      <c r="AQ185" s="96"/>
      <c r="AR185" s="96"/>
      <c r="AS185" s="96"/>
      <c r="AT185" s="96"/>
      <c r="AU185" s="96"/>
      <c r="AV185" s="96"/>
      <c r="AW185" s="96"/>
      <c r="AX185" s="96"/>
      <c r="AY185" s="96"/>
      <c r="AZ185" s="96"/>
      <c r="BA185" s="96"/>
      <c r="BB185" s="96"/>
      <c r="BC185" s="96"/>
      <c r="BD185" s="96"/>
      <c r="BE185" s="96"/>
      <c r="BF185" s="96"/>
      <c r="BG185" s="96"/>
      <c r="BH185" s="96"/>
      <c r="BI185" s="96"/>
      <c r="BJ185" s="96"/>
      <c r="BK185" s="96"/>
      <c r="BL185" s="96"/>
      <c r="BM185" s="96"/>
      <c r="BN185" s="96"/>
      <c r="BO185" s="96"/>
      <c r="BP185" s="96"/>
      <c r="BQ185" s="96"/>
    </row>
    <row r="186" spans="1:69" x14ac:dyDescent="0.2">
      <c r="A186" s="52" t="s">
        <v>9</v>
      </c>
      <c r="B186" s="47"/>
      <c r="D186" s="10"/>
      <c r="G186" s="53"/>
      <c r="I186" s="110"/>
      <c r="U186" s="48"/>
      <c r="W186" s="48"/>
      <c r="Y186" s="48"/>
      <c r="Z186" s="117"/>
      <c r="AA186" s="117"/>
      <c r="AB186" s="117"/>
      <c r="AC186" s="48"/>
      <c r="AD186" s="48"/>
      <c r="AE186" s="48"/>
      <c r="AF186" s="48"/>
      <c r="AG186" s="117"/>
      <c r="AH186" s="117"/>
      <c r="AI186" s="53"/>
      <c r="AJ186" s="53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  <c r="BF186" s="48"/>
      <c r="BG186" s="48"/>
      <c r="BH186" s="48"/>
      <c r="BI186" s="48"/>
      <c r="BJ186" s="48"/>
      <c r="BK186" s="48"/>
      <c r="BL186" s="48"/>
      <c r="BM186" s="48"/>
      <c r="BN186" s="48"/>
      <c r="BO186" s="48"/>
      <c r="BP186" s="48"/>
      <c r="BQ186" s="48"/>
    </row>
    <row r="187" spans="1:69" s="14" customFormat="1" x14ac:dyDescent="0.2">
      <c r="A187" s="19"/>
      <c r="C187" s="2" t="s">
        <v>2</v>
      </c>
      <c r="D187" s="10"/>
      <c r="E187" s="14" t="s">
        <v>6</v>
      </c>
      <c r="G187" s="86">
        <f>SUM(I187:AG187)</f>
        <v>1</v>
      </c>
      <c r="H187" s="87"/>
      <c r="I187" s="86">
        <f>ROUND(I181/$G181,4)</f>
        <v>0</v>
      </c>
      <c r="J187" s="87"/>
      <c r="K187" s="86">
        <f>1-SUM(M187:BF187)</f>
        <v>0.29920000000000002</v>
      </c>
      <c r="L187" s="87"/>
      <c r="M187" s="86">
        <f>ROUND(M181/$G181,4)</f>
        <v>0.11269999999999999</v>
      </c>
      <c r="N187" s="90"/>
      <c r="O187" s="86">
        <f>ROUND(O181/$G181,4)</f>
        <v>0.30470000000000003</v>
      </c>
      <c r="P187" s="90"/>
      <c r="Q187" s="86">
        <f>ROUND(Q181/$G181,4)</f>
        <v>0</v>
      </c>
      <c r="R187" s="90"/>
      <c r="S187" s="86">
        <f>ROUND(S181/$G181,4)</f>
        <v>0.28339999999999999</v>
      </c>
      <c r="T187" s="90"/>
      <c r="U187" s="90"/>
      <c r="V187" s="90"/>
      <c r="W187" s="90"/>
      <c r="X187" s="90"/>
      <c r="Y187" s="90"/>
      <c r="Z187" s="16"/>
      <c r="AA187" s="90"/>
      <c r="AB187" s="90"/>
      <c r="AC187" s="90"/>
      <c r="AD187" s="90"/>
      <c r="AE187" s="16"/>
      <c r="AF187" s="16"/>
      <c r="AG187" s="16"/>
      <c r="AH187" s="16"/>
      <c r="AI187" s="90"/>
      <c r="AJ187" s="90"/>
      <c r="AK187" s="90"/>
      <c r="AL187" s="90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</row>
    <row r="188" spans="1:69" s="14" customFormat="1" x14ac:dyDescent="0.2">
      <c r="A188" s="19"/>
      <c r="C188" s="3" t="s">
        <v>4</v>
      </c>
      <c r="D188" s="10"/>
      <c r="E188" s="14" t="s">
        <v>6</v>
      </c>
      <c r="G188" s="89">
        <f>SUM(I188:AG188)</f>
        <v>1</v>
      </c>
      <c r="H188" s="87"/>
      <c r="I188" s="86">
        <f>ROUND(I182/$G182,4)</f>
        <v>0</v>
      </c>
      <c r="J188" s="87"/>
      <c r="K188" s="86">
        <f>1-SUM(M188:AK188)</f>
        <v>0.28929999999999989</v>
      </c>
      <c r="L188" s="87"/>
      <c r="M188" s="86">
        <f>ROUND(M182/$G182,4)</f>
        <v>8.8900000000000007E-2</v>
      </c>
      <c r="N188" s="90"/>
      <c r="O188" s="86">
        <f>ROUND(O182/$G182,4)</f>
        <v>0.32400000000000001</v>
      </c>
      <c r="P188" s="90"/>
      <c r="Q188" s="86">
        <f>ROUND(Q182/$G182,4)</f>
        <v>0</v>
      </c>
      <c r="R188" s="90"/>
      <c r="S188" s="86">
        <f>ROUND(S182/$G182,4)</f>
        <v>0.29780000000000001</v>
      </c>
      <c r="T188" s="90"/>
      <c r="U188" s="90"/>
      <c r="V188" s="90"/>
      <c r="W188" s="90"/>
      <c r="X188" s="90"/>
      <c r="Y188" s="90"/>
      <c r="Z188" s="16"/>
      <c r="AA188" s="90"/>
      <c r="AB188" s="90"/>
      <c r="AC188" s="90"/>
      <c r="AD188" s="90"/>
      <c r="AE188" s="16"/>
      <c r="AF188" s="16"/>
      <c r="AG188" s="16"/>
      <c r="AH188" s="16"/>
      <c r="AI188" s="90"/>
      <c r="AJ188" s="90"/>
      <c r="AK188" s="90"/>
      <c r="AL188" s="90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</row>
    <row r="189" spans="1:69" s="14" customFormat="1" x14ac:dyDescent="0.2">
      <c r="A189" s="19"/>
      <c r="C189" s="2" t="s">
        <v>7</v>
      </c>
      <c r="D189" s="10"/>
      <c r="E189" s="14" t="s">
        <v>6</v>
      </c>
      <c r="G189" s="89">
        <f>SUM(I189:AG189)</f>
        <v>1</v>
      </c>
      <c r="H189" s="87"/>
      <c r="I189" s="86">
        <f>ROUND(I183/$G183,4)</f>
        <v>0</v>
      </c>
      <c r="J189" s="87"/>
      <c r="K189" s="86">
        <f>1-SUM(M189:AK189)</f>
        <v>0.27829999999999999</v>
      </c>
      <c r="L189" s="87"/>
      <c r="M189" s="86">
        <f>ROUND(M183/$G183,4)</f>
        <v>9.7500000000000003E-2</v>
      </c>
      <c r="N189" s="90"/>
      <c r="O189" s="86">
        <f>ROUND(O183/$G183,4)</f>
        <v>0.25169999999999998</v>
      </c>
      <c r="P189" s="90"/>
      <c r="Q189" s="86">
        <f>ROUND(Q183/$G183,4)</f>
        <v>0</v>
      </c>
      <c r="R189" s="90"/>
      <c r="S189" s="86">
        <f>ROUND(S183/$G183,4)</f>
        <v>0.3725</v>
      </c>
      <c r="T189" s="90"/>
      <c r="U189" s="90"/>
      <c r="V189" s="90"/>
      <c r="W189" s="90"/>
      <c r="X189" s="90"/>
      <c r="Y189" s="90"/>
      <c r="Z189" s="16"/>
      <c r="AA189" s="90"/>
      <c r="AB189" s="90"/>
      <c r="AC189" s="90"/>
      <c r="AD189" s="90"/>
      <c r="AE189" s="16"/>
      <c r="AF189" s="16"/>
      <c r="AG189" s="16"/>
      <c r="AH189" s="16"/>
      <c r="AI189" s="90"/>
      <c r="AJ189" s="90"/>
      <c r="AK189" s="90"/>
      <c r="AL189" s="90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</row>
    <row r="190" spans="1:69" s="14" customFormat="1" x14ac:dyDescent="0.2">
      <c r="A190" s="19"/>
      <c r="C190" s="50" t="s">
        <v>415</v>
      </c>
      <c r="D190" s="10"/>
      <c r="E190" s="14" t="s">
        <v>6</v>
      </c>
      <c r="G190" s="89">
        <f>SUM(I190:AG190)</f>
        <v>1</v>
      </c>
      <c r="H190" s="87"/>
      <c r="I190" s="90"/>
      <c r="J190" s="87"/>
      <c r="K190" s="86">
        <f>1-SUM(M190:S190)</f>
        <v>0.24809999999999999</v>
      </c>
      <c r="L190" s="87"/>
      <c r="M190" s="86">
        <f>ROUND(M184/$G$184,4)</f>
        <v>0.1069</v>
      </c>
      <c r="N190" s="90"/>
      <c r="O190" s="86">
        <f>ROUND(O184/$G$184,4)</f>
        <v>0.39350000000000002</v>
      </c>
      <c r="P190" s="90"/>
      <c r="Q190" s="90"/>
      <c r="R190" s="90"/>
      <c r="S190" s="86">
        <f>ROUND(S184/$G$184,4)</f>
        <v>0.2515</v>
      </c>
      <c r="T190" s="90"/>
      <c r="U190" s="90"/>
      <c r="V190" s="90"/>
      <c r="W190" s="90"/>
      <c r="X190" s="90"/>
      <c r="Y190" s="90"/>
      <c r="Z190" s="16"/>
      <c r="AA190" s="90"/>
      <c r="AB190" s="90"/>
      <c r="AC190" s="90"/>
      <c r="AD190" s="90"/>
      <c r="AE190" s="16"/>
      <c r="AF190" s="16"/>
      <c r="AG190" s="16"/>
      <c r="AH190" s="16"/>
      <c r="AI190" s="90"/>
      <c r="AJ190" s="90"/>
      <c r="AK190" s="90"/>
      <c r="AL190" s="90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</row>
    <row r="191" spans="1:69" s="14" customFormat="1" x14ac:dyDescent="0.2">
      <c r="A191" s="19"/>
      <c r="C191" s="54"/>
      <c r="D191" s="10"/>
      <c r="G191" s="90"/>
      <c r="H191" s="90"/>
      <c r="I191" s="90"/>
      <c r="J191" s="90"/>
      <c r="K191" s="90"/>
      <c r="L191" s="90"/>
      <c r="M191" s="90"/>
      <c r="N191" s="90"/>
      <c r="O191" s="90"/>
      <c r="P191" s="90"/>
      <c r="Q191" s="90"/>
      <c r="R191" s="90"/>
      <c r="S191" s="90"/>
      <c r="T191" s="90"/>
      <c r="U191" s="90"/>
      <c r="V191" s="90"/>
      <c r="W191" s="90"/>
      <c r="X191" s="90"/>
      <c r="Y191" s="90"/>
      <c r="Z191" s="16"/>
      <c r="AA191" s="90"/>
      <c r="AB191" s="90"/>
      <c r="AC191" s="90"/>
      <c r="AD191" s="90"/>
      <c r="AE191" s="16"/>
      <c r="AF191" s="16"/>
      <c r="AG191" s="16"/>
      <c r="AH191" s="16"/>
      <c r="AI191" s="90"/>
      <c r="AJ191" s="90"/>
      <c r="AK191" s="90"/>
      <c r="AL191" s="90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</row>
    <row r="192" spans="1:69" s="14" customFormat="1" x14ac:dyDescent="0.2">
      <c r="A192" s="19"/>
      <c r="C192" s="123" t="str">
        <f>C19</f>
        <v>Total Composite Factor for FY 2015</v>
      </c>
      <c r="D192" s="10"/>
      <c r="E192" s="14" t="s">
        <v>6</v>
      </c>
      <c r="G192" s="86">
        <f>SUM(I192:AG192)</f>
        <v>1</v>
      </c>
      <c r="H192" s="87"/>
      <c r="I192" s="102">
        <f>ROUND(AVERAGE(I187:I189),4)</f>
        <v>0</v>
      </c>
      <c r="J192" s="103"/>
      <c r="K192" s="86">
        <f>1-SUM(M192:AK192)</f>
        <v>0.27869999999999995</v>
      </c>
      <c r="L192" s="103"/>
      <c r="M192" s="102">
        <f>ROUND(AVERAGE(M187:M190),4)</f>
        <v>0.10150000000000001</v>
      </c>
      <c r="N192" s="104"/>
      <c r="O192" s="102">
        <f>ROUND(AVERAGE(O187:O190),4)</f>
        <v>0.31850000000000001</v>
      </c>
      <c r="P192" s="104"/>
      <c r="Q192" s="102">
        <f>ROUND(AVERAGE(Q187:Q189),4)</f>
        <v>0</v>
      </c>
      <c r="R192" s="104"/>
      <c r="S192" s="102">
        <f>ROUND(AVERAGE(S187:S190),4)</f>
        <v>0.30130000000000001</v>
      </c>
      <c r="T192" s="104"/>
      <c r="U192" s="104"/>
      <c r="V192" s="111"/>
      <c r="W192" s="104"/>
      <c r="X192" s="91"/>
      <c r="Y192" s="104"/>
      <c r="Z192" s="91"/>
      <c r="AA192" s="104"/>
      <c r="AB192" s="104"/>
      <c r="AC192" s="104"/>
      <c r="AD192" s="104"/>
      <c r="AE192" s="16"/>
      <c r="AF192" s="16"/>
      <c r="AG192" s="91"/>
      <c r="AH192" s="91"/>
      <c r="AI192" s="104"/>
      <c r="AJ192" s="104"/>
      <c r="AK192" s="104"/>
      <c r="AL192" s="104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</row>
    <row r="197" spans="1:69" ht="15.75" x14ac:dyDescent="0.25">
      <c r="A197" s="43"/>
      <c r="B197" s="6"/>
      <c r="C197" s="236" t="s">
        <v>315</v>
      </c>
      <c r="D197" s="6"/>
      <c r="E197" s="237"/>
      <c r="F197" s="237"/>
      <c r="G197" s="237"/>
      <c r="H197" s="237"/>
      <c r="I197" s="311" t="s">
        <v>316</v>
      </c>
      <c r="J197" s="304"/>
      <c r="K197" s="310" t="s">
        <v>317</v>
      </c>
      <c r="L197" s="304"/>
      <c r="M197" s="310" t="s">
        <v>318</v>
      </c>
      <c r="N197" s="310"/>
      <c r="O197" s="310" t="s">
        <v>318</v>
      </c>
      <c r="P197" s="304"/>
      <c r="Q197" s="310" t="s">
        <v>319</v>
      </c>
      <c r="R197" s="304"/>
      <c r="S197" s="310" t="s">
        <v>320</v>
      </c>
      <c r="T197" s="304"/>
      <c r="U197" s="359"/>
      <c r="V197" s="360"/>
      <c r="W197" s="360"/>
      <c r="X197" s="360"/>
      <c r="Y197" s="360"/>
      <c r="Z197" s="360"/>
      <c r="AA197" s="360"/>
      <c r="AB197" s="360"/>
      <c r="AC197" s="360"/>
      <c r="AD197" s="360"/>
      <c r="AE197" s="309" t="s">
        <v>321</v>
      </c>
    </row>
    <row r="198" spans="1:69" ht="25.5" x14ac:dyDescent="0.2">
      <c r="A198" s="45"/>
      <c r="B198" s="46"/>
      <c r="C198" s="47"/>
      <c r="D198" s="6"/>
      <c r="E198" s="20"/>
      <c r="F198" s="6"/>
      <c r="G198" s="7" t="s">
        <v>1</v>
      </c>
      <c r="H198" s="6"/>
      <c r="I198" s="83" t="s">
        <v>13</v>
      </c>
      <c r="J198" s="6"/>
      <c r="K198" s="7" t="s">
        <v>10</v>
      </c>
      <c r="L198" s="6"/>
      <c r="M198" s="7" t="s">
        <v>11</v>
      </c>
      <c r="N198" s="20"/>
      <c r="O198" s="7" t="s">
        <v>12</v>
      </c>
      <c r="P198" s="20"/>
      <c r="Q198" s="112" t="s">
        <v>83</v>
      </c>
      <c r="R198" s="20"/>
      <c r="S198" s="7" t="s">
        <v>82</v>
      </c>
      <c r="T198" s="20"/>
      <c r="U198" s="20"/>
      <c r="V198" s="20"/>
      <c r="W198" s="139"/>
      <c r="X198" s="20"/>
      <c r="Y198" s="20"/>
      <c r="Z198" s="20"/>
      <c r="AA198" s="139"/>
      <c r="AB198" s="139"/>
      <c r="AC198" s="139"/>
      <c r="AD198" s="139"/>
      <c r="AE198" s="7"/>
    </row>
    <row r="199" spans="1:69" s="10" customFormat="1" x14ac:dyDescent="0.2">
      <c r="A199" s="306"/>
      <c r="B199" s="5"/>
      <c r="C199" s="5"/>
      <c r="D199" s="5"/>
      <c r="E199" s="5"/>
      <c r="F199" s="5"/>
      <c r="G199" s="48"/>
      <c r="H199" s="48"/>
      <c r="I199" s="49"/>
      <c r="J199" s="5"/>
      <c r="K199" s="5"/>
      <c r="L199" s="5"/>
      <c r="M199" s="5"/>
      <c r="N199" s="48"/>
      <c r="O199" s="5"/>
      <c r="P199" s="48"/>
      <c r="Q199" s="5"/>
      <c r="R199" s="48"/>
      <c r="S199" s="5"/>
      <c r="T199" s="48"/>
      <c r="U199" s="48"/>
      <c r="V199" s="48"/>
      <c r="W199" s="48"/>
      <c r="X199" s="48"/>
      <c r="Y199" s="48"/>
      <c r="Z199" s="117"/>
      <c r="AA199" s="117"/>
      <c r="AB199" s="117"/>
      <c r="AC199" s="48"/>
      <c r="AD199" s="48"/>
      <c r="AE199" s="5"/>
      <c r="AF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1:69" s="10" customFormat="1" x14ac:dyDescent="0.2">
      <c r="A200" s="306"/>
      <c r="B200" s="3"/>
      <c r="C200" s="2" t="s">
        <v>2</v>
      </c>
      <c r="E200" s="3" t="s">
        <v>3</v>
      </c>
      <c r="F200" s="3"/>
      <c r="G200" s="307">
        <f>SUM(I200:AG200)</f>
        <v>3306458514.4299998</v>
      </c>
      <c r="H200" s="49"/>
      <c r="I200" s="113">
        <f>I10</f>
        <v>588658574.24000001</v>
      </c>
      <c r="J200" s="113"/>
      <c r="K200" s="113">
        <f>K10</f>
        <v>522666021.57000005</v>
      </c>
      <c r="L200" s="113"/>
      <c r="M200" s="113">
        <f>M10</f>
        <v>196802776</v>
      </c>
      <c r="N200" s="113"/>
      <c r="O200" s="113">
        <f>O10</f>
        <v>532048476.17000002</v>
      </c>
      <c r="P200" s="113"/>
      <c r="Q200" s="113">
        <f>Q10</f>
        <v>946876781.34000003</v>
      </c>
      <c r="R200" s="113"/>
      <c r="S200" s="113">
        <f>S10</f>
        <v>494873746.19999999</v>
      </c>
      <c r="T200" s="113"/>
      <c r="U200" s="49"/>
      <c r="V200" s="49"/>
      <c r="W200" s="49"/>
      <c r="X200" s="49"/>
      <c r="Y200" s="49"/>
      <c r="Z200" s="49"/>
      <c r="AA200" s="49"/>
      <c r="AB200" s="49"/>
      <c r="AC200" s="49"/>
      <c r="AD200" s="49">
        <f t="shared" ref="AD200:AF202" si="15">AD10</f>
        <v>0</v>
      </c>
      <c r="AE200" s="113">
        <f t="shared" si="15"/>
        <v>24532138.91</v>
      </c>
      <c r="AF200" s="113">
        <f t="shared" si="15"/>
        <v>0</v>
      </c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1:69" s="10" customFormat="1" x14ac:dyDescent="0.2">
      <c r="A201" s="306"/>
      <c r="B201" s="3"/>
      <c r="C201" s="3" t="s">
        <v>4</v>
      </c>
      <c r="E201" s="3" t="s">
        <v>5</v>
      </c>
      <c r="F201" s="3"/>
      <c r="G201" s="308">
        <f>SUM(I201:AG201)</f>
        <v>1472404.25</v>
      </c>
      <c r="H201" s="49"/>
      <c r="I201" s="113">
        <f>I11</f>
        <v>299552.75</v>
      </c>
      <c r="J201" s="113"/>
      <c r="K201" s="113">
        <f>K11</f>
        <v>243083.75</v>
      </c>
      <c r="L201" s="113"/>
      <c r="M201" s="113">
        <f>M11</f>
        <v>74692.75</v>
      </c>
      <c r="N201" s="113"/>
      <c r="O201" s="113">
        <f>O11</f>
        <v>272260.41666666669</v>
      </c>
      <c r="P201" s="113"/>
      <c r="Q201" s="113">
        <f>Q11</f>
        <v>332626.25</v>
      </c>
      <c r="R201" s="113"/>
      <c r="S201" s="113">
        <f>S11</f>
        <v>250173.33333333334</v>
      </c>
      <c r="T201" s="113"/>
      <c r="U201" s="49"/>
      <c r="V201" s="49"/>
      <c r="W201" s="49"/>
      <c r="X201" s="49"/>
      <c r="Y201" s="49"/>
      <c r="Z201" s="49"/>
      <c r="AA201" s="49"/>
      <c r="AB201" s="49"/>
      <c r="AC201" s="49"/>
      <c r="AD201" s="49">
        <f t="shared" si="15"/>
        <v>0</v>
      </c>
      <c r="AE201" s="113">
        <f t="shared" si="15"/>
        <v>15</v>
      </c>
      <c r="AF201" s="113">
        <f t="shared" si="15"/>
        <v>0</v>
      </c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1:69" s="10" customFormat="1" x14ac:dyDescent="0.2">
      <c r="A202" s="306"/>
      <c r="B202" s="3"/>
      <c r="C202" s="2" t="s">
        <v>15</v>
      </c>
      <c r="E202" s="3" t="s">
        <v>3</v>
      </c>
      <c r="F202" s="3"/>
      <c r="G202" s="307">
        <f>SUM(I202:AG202)</f>
        <v>158896048.65000001</v>
      </c>
      <c r="H202" s="49"/>
      <c r="I202" s="113">
        <f>I12</f>
        <v>30013523.280000005</v>
      </c>
      <c r="J202" s="49"/>
      <c r="K202" s="113">
        <f>K12</f>
        <v>24974685.020000003</v>
      </c>
      <c r="L202" s="49"/>
      <c r="M202" s="113">
        <f>M12</f>
        <v>8753909.0500000007</v>
      </c>
      <c r="N202" s="49"/>
      <c r="O202" s="113">
        <f>O12</f>
        <v>22587102.66</v>
      </c>
      <c r="P202" s="49"/>
      <c r="Q202" s="113">
        <f>Q12</f>
        <v>38004205.259999998</v>
      </c>
      <c r="R202" s="49"/>
      <c r="S202" s="113">
        <f>S12</f>
        <v>33429741.43</v>
      </c>
      <c r="T202" s="113"/>
      <c r="U202" s="49"/>
      <c r="V202" s="49"/>
      <c r="W202" s="49"/>
      <c r="X202" s="49"/>
      <c r="Y202" s="49"/>
      <c r="Z202" s="49"/>
      <c r="AA202" s="49"/>
      <c r="AB202" s="49"/>
      <c r="AC202" s="49"/>
      <c r="AD202" s="49">
        <f t="shared" si="15"/>
        <v>0</v>
      </c>
      <c r="AE202" s="113">
        <f t="shared" si="15"/>
        <v>1132881.9500000002</v>
      </c>
      <c r="AF202" s="113">
        <f t="shared" si="15"/>
        <v>0</v>
      </c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1:69" s="10" customFormat="1" x14ac:dyDescent="0.2">
      <c r="A203" s="306"/>
      <c r="B203" s="3"/>
      <c r="C203" s="50" t="s">
        <v>415</v>
      </c>
      <c r="E203" s="3" t="s">
        <v>3</v>
      </c>
      <c r="F203" s="3"/>
      <c r="G203" s="307">
        <f>SUM(I203:AG203)</f>
        <v>206871703.33000001</v>
      </c>
      <c r="H203" s="49"/>
      <c r="I203" s="113">
        <f>I253</f>
        <v>29250110.409999982</v>
      </c>
      <c r="J203" s="49"/>
      <c r="K203" s="113">
        <f>K253</f>
        <v>28077794.860000014</v>
      </c>
      <c r="L203" s="49"/>
      <c r="M203" s="113">
        <f>M253</f>
        <v>12099650.620000007</v>
      </c>
      <c r="N203" s="49"/>
      <c r="O203" s="113">
        <f>O253</f>
        <v>44548072.690000013</v>
      </c>
      <c r="P203" s="49"/>
      <c r="Q203" s="113">
        <f>Q253</f>
        <v>56885094.450000003</v>
      </c>
      <c r="R203" s="49"/>
      <c r="S203" s="113">
        <f>S253</f>
        <v>28473067.789999984</v>
      </c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113">
        <f t="shared" ref="AE203" si="16">AE253</f>
        <v>7537912.5099999988</v>
      </c>
      <c r="AF203" s="49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1:69" s="10" customFormat="1" x14ac:dyDescent="0.2">
      <c r="A204" s="306"/>
      <c r="B204" s="3"/>
      <c r="C204" s="50" t="s">
        <v>16</v>
      </c>
      <c r="E204" s="3"/>
      <c r="F204" s="3"/>
      <c r="G204" s="51"/>
      <c r="H204" s="8"/>
      <c r="I204" s="1"/>
      <c r="J204" s="4"/>
      <c r="K204" s="1"/>
      <c r="L204" s="4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8"/>
      <c r="X204" s="1"/>
      <c r="Y204" s="18"/>
      <c r="Z204" s="96"/>
      <c r="AA204" s="18"/>
      <c r="AB204" s="18"/>
      <c r="AC204" s="18"/>
      <c r="AD204" s="18"/>
      <c r="AE204" s="1"/>
      <c r="AF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1:69" s="10" customFormat="1" x14ac:dyDescent="0.2">
      <c r="A205" s="52" t="s">
        <v>9</v>
      </c>
      <c r="B205" s="47"/>
      <c r="C205" s="5"/>
      <c r="E205" s="5"/>
      <c r="F205" s="5"/>
      <c r="G205" s="53"/>
      <c r="H205" s="5"/>
      <c r="I205" s="110"/>
      <c r="J205" s="5"/>
      <c r="K205" s="5"/>
      <c r="L205" s="5"/>
      <c r="M205" s="5"/>
      <c r="N205" s="48"/>
      <c r="O205" s="5"/>
      <c r="P205" s="48"/>
      <c r="Q205" s="5"/>
      <c r="R205" s="48"/>
      <c r="S205" s="5"/>
      <c r="T205" s="48"/>
      <c r="U205" s="48"/>
      <c r="V205" s="48"/>
      <c r="W205" s="48"/>
      <c r="X205" s="48"/>
      <c r="Y205" s="48"/>
      <c r="Z205" s="117"/>
      <c r="AA205" s="117"/>
      <c r="AB205" s="117"/>
      <c r="AC205" s="48"/>
      <c r="AD205" s="48"/>
      <c r="AE205" s="5"/>
      <c r="AF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1:69" s="10" customFormat="1" x14ac:dyDescent="0.2">
      <c r="A206" s="306"/>
      <c r="B206" s="14"/>
      <c r="C206" s="2" t="s">
        <v>2</v>
      </c>
      <c r="E206" s="14" t="s">
        <v>6</v>
      </c>
      <c r="F206" s="14"/>
      <c r="G206" s="86">
        <f>SUM(I206:AG206)</f>
        <v>0.99999999999999989</v>
      </c>
      <c r="H206" s="87"/>
      <c r="I206" s="88">
        <f>1-SUM(K206:BF206)</f>
        <v>0.17800000000000005</v>
      </c>
      <c r="J206" s="87"/>
      <c r="K206" s="86">
        <f>ROUND(K200/$G200,4)</f>
        <v>0.15809999999999999</v>
      </c>
      <c r="L206" s="87"/>
      <c r="M206" s="86">
        <f>ROUND(M200/$G200,4)</f>
        <v>5.9499999999999997E-2</v>
      </c>
      <c r="N206" s="90"/>
      <c r="O206" s="86">
        <f>ROUND(O200/$G200,4)</f>
        <v>0.16089999999999999</v>
      </c>
      <c r="P206" s="90"/>
      <c r="Q206" s="86">
        <f>ROUND(Q200/$G200,4)</f>
        <v>0.28639999999999999</v>
      </c>
      <c r="R206" s="90"/>
      <c r="S206" s="86">
        <f>ROUND(S200/$G200,4)</f>
        <v>0.1497</v>
      </c>
      <c r="T206" s="90"/>
      <c r="U206" s="90"/>
      <c r="V206" s="90"/>
      <c r="W206" s="90"/>
      <c r="X206" s="90"/>
      <c r="Y206" s="90"/>
      <c r="Z206" s="16"/>
      <c r="AA206" s="90"/>
      <c r="AB206" s="90"/>
      <c r="AC206" s="90"/>
      <c r="AD206" s="90"/>
      <c r="AE206" s="86">
        <f>ROUND(AE200/$G200,4)</f>
        <v>7.4000000000000003E-3</v>
      </c>
      <c r="AF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1:69" s="10" customFormat="1" x14ac:dyDescent="0.2">
      <c r="A207" s="306"/>
      <c r="B207" s="14"/>
      <c r="C207" s="3" t="s">
        <v>4</v>
      </c>
      <c r="E207" s="14" t="s">
        <v>6</v>
      </c>
      <c r="F207" s="14"/>
      <c r="G207" s="89">
        <f>SUM(I207:AG207)</f>
        <v>1</v>
      </c>
      <c r="H207" s="87"/>
      <c r="I207" s="88">
        <f>1-SUM(K207:BF207)</f>
        <v>0.20350000000000001</v>
      </c>
      <c r="J207" s="87"/>
      <c r="K207" s="86">
        <f>ROUND(K201/$G201,4)</f>
        <v>0.1651</v>
      </c>
      <c r="L207" s="87"/>
      <c r="M207" s="86">
        <f>ROUND(M201/$G201,4)</f>
        <v>5.0700000000000002E-2</v>
      </c>
      <c r="N207" s="90"/>
      <c r="O207" s="86">
        <f>ROUND(O201/$G201,4)</f>
        <v>0.18490000000000001</v>
      </c>
      <c r="P207" s="90"/>
      <c r="Q207" s="86">
        <f>ROUND(Q201/$G201,4)</f>
        <v>0.22589999999999999</v>
      </c>
      <c r="R207" s="90"/>
      <c r="S207" s="86">
        <f>ROUND(S201/$G201,4)</f>
        <v>0.1699</v>
      </c>
      <c r="T207" s="90"/>
      <c r="U207" s="90"/>
      <c r="V207" s="90"/>
      <c r="W207" s="90"/>
      <c r="X207" s="90"/>
      <c r="Y207" s="90"/>
      <c r="Z207" s="16"/>
      <c r="AA207" s="90"/>
      <c r="AB207" s="90"/>
      <c r="AC207" s="90"/>
      <c r="AD207" s="90"/>
      <c r="AE207" s="86">
        <f>ROUND(AE201/$G201,4)</f>
        <v>0</v>
      </c>
      <c r="AF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1:69" s="10" customFormat="1" x14ac:dyDescent="0.2">
      <c r="A208" s="306"/>
      <c r="B208" s="14"/>
      <c r="C208" s="2" t="s">
        <v>7</v>
      </c>
      <c r="E208" s="14" t="s">
        <v>6</v>
      </c>
      <c r="F208" s="14"/>
      <c r="G208" s="89">
        <f>SUM(I208:AG208)</f>
        <v>0.99999999999999989</v>
      </c>
      <c r="H208" s="87"/>
      <c r="I208" s="88">
        <f>1-SUM(K208:BF208)</f>
        <v>0.18879999999999997</v>
      </c>
      <c r="J208" s="87"/>
      <c r="K208" s="86">
        <f>ROUND(K202/$G202,4)</f>
        <v>0.15720000000000001</v>
      </c>
      <c r="L208" s="87"/>
      <c r="M208" s="86">
        <f>ROUND(M202/$G202,4)</f>
        <v>5.5100000000000003E-2</v>
      </c>
      <c r="N208" s="90"/>
      <c r="O208" s="86">
        <f>ROUND(O202/$G202,4)</f>
        <v>0.14219999999999999</v>
      </c>
      <c r="P208" s="90"/>
      <c r="Q208" s="86">
        <f>ROUND(Q202/$G202,4)</f>
        <v>0.2392</v>
      </c>
      <c r="R208" s="90"/>
      <c r="S208" s="86">
        <f>ROUND(S202/$G202,4)</f>
        <v>0.2104</v>
      </c>
      <c r="T208" s="90"/>
      <c r="U208" s="90"/>
      <c r="V208" s="90"/>
      <c r="W208" s="90"/>
      <c r="X208" s="90"/>
      <c r="Y208" s="90"/>
      <c r="Z208" s="16"/>
      <c r="AA208" s="90"/>
      <c r="AB208" s="90"/>
      <c r="AC208" s="90"/>
      <c r="AD208" s="90"/>
      <c r="AE208" s="86">
        <f>ROUND(AE202/$G202,4)</f>
        <v>7.1000000000000004E-3</v>
      </c>
      <c r="AF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1:69" s="10" customFormat="1" x14ac:dyDescent="0.2">
      <c r="A209" s="306"/>
      <c r="B209" s="14"/>
      <c r="C209" s="50" t="s">
        <v>415</v>
      </c>
      <c r="E209" s="14" t="s">
        <v>6</v>
      </c>
      <c r="F209" s="14"/>
      <c r="G209" s="89">
        <f>SUM(I209:AG209)</f>
        <v>1</v>
      </c>
      <c r="H209" s="87"/>
      <c r="I209" s="88">
        <f>1-SUM(K209:BF209)</f>
        <v>0.14149999999999996</v>
      </c>
      <c r="J209" s="87"/>
      <c r="K209" s="86">
        <f>ROUND(K203/$G$203,4)</f>
        <v>0.13569999999999999</v>
      </c>
      <c r="L209" s="90"/>
      <c r="M209" s="86">
        <f t="shared" ref="M209:S209" si="17">ROUND(M203/$G$203,4)</f>
        <v>5.8500000000000003E-2</v>
      </c>
      <c r="N209" s="90"/>
      <c r="O209" s="86">
        <f t="shared" si="17"/>
        <v>0.21529999999999999</v>
      </c>
      <c r="P209" s="90"/>
      <c r="Q209" s="86">
        <f t="shared" si="17"/>
        <v>0.27500000000000002</v>
      </c>
      <c r="R209" s="90"/>
      <c r="S209" s="86">
        <f t="shared" si="17"/>
        <v>0.1376</v>
      </c>
      <c r="T209" s="90"/>
      <c r="U209" s="90"/>
      <c r="V209" s="90"/>
      <c r="W209" s="90"/>
      <c r="X209" s="90"/>
      <c r="Y209" s="90"/>
      <c r="Z209" s="16"/>
      <c r="AA209" s="90"/>
      <c r="AB209" s="90"/>
      <c r="AC209" s="90"/>
      <c r="AD209" s="90"/>
      <c r="AE209" s="86">
        <f t="shared" ref="AE209" si="18">ROUND(AE203/$G$203,4)</f>
        <v>3.6400000000000002E-2</v>
      </c>
      <c r="AF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1:69" s="10" customFormat="1" x14ac:dyDescent="0.2">
      <c r="A210" s="306"/>
      <c r="B210" s="14"/>
      <c r="C210" s="54"/>
      <c r="E210" s="14"/>
      <c r="F210" s="14"/>
      <c r="G210" s="90"/>
      <c r="H210" s="90"/>
      <c r="I210" s="91"/>
      <c r="J210" s="90"/>
      <c r="K210" s="90"/>
      <c r="L210" s="90"/>
      <c r="M210" s="90"/>
      <c r="N210" s="90"/>
      <c r="O210" s="90"/>
      <c r="P210" s="90"/>
      <c r="Q210" s="90"/>
      <c r="R210" s="90"/>
      <c r="S210" s="90"/>
      <c r="T210" s="90"/>
      <c r="U210" s="90"/>
      <c r="V210" s="90"/>
      <c r="W210" s="90"/>
      <c r="X210" s="90"/>
      <c r="Y210" s="90"/>
      <c r="Z210" s="16"/>
      <c r="AA210" s="90"/>
      <c r="AB210" s="90"/>
      <c r="AC210" s="90"/>
      <c r="AD210" s="90"/>
      <c r="AE210" s="90"/>
      <c r="AF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1:69" s="10" customFormat="1" x14ac:dyDescent="0.2">
      <c r="A211" s="306"/>
      <c r="B211" s="14"/>
      <c r="C211" s="54" t="str">
        <f>C19</f>
        <v>Total Composite Factor for FY 2015</v>
      </c>
      <c r="E211" s="14" t="s">
        <v>6</v>
      </c>
      <c r="F211" s="14"/>
      <c r="G211" s="86">
        <f>SUM(I211:AG211)</f>
        <v>0.99999999999999989</v>
      </c>
      <c r="H211" s="87"/>
      <c r="I211" s="86">
        <f>1-SUM(K211:BF211)</f>
        <v>0.17799999999999983</v>
      </c>
      <c r="J211" s="87"/>
      <c r="K211" s="86">
        <f>ROUND(AVERAGE(K206:K209),4)</f>
        <v>0.154</v>
      </c>
      <c r="L211" s="87"/>
      <c r="M211" s="86">
        <f>ROUND(AVERAGE(M206:M209),4)</f>
        <v>5.6000000000000001E-2</v>
      </c>
      <c r="N211" s="90"/>
      <c r="O211" s="86">
        <f>ROUND(AVERAGE(O206:O209),4)</f>
        <v>0.17580000000000001</v>
      </c>
      <c r="P211" s="90"/>
      <c r="Q211" s="86">
        <f>ROUND(AVERAGE(Q206:Q209),4)</f>
        <v>0.25659999999999999</v>
      </c>
      <c r="R211" s="90"/>
      <c r="S211" s="86">
        <f>ROUND(AVERAGE(S206:S209),4)</f>
        <v>0.16689999999999999</v>
      </c>
      <c r="T211" s="90"/>
      <c r="U211" s="90"/>
      <c r="V211" s="111"/>
      <c r="W211" s="90"/>
      <c r="X211" s="91"/>
      <c r="Y211" s="90"/>
      <c r="Z211" s="91"/>
      <c r="AA211" s="90"/>
      <c r="AB211" s="90"/>
      <c r="AC211" s="90"/>
      <c r="AD211" s="90"/>
      <c r="AE211" s="86">
        <f>ROUND(AVERAGE(AE206:AE209),4)</f>
        <v>1.2699999999999999E-2</v>
      </c>
      <c r="AF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5" spans="1:69" ht="15.75" x14ac:dyDescent="0.25">
      <c r="C215" s="99" t="s">
        <v>413</v>
      </c>
      <c r="D215" s="10"/>
      <c r="E215" s="14"/>
      <c r="F215" s="14"/>
      <c r="G215" s="15"/>
      <c r="H215" s="15"/>
      <c r="I215" s="299" t="s">
        <v>210</v>
      </c>
      <c r="J215" s="241"/>
      <c r="K215" s="297" t="s">
        <v>211</v>
      </c>
      <c r="L215" s="241"/>
      <c r="M215" s="297" t="s">
        <v>212</v>
      </c>
      <c r="N215" s="297"/>
      <c r="O215" s="297" t="s">
        <v>212</v>
      </c>
      <c r="P215" s="241"/>
      <c r="Q215" s="297" t="s">
        <v>213</v>
      </c>
      <c r="R215" s="241"/>
      <c r="S215" s="298" t="s">
        <v>214</v>
      </c>
      <c r="T215" s="241"/>
      <c r="U215" s="298" t="s">
        <v>215</v>
      </c>
      <c r="V215" s="240"/>
      <c r="W215" s="296" t="s">
        <v>216</v>
      </c>
      <c r="X215" s="240"/>
      <c r="Y215" s="239"/>
      <c r="Z215" s="239"/>
      <c r="AA215" s="239"/>
      <c r="AB215" s="239"/>
      <c r="AC215" s="239"/>
      <c r="AD215" s="239"/>
      <c r="AE215" s="296" t="s">
        <v>217</v>
      </c>
      <c r="AG215" s="5"/>
    </row>
    <row r="216" spans="1:69" x14ac:dyDescent="0.2">
      <c r="C216" s="17"/>
      <c r="D216" s="17"/>
      <c r="E216" s="17"/>
      <c r="F216" s="17"/>
      <c r="G216" s="17"/>
      <c r="H216" s="17"/>
      <c r="I216" s="58"/>
      <c r="J216" s="17"/>
      <c r="K216" s="17"/>
      <c r="L216" s="17"/>
      <c r="M216" s="94"/>
      <c r="N216" s="92"/>
      <c r="O216" s="17"/>
      <c r="P216" s="92"/>
      <c r="Q216" s="17"/>
      <c r="R216" s="92"/>
      <c r="S216" s="17"/>
      <c r="T216" s="92"/>
      <c r="U216" s="17"/>
    </row>
    <row r="217" spans="1:69" x14ac:dyDescent="0.2">
      <c r="C217" s="2" t="s">
        <v>2</v>
      </c>
      <c r="D217" s="10"/>
      <c r="E217" s="3" t="s">
        <v>3</v>
      </c>
      <c r="F217" s="17"/>
      <c r="G217" s="84">
        <f>SUM(I217:AG217)</f>
        <v>1781632780.0400002</v>
      </c>
      <c r="H217" s="17"/>
      <c r="I217" s="113">
        <v>0</v>
      </c>
      <c r="J217" s="8"/>
      <c r="K217" s="113">
        <v>0</v>
      </c>
      <c r="L217" s="8"/>
      <c r="M217" s="113">
        <v>0</v>
      </c>
      <c r="N217" s="49"/>
      <c r="O217" s="113">
        <v>0</v>
      </c>
      <c r="P217" s="49"/>
      <c r="Q217" s="113">
        <v>0</v>
      </c>
      <c r="R217" s="49"/>
      <c r="S217" s="113">
        <v>0</v>
      </c>
      <c r="T217" s="49"/>
      <c r="U217" s="113">
        <v>0</v>
      </c>
      <c r="W217" s="113">
        <f>W10</f>
        <v>1757100641.1300001</v>
      </c>
      <c r="AA217" s="117"/>
      <c r="AB217" s="117"/>
      <c r="AC217" s="49"/>
      <c r="AD217" s="49"/>
      <c r="AE217" s="113">
        <f>AE10</f>
        <v>24532138.91</v>
      </c>
      <c r="AF217" s="49"/>
    </row>
    <row r="218" spans="1:69" x14ac:dyDescent="0.2">
      <c r="C218" s="3" t="s">
        <v>4</v>
      </c>
      <c r="D218" s="10"/>
      <c r="E218" s="3" t="s">
        <v>5</v>
      </c>
      <c r="F218" s="17"/>
      <c r="G218" s="84">
        <f>SUM(I218:AG218)</f>
        <v>361.75</v>
      </c>
      <c r="H218" s="17"/>
      <c r="I218" s="113">
        <v>0</v>
      </c>
      <c r="J218" s="8"/>
      <c r="K218" s="113">
        <v>0</v>
      </c>
      <c r="L218" s="8"/>
      <c r="M218" s="113">
        <v>0</v>
      </c>
      <c r="N218" s="49"/>
      <c r="O218" s="113">
        <v>0</v>
      </c>
      <c r="P218" s="49"/>
      <c r="Q218" s="113">
        <v>0</v>
      </c>
      <c r="R218" s="49"/>
      <c r="S218" s="113">
        <v>0</v>
      </c>
      <c r="T218" s="49"/>
      <c r="U218" s="113">
        <v>0</v>
      </c>
      <c r="W218" s="113">
        <f>W11</f>
        <v>346.75</v>
      </c>
      <c r="AA218" s="117"/>
      <c r="AB218" s="117"/>
      <c r="AC218" s="49"/>
      <c r="AD218" s="49"/>
      <c r="AE218" s="113">
        <f>AE11</f>
        <v>15</v>
      </c>
      <c r="AF218" s="49"/>
    </row>
    <row r="219" spans="1:69" x14ac:dyDescent="0.2">
      <c r="C219" s="2" t="s">
        <v>15</v>
      </c>
      <c r="D219" s="10"/>
      <c r="E219" s="3" t="s">
        <v>3</v>
      </c>
      <c r="F219" s="17"/>
      <c r="G219" s="84">
        <f>SUM(I219:AG219)</f>
        <v>82709534.460000008</v>
      </c>
      <c r="H219" s="17"/>
      <c r="I219" s="113">
        <v>0</v>
      </c>
      <c r="J219" s="8"/>
      <c r="K219" s="113">
        <v>0</v>
      </c>
      <c r="L219" s="8"/>
      <c r="M219" s="113">
        <v>0</v>
      </c>
      <c r="N219" s="49"/>
      <c r="O219" s="113">
        <v>0</v>
      </c>
      <c r="P219" s="49"/>
      <c r="Q219" s="113">
        <v>0</v>
      </c>
      <c r="R219" s="49"/>
      <c r="S219" s="113">
        <v>0</v>
      </c>
      <c r="T219" s="49"/>
      <c r="U219" s="113">
        <v>0</v>
      </c>
      <c r="W219" s="113">
        <f>W12</f>
        <v>81576652.510000005</v>
      </c>
      <c r="AA219" s="117"/>
      <c r="AB219" s="117"/>
      <c r="AC219" s="49"/>
      <c r="AD219" s="49"/>
      <c r="AE219" s="113">
        <f>AE12</f>
        <v>1132881.9500000002</v>
      </c>
      <c r="AF219" s="49"/>
    </row>
    <row r="220" spans="1:69" x14ac:dyDescent="0.2">
      <c r="C220" s="50" t="s">
        <v>415</v>
      </c>
      <c r="D220" s="10"/>
      <c r="E220" s="3" t="s">
        <v>3</v>
      </c>
      <c r="F220" s="17"/>
      <c r="G220" s="84">
        <f>SUM(I220:AG220)</f>
        <v>180357094.72999999</v>
      </c>
      <c r="H220" s="17"/>
      <c r="I220" s="49"/>
      <c r="J220" s="8"/>
      <c r="K220" s="49"/>
      <c r="L220" s="8"/>
      <c r="M220" s="49"/>
      <c r="N220" s="49"/>
      <c r="O220" s="49"/>
      <c r="P220" s="49"/>
      <c r="Q220" s="49"/>
      <c r="R220" s="49"/>
      <c r="S220" s="49"/>
      <c r="T220" s="49"/>
      <c r="U220" s="49"/>
      <c r="W220" s="113">
        <f>W253</f>
        <v>172819182.22</v>
      </c>
      <c r="AA220" s="117"/>
      <c r="AB220" s="117"/>
      <c r="AC220" s="49"/>
      <c r="AD220" s="49"/>
      <c r="AE220" s="113">
        <f>AE253</f>
        <v>7537912.5099999988</v>
      </c>
      <c r="AF220" s="49"/>
    </row>
    <row r="221" spans="1:69" x14ac:dyDescent="0.2">
      <c r="C221" s="50" t="s">
        <v>16</v>
      </c>
      <c r="D221" s="10"/>
      <c r="E221" s="3"/>
      <c r="F221" s="17"/>
      <c r="G221" s="17"/>
      <c r="H221" s="17"/>
      <c r="I221" s="1"/>
      <c r="J221" s="4"/>
      <c r="K221" s="1"/>
      <c r="L221" s="4"/>
      <c r="M221" s="1"/>
      <c r="N221" s="1"/>
      <c r="O221" s="1"/>
      <c r="P221" s="1"/>
      <c r="Q221" s="1"/>
      <c r="R221" s="1"/>
      <c r="S221" s="1"/>
      <c r="T221" s="1"/>
      <c r="U221" s="1"/>
      <c r="W221" s="18"/>
      <c r="AA221" s="117"/>
      <c r="AB221" s="117"/>
      <c r="AC221" s="18"/>
      <c r="AD221" s="18"/>
      <c r="AE221" s="18"/>
      <c r="AF221" s="18"/>
    </row>
    <row r="222" spans="1:69" x14ac:dyDescent="0.2">
      <c r="C222" s="17"/>
      <c r="D222" s="17"/>
      <c r="E222" s="17"/>
      <c r="F222" s="17"/>
      <c r="G222" s="17"/>
      <c r="H222" s="17"/>
      <c r="I222" s="58"/>
      <c r="J222" s="17"/>
      <c r="K222" s="17"/>
      <c r="L222" s="17"/>
      <c r="M222" s="94"/>
      <c r="N222" s="92"/>
      <c r="O222" s="17"/>
      <c r="P222" s="92"/>
      <c r="Q222" s="17"/>
      <c r="R222" s="92"/>
      <c r="S222" s="17"/>
      <c r="T222" s="92"/>
      <c r="U222" s="17"/>
      <c r="AA222" s="117"/>
      <c r="AB222" s="117"/>
      <c r="AC222" s="48"/>
      <c r="AD222" s="48"/>
    </row>
    <row r="223" spans="1:69" x14ac:dyDescent="0.2">
      <c r="C223" s="2" t="s">
        <v>2</v>
      </c>
      <c r="D223" s="10"/>
      <c r="E223" s="14" t="s">
        <v>6</v>
      </c>
      <c r="F223" s="97"/>
      <c r="G223" s="102">
        <f>SUM(I223:AG223)</f>
        <v>1</v>
      </c>
      <c r="H223" s="17"/>
      <c r="I223" s="102">
        <f>1-SUM(K223:BF223)</f>
        <v>0</v>
      </c>
      <c r="J223" s="103"/>
      <c r="K223" s="102">
        <f>ROUND(K217/$G$62,4)</f>
        <v>0</v>
      </c>
      <c r="L223" s="103"/>
      <c r="M223" s="102">
        <f>ROUND(M217/$G$62,4)</f>
        <v>0</v>
      </c>
      <c r="N223" s="104"/>
      <c r="O223" s="102">
        <f>ROUND(O217/$G$62,4)</f>
        <v>0</v>
      </c>
      <c r="P223" s="104"/>
      <c r="Q223" s="102">
        <f>ROUND(Q217/$G$62,4)</f>
        <v>0</v>
      </c>
      <c r="R223" s="104"/>
      <c r="S223" s="102">
        <f>ROUND(S217/$G$62,4)</f>
        <v>0</v>
      </c>
      <c r="T223" s="104"/>
      <c r="U223" s="102">
        <f>ROUND(U217/$G$62,4)</f>
        <v>0</v>
      </c>
      <c r="W223" s="102">
        <f>W217/G217</f>
        <v>0.98623053011549933</v>
      </c>
      <c r="AA223" s="117"/>
      <c r="AB223" s="117"/>
      <c r="AC223" s="104"/>
      <c r="AD223" s="104"/>
      <c r="AE223" s="102">
        <f>AE217/G217</f>
        <v>1.3769469884500677E-2</v>
      </c>
      <c r="AF223" s="104"/>
    </row>
    <row r="224" spans="1:69" x14ac:dyDescent="0.2">
      <c r="C224" s="3" t="s">
        <v>4</v>
      </c>
      <c r="D224" s="10"/>
      <c r="E224" s="14" t="s">
        <v>6</v>
      </c>
      <c r="F224" s="97"/>
      <c r="G224" s="102">
        <f>SUM(I224:AG224)</f>
        <v>1</v>
      </c>
      <c r="H224" s="17"/>
      <c r="I224" s="102">
        <f>1-SUM(K224:BF224)</f>
        <v>0</v>
      </c>
      <c r="J224" s="103"/>
      <c r="K224" s="102">
        <f>ROUND(K218/$G$63,4)</f>
        <v>0</v>
      </c>
      <c r="L224" s="103"/>
      <c r="M224" s="102">
        <f>ROUND(M218/$G$63,4)</f>
        <v>0</v>
      </c>
      <c r="N224" s="104"/>
      <c r="O224" s="102">
        <f>ROUND(O218/$G$63,4)</f>
        <v>0</v>
      </c>
      <c r="P224" s="104"/>
      <c r="Q224" s="102">
        <f>ROUND(Q218/$G$63,4)</f>
        <v>0</v>
      </c>
      <c r="R224" s="104"/>
      <c r="S224" s="102">
        <f>ROUND(S218/$G$63,4)</f>
        <v>0</v>
      </c>
      <c r="T224" s="104"/>
      <c r="U224" s="102">
        <f>ROUND(U218/$G$63,4)</f>
        <v>0</v>
      </c>
      <c r="W224" s="102">
        <f>W218/G218</f>
        <v>0.95853489979267448</v>
      </c>
      <c r="AA224" s="117"/>
      <c r="AB224" s="117"/>
      <c r="AC224" s="104"/>
      <c r="AD224" s="104"/>
      <c r="AE224" s="102">
        <f>AE218/G218</f>
        <v>4.1465100207325502E-2</v>
      </c>
      <c r="AF224" s="104"/>
    </row>
    <row r="225" spans="3:33" x14ac:dyDescent="0.2">
      <c r="C225" s="2" t="s">
        <v>7</v>
      </c>
      <c r="D225" s="10"/>
      <c r="E225" s="14" t="s">
        <v>6</v>
      </c>
      <c r="F225" s="97"/>
      <c r="G225" s="102">
        <f>SUM(I225:AG225)</f>
        <v>1</v>
      </c>
      <c r="H225" s="17"/>
      <c r="I225" s="102">
        <f>1-SUM(K225:BF225)</f>
        <v>0</v>
      </c>
      <c r="J225" s="103"/>
      <c r="K225" s="102">
        <f>ROUND(K219/$G$64,4)</f>
        <v>0</v>
      </c>
      <c r="L225" s="103"/>
      <c r="M225" s="102">
        <f>ROUND(M219/$G$64,4)</f>
        <v>0</v>
      </c>
      <c r="N225" s="104"/>
      <c r="O225" s="102">
        <f>ROUND(O219/$G$64,4)</f>
        <v>0</v>
      </c>
      <c r="P225" s="104"/>
      <c r="Q225" s="102">
        <f>ROUND(Q219/$G$64,4)</f>
        <v>0</v>
      </c>
      <c r="R225" s="104"/>
      <c r="S225" s="102">
        <f>ROUND(S219/$G$64,4)</f>
        <v>0</v>
      </c>
      <c r="T225" s="104"/>
      <c r="U225" s="102">
        <f>ROUND(U219/$G$64,4)</f>
        <v>0</v>
      </c>
      <c r="W225" s="102">
        <f>W219/G219</f>
        <v>0.98630288566612734</v>
      </c>
      <c r="AA225" s="117"/>
      <c r="AB225" s="117"/>
      <c r="AC225" s="104"/>
      <c r="AD225" s="104"/>
      <c r="AE225" s="102">
        <f>AE219/G219</f>
        <v>1.3697114333872652E-2</v>
      </c>
      <c r="AF225" s="104"/>
    </row>
    <row r="226" spans="3:33" x14ac:dyDescent="0.2">
      <c r="C226" s="50" t="s">
        <v>415</v>
      </c>
      <c r="D226" s="10"/>
      <c r="E226" s="14" t="s">
        <v>6</v>
      </c>
      <c r="F226" s="97"/>
      <c r="G226" s="102">
        <f>SUM(I226:AG226)</f>
        <v>1</v>
      </c>
      <c r="H226" s="17"/>
      <c r="I226" s="104"/>
      <c r="J226" s="103"/>
      <c r="K226" s="104"/>
      <c r="L226" s="103"/>
      <c r="M226" s="104"/>
      <c r="N226" s="104"/>
      <c r="O226" s="104"/>
      <c r="P226" s="104"/>
      <c r="Q226" s="104"/>
      <c r="R226" s="104"/>
      <c r="S226" s="104"/>
      <c r="T226" s="104"/>
      <c r="U226" s="104"/>
      <c r="W226" s="102">
        <f>ROUND(W220/$G$220,4)</f>
        <v>0.95820000000000005</v>
      </c>
      <c r="AA226" s="117"/>
      <c r="AB226" s="117"/>
      <c r="AC226" s="104"/>
      <c r="AD226" s="104"/>
      <c r="AE226" s="102">
        <f>ROUND(AE220/$G$220,4)</f>
        <v>4.1799999999999997E-2</v>
      </c>
      <c r="AF226" s="104"/>
    </row>
    <row r="227" spans="3:33" x14ac:dyDescent="0.2">
      <c r="C227" s="54"/>
      <c r="D227" s="10"/>
      <c r="E227" s="14"/>
      <c r="F227" s="17"/>
      <c r="G227" s="93"/>
      <c r="H227" s="17"/>
      <c r="I227" s="103"/>
      <c r="J227" s="103"/>
      <c r="K227" s="103"/>
      <c r="L227" s="103"/>
      <c r="M227" s="103"/>
      <c r="N227" s="104"/>
      <c r="O227" s="103"/>
      <c r="P227" s="104"/>
      <c r="Q227" s="103"/>
      <c r="R227" s="104"/>
      <c r="S227" s="103"/>
      <c r="T227" s="104"/>
      <c r="U227" s="103"/>
      <c r="W227" s="90"/>
      <c r="AA227" s="117"/>
      <c r="AB227" s="117"/>
      <c r="AC227" s="90"/>
      <c r="AD227" s="90"/>
      <c r="AE227" s="90"/>
      <c r="AF227" s="90"/>
    </row>
    <row r="228" spans="3:33" x14ac:dyDescent="0.2">
      <c r="C228" s="123" t="str">
        <f>C19</f>
        <v>Total Composite Factor for FY 2015</v>
      </c>
      <c r="D228" s="10"/>
      <c r="E228" s="14" t="s">
        <v>6</v>
      </c>
      <c r="F228" s="17"/>
      <c r="G228" s="102">
        <f>SUM(I228:AG228)</f>
        <v>1</v>
      </c>
      <c r="H228" s="17"/>
      <c r="I228" s="102">
        <f>1-SUM(K228:BF228)</f>
        <v>0</v>
      </c>
      <c r="J228" s="103"/>
      <c r="K228" s="102">
        <f>ROUND(AVERAGE(K223:K225),4)</f>
        <v>0</v>
      </c>
      <c r="L228" s="103"/>
      <c r="M228" s="102">
        <f>ROUND(AVERAGE(M223:M225),4)</f>
        <v>0</v>
      </c>
      <c r="N228" s="104"/>
      <c r="O228" s="102">
        <f>ROUND(AVERAGE(O223:O225),4)</f>
        <v>0</v>
      </c>
      <c r="P228" s="104"/>
      <c r="Q228" s="102">
        <f>ROUND(AVERAGE(Q223:Q225),4)</f>
        <v>0</v>
      </c>
      <c r="R228" s="104"/>
      <c r="S228" s="102">
        <f>ROUND(AVERAGE(S223:S225),4)</f>
        <v>0</v>
      </c>
      <c r="T228" s="104"/>
      <c r="U228" s="102">
        <f>ROUND(AVERAGE(U223:U225),4)</f>
        <v>0</v>
      </c>
      <c r="V228" s="111"/>
      <c r="W228" s="102">
        <f>ROUND(AVERAGE(W223:W226),4)</f>
        <v>0.97230000000000005</v>
      </c>
      <c r="AA228" s="117"/>
      <c r="AB228" s="117"/>
      <c r="AC228" s="104"/>
      <c r="AD228" s="104"/>
      <c r="AE228" s="102">
        <f>ROUND(AVERAGE(AE223:AE226),4)</f>
        <v>2.7699999999999999E-2</v>
      </c>
      <c r="AF228" s="104"/>
    </row>
    <row r="229" spans="3:33" x14ac:dyDescent="0.2">
      <c r="C229" s="123"/>
      <c r="D229" s="10"/>
      <c r="E229" s="14"/>
      <c r="F229" s="17"/>
      <c r="G229" s="104"/>
      <c r="H229" s="17"/>
      <c r="I229" s="104"/>
      <c r="J229" s="103"/>
      <c r="K229" s="104"/>
      <c r="L229" s="103"/>
      <c r="M229" s="104"/>
      <c r="N229" s="104"/>
      <c r="O229" s="104"/>
      <c r="P229" s="104"/>
      <c r="Q229" s="104"/>
      <c r="R229" s="104"/>
      <c r="S229" s="104"/>
      <c r="T229" s="104"/>
      <c r="U229" s="104"/>
      <c r="V229" s="111"/>
      <c r="W229" s="104"/>
      <c r="AA229" s="117"/>
      <c r="AB229" s="117"/>
      <c r="AC229" s="104"/>
      <c r="AD229" s="104"/>
      <c r="AE229" s="104"/>
      <c r="AF229" s="104"/>
    </row>
    <row r="230" spans="3:33" x14ac:dyDescent="0.2">
      <c r="C230" s="123"/>
      <c r="D230" s="10"/>
      <c r="E230" s="14"/>
      <c r="F230" s="17"/>
      <c r="G230" s="104"/>
      <c r="H230" s="17"/>
      <c r="I230" s="104"/>
      <c r="J230" s="103"/>
      <c r="K230" s="104"/>
      <c r="L230" s="103"/>
      <c r="M230" s="104"/>
      <c r="N230" s="104"/>
      <c r="O230" s="104"/>
      <c r="P230" s="104"/>
      <c r="Q230" s="104"/>
      <c r="R230" s="104"/>
      <c r="S230" s="104"/>
      <c r="T230" s="104"/>
      <c r="U230" s="104"/>
      <c r="V230" s="111"/>
      <c r="W230" s="104"/>
      <c r="AA230" s="117"/>
      <c r="AB230" s="117"/>
      <c r="AC230" s="104"/>
      <c r="AD230" s="104"/>
      <c r="AE230" s="104"/>
      <c r="AF230" s="104"/>
    </row>
    <row r="231" spans="3:33" ht="15.75" x14ac:dyDescent="0.25">
      <c r="C231" s="236" t="s">
        <v>315</v>
      </c>
      <c r="D231" s="10"/>
      <c r="E231" s="14"/>
      <c r="F231" s="14"/>
      <c r="G231" s="15"/>
      <c r="H231" s="15"/>
      <c r="I231" s="361"/>
      <c r="J231" s="241"/>
      <c r="K231" s="241"/>
      <c r="L231" s="241"/>
      <c r="M231" s="241"/>
      <c r="N231" s="241"/>
      <c r="O231" s="241"/>
      <c r="P231" s="241"/>
      <c r="Q231" s="241"/>
      <c r="R231" s="241"/>
      <c r="S231" s="243"/>
      <c r="T231" s="241"/>
      <c r="U231" s="243"/>
      <c r="V231" s="240"/>
      <c r="W231" s="240"/>
      <c r="X231" s="240"/>
      <c r="Y231" s="239"/>
      <c r="Z231" s="239"/>
      <c r="AA231" s="239"/>
      <c r="AB231" s="239"/>
      <c r="AC231" s="239"/>
      <c r="AD231" s="239"/>
      <c r="AE231" s="239"/>
      <c r="AG231" s="5"/>
    </row>
    <row r="232" spans="3:33" x14ac:dyDescent="0.2">
      <c r="C232" s="17"/>
      <c r="D232" s="17"/>
      <c r="E232" s="17"/>
      <c r="F232" s="17"/>
      <c r="G232" s="17"/>
      <c r="H232" s="17"/>
      <c r="I232" s="58"/>
      <c r="J232" s="17"/>
      <c r="K232" s="17"/>
      <c r="L232" s="17"/>
      <c r="M232" s="94"/>
      <c r="N232" s="92"/>
      <c r="O232" s="17"/>
      <c r="P232" s="92"/>
      <c r="Q232" s="17"/>
      <c r="R232" s="92"/>
      <c r="S232" s="17"/>
      <c r="T232" s="92"/>
      <c r="U232" s="17"/>
    </row>
    <row r="233" spans="3:33" x14ac:dyDescent="0.2">
      <c r="C233" s="2" t="s">
        <v>2</v>
      </c>
      <c r="D233" s="10"/>
      <c r="E233" s="3" t="s">
        <v>3</v>
      </c>
      <c r="F233" s="17"/>
      <c r="G233" s="84">
        <f>SUM(I233:AG233)</f>
        <v>3306458514.4299998</v>
      </c>
      <c r="H233" s="17"/>
      <c r="I233" s="113">
        <f>I10</f>
        <v>588658574.24000001</v>
      </c>
      <c r="J233" s="49"/>
      <c r="K233" s="113">
        <f t="shared" ref="K233:S233" si="19">K10</f>
        <v>522666021.57000005</v>
      </c>
      <c r="L233" s="49"/>
      <c r="M233" s="113">
        <f t="shared" si="19"/>
        <v>196802776</v>
      </c>
      <c r="N233" s="49"/>
      <c r="O233" s="113">
        <f t="shared" si="19"/>
        <v>532048476.17000002</v>
      </c>
      <c r="P233" s="49"/>
      <c r="Q233" s="113">
        <f t="shared" si="19"/>
        <v>946876781.34000003</v>
      </c>
      <c r="R233" s="49"/>
      <c r="S233" s="113">
        <f t="shared" si="19"/>
        <v>494873746.19999999</v>
      </c>
      <c r="T233" s="49"/>
      <c r="U233" s="49"/>
      <c r="W233" s="49"/>
      <c r="AA233" s="117"/>
      <c r="AB233" s="117"/>
      <c r="AC233" s="49"/>
      <c r="AD233" s="49"/>
      <c r="AE233" s="113">
        <f t="shared" ref="AE233:AE235" si="20">AE10</f>
        <v>24532138.91</v>
      </c>
      <c r="AF233" s="49"/>
    </row>
    <row r="234" spans="3:33" x14ac:dyDescent="0.2">
      <c r="C234" s="3" t="s">
        <v>4</v>
      </c>
      <c r="D234" s="10"/>
      <c r="E234" s="3" t="s">
        <v>5</v>
      </c>
      <c r="F234" s="17"/>
      <c r="G234" s="84">
        <f>SUM(I234:AG234)</f>
        <v>1472404.25</v>
      </c>
      <c r="H234" s="17"/>
      <c r="I234" s="113">
        <f t="shared" ref="I234:S235" si="21">I11</f>
        <v>299552.75</v>
      </c>
      <c r="J234" s="49"/>
      <c r="K234" s="113">
        <f t="shared" si="21"/>
        <v>243083.75</v>
      </c>
      <c r="L234" s="49"/>
      <c r="M234" s="113">
        <f t="shared" si="21"/>
        <v>74692.75</v>
      </c>
      <c r="N234" s="49"/>
      <c r="O234" s="113">
        <f t="shared" si="21"/>
        <v>272260.41666666669</v>
      </c>
      <c r="P234" s="49"/>
      <c r="Q234" s="113">
        <f t="shared" si="21"/>
        <v>332626.25</v>
      </c>
      <c r="R234" s="49"/>
      <c r="S234" s="113">
        <f t="shared" si="21"/>
        <v>250173.33333333334</v>
      </c>
      <c r="T234" s="49"/>
      <c r="U234" s="49"/>
      <c r="W234" s="49"/>
      <c r="AA234" s="117"/>
      <c r="AB234" s="117"/>
      <c r="AC234" s="49"/>
      <c r="AD234" s="49"/>
      <c r="AE234" s="113">
        <f t="shared" si="20"/>
        <v>15</v>
      </c>
      <c r="AF234" s="49"/>
    </row>
    <row r="235" spans="3:33" x14ac:dyDescent="0.2">
      <c r="C235" s="2" t="s">
        <v>15</v>
      </c>
      <c r="D235" s="10"/>
      <c r="E235" s="3" t="s">
        <v>3</v>
      </c>
      <c r="F235" s="17"/>
      <c r="G235" s="84">
        <f>SUM(I235:AG235)</f>
        <v>158896048.65000001</v>
      </c>
      <c r="H235" s="17"/>
      <c r="I235" s="113">
        <f t="shared" si="21"/>
        <v>30013523.280000005</v>
      </c>
      <c r="J235" s="49"/>
      <c r="K235" s="113">
        <f t="shared" si="21"/>
        <v>24974685.020000003</v>
      </c>
      <c r="L235" s="49"/>
      <c r="M235" s="113">
        <f t="shared" si="21"/>
        <v>8753909.0500000007</v>
      </c>
      <c r="N235" s="49"/>
      <c r="O235" s="113">
        <f t="shared" si="21"/>
        <v>22587102.66</v>
      </c>
      <c r="P235" s="49"/>
      <c r="Q235" s="113">
        <f t="shared" si="21"/>
        <v>38004205.259999998</v>
      </c>
      <c r="R235" s="49"/>
      <c r="S235" s="113">
        <f t="shared" si="21"/>
        <v>33429741.43</v>
      </c>
      <c r="T235" s="49"/>
      <c r="U235" s="49"/>
      <c r="W235" s="49"/>
      <c r="AA235" s="117"/>
      <c r="AB235" s="117"/>
      <c r="AC235" s="49"/>
      <c r="AD235" s="49"/>
      <c r="AE235" s="113">
        <f t="shared" si="20"/>
        <v>1132881.9500000002</v>
      </c>
      <c r="AF235" s="49"/>
    </row>
    <row r="236" spans="3:33" x14ac:dyDescent="0.2">
      <c r="C236" s="50" t="s">
        <v>415</v>
      </c>
      <c r="D236" s="10"/>
      <c r="E236" s="3" t="s">
        <v>3</v>
      </c>
      <c r="F236" s="17"/>
      <c r="G236" s="84">
        <f>SUM(I236:AG236)</f>
        <v>206871703.33000001</v>
      </c>
      <c r="H236" s="17"/>
      <c r="I236" s="113">
        <f>I253</f>
        <v>29250110.409999982</v>
      </c>
      <c r="J236" s="49"/>
      <c r="K236" s="113">
        <f>K253</f>
        <v>28077794.860000014</v>
      </c>
      <c r="L236" s="49"/>
      <c r="M236" s="113">
        <f>M253</f>
        <v>12099650.620000007</v>
      </c>
      <c r="N236" s="49"/>
      <c r="O236" s="113">
        <f>O253</f>
        <v>44548072.690000013</v>
      </c>
      <c r="P236" s="49"/>
      <c r="Q236" s="113">
        <f>Q253</f>
        <v>56885094.450000003</v>
      </c>
      <c r="R236" s="49"/>
      <c r="S236" s="113">
        <f>S253</f>
        <v>28473067.789999984</v>
      </c>
      <c r="T236" s="49">
        <f>T253</f>
        <v>0</v>
      </c>
      <c r="U236" s="49"/>
      <c r="W236" s="49"/>
      <c r="AA236" s="117"/>
      <c r="AB236" s="117"/>
      <c r="AC236" s="49"/>
      <c r="AD236" s="49"/>
      <c r="AE236" s="113">
        <f t="shared" ref="AE236" si="22">AE253</f>
        <v>7537912.5099999988</v>
      </c>
      <c r="AF236" s="49"/>
    </row>
    <row r="237" spans="3:33" x14ac:dyDescent="0.2">
      <c r="C237" s="50" t="s">
        <v>16</v>
      </c>
      <c r="D237" s="10"/>
      <c r="E237" s="3"/>
      <c r="F237" s="17"/>
      <c r="G237" s="17"/>
      <c r="H237" s="17"/>
      <c r="I237" s="1"/>
      <c r="J237" s="4"/>
      <c r="K237" s="1"/>
      <c r="L237" s="4"/>
      <c r="M237" s="1"/>
      <c r="N237" s="1"/>
      <c r="O237" s="1"/>
      <c r="P237" s="1"/>
      <c r="Q237" s="1"/>
      <c r="R237" s="1"/>
      <c r="S237" s="1"/>
      <c r="T237" s="1"/>
      <c r="U237" s="1"/>
      <c r="W237" s="18"/>
      <c r="AA237" s="117"/>
      <c r="AB237" s="117"/>
      <c r="AC237" s="18"/>
      <c r="AD237" s="18"/>
      <c r="AE237" s="18"/>
      <c r="AF237" s="18"/>
    </row>
    <row r="238" spans="3:33" x14ac:dyDescent="0.2">
      <c r="C238" s="17"/>
      <c r="D238" s="17"/>
      <c r="E238" s="17"/>
      <c r="F238" s="17"/>
      <c r="G238" s="17"/>
      <c r="H238" s="17"/>
      <c r="I238" s="58"/>
      <c r="J238" s="17"/>
      <c r="K238" s="17"/>
      <c r="L238" s="17"/>
      <c r="M238" s="94"/>
      <c r="N238" s="92"/>
      <c r="O238" s="17"/>
      <c r="P238" s="92"/>
      <c r="Q238" s="17"/>
      <c r="R238" s="92"/>
      <c r="S238" s="17"/>
      <c r="T238" s="92"/>
      <c r="U238" s="92"/>
      <c r="W238" s="48"/>
      <c r="AA238" s="117"/>
      <c r="AB238" s="117"/>
      <c r="AC238" s="48"/>
      <c r="AD238" s="48"/>
    </row>
    <row r="239" spans="3:33" x14ac:dyDescent="0.2">
      <c r="C239" s="2" t="s">
        <v>2</v>
      </c>
      <c r="D239" s="10"/>
      <c r="E239" s="14" t="s">
        <v>6</v>
      </c>
      <c r="F239" s="97"/>
      <c r="G239" s="102">
        <f>SUM(I239:AG239)</f>
        <v>0.99999999999999989</v>
      </c>
      <c r="H239" s="17"/>
      <c r="I239" s="102">
        <f>1-SUM(K239:BF239)</f>
        <v>0.17800000000000005</v>
      </c>
      <c r="J239" s="104"/>
      <c r="K239" s="102">
        <f>ROUND(K233/$G$233,4)</f>
        <v>0.15809999999999999</v>
      </c>
      <c r="L239" s="104"/>
      <c r="M239" s="102">
        <f t="shared" ref="M239:S239" si="23">ROUND(M233/$G$233,4)</f>
        <v>5.9499999999999997E-2</v>
      </c>
      <c r="N239" s="104"/>
      <c r="O239" s="102">
        <f t="shared" si="23"/>
        <v>0.16089999999999999</v>
      </c>
      <c r="P239" s="104"/>
      <c r="Q239" s="102">
        <f t="shared" si="23"/>
        <v>0.28639999999999999</v>
      </c>
      <c r="R239" s="104"/>
      <c r="S239" s="102">
        <f t="shared" si="23"/>
        <v>0.1497</v>
      </c>
      <c r="T239" s="104"/>
      <c r="U239" s="104"/>
      <c r="W239" s="104"/>
      <c r="AA239" s="117"/>
      <c r="AB239" s="117"/>
      <c r="AC239" s="104"/>
      <c r="AD239" s="104"/>
      <c r="AE239" s="102">
        <f t="shared" ref="AE239" si="24">ROUND(AE233/$G$233,4)</f>
        <v>7.4000000000000003E-3</v>
      </c>
      <c r="AF239" s="104"/>
    </row>
    <row r="240" spans="3:33" x14ac:dyDescent="0.2">
      <c r="C240" s="3" t="s">
        <v>4</v>
      </c>
      <c r="D240" s="10"/>
      <c r="E240" s="14" t="s">
        <v>6</v>
      </c>
      <c r="F240" s="97"/>
      <c r="G240" s="102">
        <f>SUM(I240:AG240)</f>
        <v>1</v>
      </c>
      <c r="H240" s="17"/>
      <c r="I240" s="102">
        <f>1-SUM(K240:BF240)</f>
        <v>0.20350000000000001</v>
      </c>
      <c r="J240" s="104"/>
      <c r="K240" s="102">
        <f>ROUND(K234/$G$234,4)</f>
        <v>0.1651</v>
      </c>
      <c r="L240" s="104"/>
      <c r="M240" s="102">
        <f t="shared" ref="M240:S240" si="25">ROUND(M234/$G$234,4)</f>
        <v>5.0700000000000002E-2</v>
      </c>
      <c r="N240" s="104"/>
      <c r="O240" s="102">
        <f t="shared" si="25"/>
        <v>0.18490000000000001</v>
      </c>
      <c r="P240" s="104"/>
      <c r="Q240" s="102">
        <f t="shared" si="25"/>
        <v>0.22589999999999999</v>
      </c>
      <c r="R240" s="104"/>
      <c r="S240" s="102">
        <f t="shared" si="25"/>
        <v>0.1699</v>
      </c>
      <c r="T240" s="104"/>
      <c r="U240" s="104"/>
      <c r="W240" s="104"/>
      <c r="AA240" s="117"/>
      <c r="AB240" s="117"/>
      <c r="AC240" s="104"/>
      <c r="AD240" s="104"/>
      <c r="AE240" s="102">
        <f t="shared" ref="AE240" si="26">ROUND(AE234/$G$234,4)</f>
        <v>0</v>
      </c>
      <c r="AF240" s="104"/>
    </row>
    <row r="241" spans="1:58" x14ac:dyDescent="0.2">
      <c r="C241" s="2" t="s">
        <v>7</v>
      </c>
      <c r="D241" s="10"/>
      <c r="E241" s="14" t="s">
        <v>6</v>
      </c>
      <c r="F241" s="97"/>
      <c r="G241" s="102">
        <f>SUM(I241:AG241)</f>
        <v>0.99999999999999989</v>
      </c>
      <c r="H241" s="17"/>
      <c r="I241" s="102">
        <f>1-SUM(K241:BF241)</f>
        <v>0.18879999999999997</v>
      </c>
      <c r="J241" s="104"/>
      <c r="K241" s="102">
        <f>ROUND(K235/$G$235,4)</f>
        <v>0.15720000000000001</v>
      </c>
      <c r="L241" s="104"/>
      <c r="M241" s="102">
        <f t="shared" ref="M241:S241" si="27">ROUND(M235/$G$235,4)</f>
        <v>5.5100000000000003E-2</v>
      </c>
      <c r="N241" s="104"/>
      <c r="O241" s="102">
        <f t="shared" si="27"/>
        <v>0.14219999999999999</v>
      </c>
      <c r="P241" s="104"/>
      <c r="Q241" s="102">
        <f t="shared" si="27"/>
        <v>0.2392</v>
      </c>
      <c r="R241" s="104"/>
      <c r="S241" s="102">
        <f t="shared" si="27"/>
        <v>0.2104</v>
      </c>
      <c r="T241" s="104"/>
      <c r="U241" s="104"/>
      <c r="W241" s="104"/>
      <c r="AA241" s="117"/>
      <c r="AB241" s="117"/>
      <c r="AC241" s="104"/>
      <c r="AD241" s="104"/>
      <c r="AE241" s="102">
        <f t="shared" ref="AE241" si="28">ROUND(AE235/$G$235,4)</f>
        <v>7.1000000000000004E-3</v>
      </c>
      <c r="AF241" s="104"/>
    </row>
    <row r="242" spans="1:58" x14ac:dyDescent="0.2">
      <c r="C242" s="50" t="s">
        <v>415</v>
      </c>
      <c r="D242" s="10"/>
      <c r="E242" s="14" t="s">
        <v>6</v>
      </c>
      <c r="F242" s="97"/>
      <c r="G242" s="102">
        <f>SUM(I242:AG242)</f>
        <v>1</v>
      </c>
      <c r="H242" s="17"/>
      <c r="I242" s="102">
        <f>1-SUM(K242:BF242)</f>
        <v>0.14149999999999996</v>
      </c>
      <c r="J242" s="104"/>
      <c r="K242" s="102">
        <f>ROUND(K236/$G$236,4)</f>
        <v>0.13569999999999999</v>
      </c>
      <c r="L242" s="104"/>
      <c r="M242" s="102">
        <f t="shared" ref="M242:S242" si="29">ROUND(M236/$G$236,4)</f>
        <v>5.8500000000000003E-2</v>
      </c>
      <c r="N242" s="104"/>
      <c r="O242" s="102">
        <f t="shared" si="29"/>
        <v>0.21529999999999999</v>
      </c>
      <c r="P242" s="104"/>
      <c r="Q242" s="102">
        <f t="shared" si="29"/>
        <v>0.27500000000000002</v>
      </c>
      <c r="R242" s="104"/>
      <c r="S242" s="102">
        <f t="shared" si="29"/>
        <v>0.1376</v>
      </c>
      <c r="T242" s="104"/>
      <c r="U242" s="104"/>
      <c r="W242" s="104"/>
      <c r="AA242" s="117"/>
      <c r="AB242" s="117"/>
      <c r="AC242" s="104"/>
      <c r="AD242" s="104"/>
      <c r="AE242" s="102">
        <f t="shared" ref="AE242" si="30">ROUND(AE236/$G$236,4)</f>
        <v>3.6400000000000002E-2</v>
      </c>
      <c r="AF242" s="104"/>
    </row>
    <row r="243" spans="1:58" x14ac:dyDescent="0.2">
      <c r="C243" s="54"/>
      <c r="D243" s="10"/>
      <c r="E243" s="14"/>
      <c r="F243" s="17"/>
      <c r="G243" s="93"/>
      <c r="H243" s="17"/>
      <c r="I243" s="103"/>
      <c r="J243" s="103"/>
      <c r="K243" s="103"/>
      <c r="L243" s="103"/>
      <c r="M243" s="103"/>
      <c r="N243" s="104"/>
      <c r="O243" s="103"/>
      <c r="P243" s="104"/>
      <c r="Q243" s="103"/>
      <c r="R243" s="104"/>
      <c r="S243" s="103"/>
      <c r="T243" s="104"/>
      <c r="U243" s="104"/>
      <c r="W243" s="90"/>
      <c r="AA243" s="117"/>
      <c r="AB243" s="117"/>
      <c r="AC243" s="90"/>
      <c r="AD243" s="90"/>
      <c r="AE243" s="90"/>
      <c r="AF243" s="90"/>
    </row>
    <row r="244" spans="1:58" x14ac:dyDescent="0.2">
      <c r="C244" s="123" t="str">
        <f>C57</f>
        <v>Total Composite Factor for FY 2015</v>
      </c>
      <c r="D244" s="10"/>
      <c r="E244" s="14" t="s">
        <v>6</v>
      </c>
      <c r="F244" s="17"/>
      <c r="G244" s="102">
        <f>SUM(I244:AG244)</f>
        <v>0.99999999999999989</v>
      </c>
      <c r="H244" s="17"/>
      <c r="I244" s="102">
        <f>1-SUM(K244:BF244)</f>
        <v>0.17799999999999983</v>
      </c>
      <c r="J244" s="103"/>
      <c r="K244" s="102">
        <f>ROUND(AVERAGE(K239:K242),4)</f>
        <v>0.154</v>
      </c>
      <c r="L244" s="103"/>
      <c r="M244" s="102">
        <f>ROUND(AVERAGE(M239:M242),4)</f>
        <v>5.6000000000000001E-2</v>
      </c>
      <c r="N244" s="104"/>
      <c r="O244" s="102">
        <f>ROUND(AVERAGE(O239:O242),4)</f>
        <v>0.17580000000000001</v>
      </c>
      <c r="P244" s="104"/>
      <c r="Q244" s="102">
        <f>ROUND(AVERAGE(Q239:Q242),4)</f>
        <v>0.25659999999999999</v>
      </c>
      <c r="R244" s="104"/>
      <c r="S244" s="102">
        <f>ROUND(AVERAGE(S239:S242),4)</f>
        <v>0.16689999999999999</v>
      </c>
      <c r="T244" s="104"/>
      <c r="U244" s="104"/>
      <c r="V244" s="111"/>
      <c r="W244" s="104"/>
      <c r="AA244" s="117"/>
      <c r="AB244" s="117"/>
      <c r="AC244" s="104"/>
      <c r="AD244" s="104"/>
      <c r="AE244" s="102">
        <f>ROUND(AVERAGE(AE239:AE242),4)</f>
        <v>1.2699999999999999E-2</v>
      </c>
      <c r="AF244" s="104"/>
    </row>
    <row r="247" spans="1:58" ht="20.25" x14ac:dyDescent="0.3">
      <c r="A247" s="363" t="s">
        <v>414</v>
      </c>
      <c r="B247" s="364"/>
      <c r="C247" s="364"/>
      <c r="D247" s="364"/>
      <c r="E247" s="364"/>
      <c r="F247" s="364"/>
      <c r="G247" s="364"/>
      <c r="H247" s="364"/>
      <c r="I247" s="364"/>
      <c r="J247" s="364"/>
      <c r="K247" s="364"/>
      <c r="L247" s="364"/>
      <c r="M247" s="364"/>
      <c r="N247" s="364"/>
      <c r="O247" s="364"/>
      <c r="P247" s="364"/>
      <c r="Q247" s="364"/>
      <c r="R247" s="364"/>
      <c r="S247" s="364"/>
      <c r="T247" s="353"/>
      <c r="U247" s="353"/>
      <c r="V247" s="353"/>
      <c r="W247" s="353"/>
      <c r="X247" s="353"/>
      <c r="Y247" s="353"/>
      <c r="Z247" s="353"/>
      <c r="AA247" s="353"/>
      <c r="AB247" s="353"/>
      <c r="AC247" s="353"/>
      <c r="AD247" s="353"/>
      <c r="AE247" s="353"/>
      <c r="AF247" s="353"/>
      <c r="AG247" s="354"/>
      <c r="AH247" s="5"/>
    </row>
    <row r="248" spans="1:58" x14ac:dyDescent="0.2">
      <c r="A248" s="306"/>
      <c r="C248" s="355" t="s">
        <v>80</v>
      </c>
    </row>
    <row r="249" spans="1:58" ht="38.25" x14ac:dyDescent="0.2">
      <c r="A249" s="45" t="s">
        <v>8</v>
      </c>
      <c r="C249" s="356"/>
      <c r="G249" s="7" t="s">
        <v>1</v>
      </c>
      <c r="H249" s="6"/>
      <c r="I249" s="83" t="s">
        <v>13</v>
      </c>
      <c r="J249" s="6"/>
      <c r="K249" s="7" t="s">
        <v>10</v>
      </c>
      <c r="L249" s="6"/>
      <c r="M249" s="7" t="s">
        <v>11</v>
      </c>
      <c r="N249" s="20"/>
      <c r="O249" s="7" t="s">
        <v>12</v>
      </c>
      <c r="P249" s="20"/>
      <c r="Q249" s="112" t="s">
        <v>83</v>
      </c>
      <c r="R249" s="20"/>
      <c r="S249" s="7" t="s">
        <v>82</v>
      </c>
      <c r="T249" s="20"/>
      <c r="U249" s="7" t="s">
        <v>14</v>
      </c>
      <c r="V249" s="20"/>
      <c r="W249" s="9" t="s">
        <v>84</v>
      </c>
      <c r="X249" s="20"/>
      <c r="Y249" s="7" t="s">
        <v>86</v>
      </c>
      <c r="Z249" s="6"/>
      <c r="AA249" s="9" t="s">
        <v>125</v>
      </c>
      <c r="AB249" s="9"/>
      <c r="AC249" s="9" t="s">
        <v>87</v>
      </c>
      <c r="AD249" s="9"/>
      <c r="AE249" s="9" t="s">
        <v>89</v>
      </c>
      <c r="AF249" s="139"/>
      <c r="AG249" s="6" t="s">
        <v>135</v>
      </c>
      <c r="AH249" s="6"/>
      <c r="AI249" s="9" t="s">
        <v>123</v>
      </c>
      <c r="AJ249" s="9"/>
      <c r="AK249" s="9" t="s">
        <v>124</v>
      </c>
      <c r="AL249" s="9"/>
      <c r="AM249" s="9" t="s">
        <v>126</v>
      </c>
      <c r="AN249" s="6"/>
      <c r="AO249" s="9" t="s">
        <v>88</v>
      </c>
      <c r="AP249" s="20"/>
      <c r="AQ249" s="9" t="s">
        <v>127</v>
      </c>
      <c r="AR249" s="6"/>
      <c r="AS249" s="9">
        <v>239</v>
      </c>
      <c r="AT249" s="6"/>
      <c r="AU249" s="9">
        <v>240</v>
      </c>
      <c r="AV249" s="20"/>
      <c r="AW249" s="9" t="s">
        <v>128</v>
      </c>
      <c r="AX249" s="9"/>
      <c r="AY249" s="9" t="s">
        <v>129</v>
      </c>
      <c r="AZ249" s="6"/>
      <c r="BA249" s="20"/>
      <c r="BB249" s="9" t="s">
        <v>130</v>
      </c>
      <c r="BC249" s="6"/>
      <c r="BD249" s="9" t="s">
        <v>131</v>
      </c>
      <c r="BE249" s="6"/>
      <c r="BF249" s="9" t="s">
        <v>132</v>
      </c>
    </row>
    <row r="250" spans="1:58" x14ac:dyDescent="0.2">
      <c r="A250" s="306"/>
      <c r="B250" s="3"/>
      <c r="C250" s="2" t="s">
        <v>2</v>
      </c>
      <c r="E250" s="3" t="s">
        <v>3</v>
      </c>
      <c r="G250" s="84">
        <f>SUM(I250:AG250)</f>
        <v>8527002426.3599997</v>
      </c>
      <c r="H250" s="49"/>
      <c r="I250" s="113">
        <f>I10</f>
        <v>588658574.24000001</v>
      </c>
      <c r="J250" s="8"/>
      <c r="K250" s="113">
        <f>K10</f>
        <v>522666021.57000005</v>
      </c>
      <c r="L250" s="8"/>
      <c r="M250" s="113">
        <f>M10</f>
        <v>196802776</v>
      </c>
      <c r="N250" s="49"/>
      <c r="O250" s="113">
        <f>O10</f>
        <v>532048476.17000002</v>
      </c>
      <c r="P250" s="49"/>
      <c r="Q250" s="113">
        <f>Q10</f>
        <v>946876781.34000003</v>
      </c>
      <c r="R250" s="49"/>
      <c r="S250" s="113">
        <f t="shared" ref="S250:W252" si="31">S10</f>
        <v>494873746.19999999</v>
      </c>
      <c r="T250" s="49">
        <f t="shared" si="31"/>
        <v>0</v>
      </c>
      <c r="U250" s="113">
        <f t="shared" si="31"/>
        <v>3393212542.6799998</v>
      </c>
      <c r="V250" s="49">
        <f t="shared" si="31"/>
        <v>0</v>
      </c>
      <c r="W250" s="113">
        <f t="shared" si="31"/>
        <v>1757100641.1300001</v>
      </c>
      <c r="X250" s="49"/>
      <c r="Y250" s="113">
        <f t="shared" ref="Y250:BF250" si="32">Y10</f>
        <v>36175456.430000007</v>
      </c>
      <c r="Z250" s="8">
        <f t="shared" si="32"/>
        <v>0</v>
      </c>
      <c r="AA250" s="113">
        <f t="shared" si="32"/>
        <v>8579773.9499999993</v>
      </c>
      <c r="AB250" s="113">
        <f t="shared" si="32"/>
        <v>0</v>
      </c>
      <c r="AC250" s="113">
        <f t="shared" si="32"/>
        <v>14517166.09</v>
      </c>
      <c r="AD250" s="113">
        <f t="shared" si="32"/>
        <v>0</v>
      </c>
      <c r="AE250" s="113">
        <f t="shared" si="32"/>
        <v>24532138.91</v>
      </c>
      <c r="AF250" s="49">
        <f t="shared" si="32"/>
        <v>0</v>
      </c>
      <c r="AG250" s="8">
        <f t="shared" si="32"/>
        <v>10958331.65</v>
      </c>
      <c r="AH250" s="8">
        <f t="shared" si="32"/>
        <v>0</v>
      </c>
      <c r="AI250" s="113">
        <f t="shared" si="32"/>
        <v>0</v>
      </c>
      <c r="AJ250" s="113">
        <f t="shared" si="32"/>
        <v>0</v>
      </c>
      <c r="AK250" s="113">
        <f t="shared" si="32"/>
        <v>284890.77</v>
      </c>
      <c r="AL250" s="113">
        <f t="shared" si="32"/>
        <v>0</v>
      </c>
      <c r="AM250" s="113">
        <f t="shared" si="32"/>
        <v>6399991.3600000003</v>
      </c>
      <c r="AN250" s="8">
        <f t="shared" si="32"/>
        <v>0</v>
      </c>
      <c r="AO250" s="113">
        <f t="shared" si="32"/>
        <v>3667277.2800000003</v>
      </c>
      <c r="AP250" s="49">
        <f t="shared" si="32"/>
        <v>0</v>
      </c>
      <c r="AQ250" s="113">
        <f t="shared" si="32"/>
        <v>0</v>
      </c>
      <c r="AR250" s="4">
        <f t="shared" si="32"/>
        <v>0</v>
      </c>
      <c r="AS250" s="113">
        <f t="shared" si="32"/>
        <v>0</v>
      </c>
      <c r="AT250" s="8">
        <f t="shared" si="32"/>
        <v>0</v>
      </c>
      <c r="AU250" s="113">
        <f t="shared" si="32"/>
        <v>0</v>
      </c>
      <c r="AV250" s="49">
        <f t="shared" si="32"/>
        <v>0</v>
      </c>
      <c r="AW250" s="113">
        <f t="shared" si="32"/>
        <v>52368.66</v>
      </c>
      <c r="AX250" s="113">
        <f t="shared" si="32"/>
        <v>0</v>
      </c>
      <c r="AY250" s="113">
        <f t="shared" si="32"/>
        <v>0</v>
      </c>
      <c r="AZ250" s="8">
        <f t="shared" si="32"/>
        <v>0</v>
      </c>
      <c r="BA250" s="49">
        <f t="shared" si="32"/>
        <v>0</v>
      </c>
      <c r="BB250" s="113">
        <f t="shared" si="32"/>
        <v>553803.57999999996</v>
      </c>
      <c r="BC250" s="4">
        <f t="shared" si="32"/>
        <v>0</v>
      </c>
      <c r="BD250" s="113">
        <f t="shared" si="32"/>
        <v>0</v>
      </c>
      <c r="BE250" s="8">
        <f t="shared" si="32"/>
        <v>0</v>
      </c>
      <c r="BF250" s="113">
        <f t="shared" si="32"/>
        <v>0</v>
      </c>
    </row>
    <row r="251" spans="1:58" x14ac:dyDescent="0.2">
      <c r="A251" s="306"/>
      <c r="B251" s="3"/>
      <c r="C251" s="3" t="s">
        <v>4</v>
      </c>
      <c r="E251" s="3" t="s">
        <v>5</v>
      </c>
      <c r="G251" s="84">
        <f t="shared" ref="G251:G253" si="33">SUM(I251:AG251)</f>
        <v>3061940.916666667</v>
      </c>
      <c r="H251" s="49"/>
      <c r="I251" s="114">
        <f>I11</f>
        <v>299552.75</v>
      </c>
      <c r="J251" s="8"/>
      <c r="K251" s="113">
        <f>K11</f>
        <v>243083.75</v>
      </c>
      <c r="L251" s="8"/>
      <c r="M251" s="113">
        <f>M11</f>
        <v>74692.75</v>
      </c>
      <c r="N251" s="49"/>
      <c r="O251" s="113">
        <f>O11</f>
        <v>272260.41666666669</v>
      </c>
      <c r="P251" s="49"/>
      <c r="Q251" s="113">
        <f>Q11</f>
        <v>332626.25</v>
      </c>
      <c r="R251" s="49"/>
      <c r="S251" s="113">
        <f t="shared" si="31"/>
        <v>250173.33333333334</v>
      </c>
      <c r="T251" s="49">
        <f t="shared" si="31"/>
        <v>0</v>
      </c>
      <c r="U251" s="113">
        <f t="shared" si="31"/>
        <v>1588125.9166666667</v>
      </c>
      <c r="V251" s="49">
        <f t="shared" si="31"/>
        <v>0</v>
      </c>
      <c r="W251" s="113">
        <f t="shared" si="31"/>
        <v>346.75</v>
      </c>
      <c r="X251" s="49"/>
      <c r="Y251" s="113">
        <f t="shared" ref="Y251:BF251" si="34">Y11</f>
        <v>1064</v>
      </c>
      <c r="Z251" s="8">
        <f t="shared" si="34"/>
        <v>0</v>
      </c>
      <c r="AA251" s="113">
        <f t="shared" si="34"/>
        <v>0</v>
      </c>
      <c r="AB251" s="113">
        <f t="shared" si="34"/>
        <v>0</v>
      </c>
      <c r="AC251" s="113">
        <f t="shared" si="34"/>
        <v>0</v>
      </c>
      <c r="AD251" s="113">
        <f t="shared" si="34"/>
        <v>0</v>
      </c>
      <c r="AE251" s="113">
        <f t="shared" si="34"/>
        <v>15</v>
      </c>
      <c r="AF251" s="49">
        <f t="shared" si="34"/>
        <v>0</v>
      </c>
      <c r="AG251" s="8">
        <f t="shared" si="34"/>
        <v>0</v>
      </c>
      <c r="AH251" s="8">
        <f t="shared" si="34"/>
        <v>0</v>
      </c>
      <c r="AI251" s="113">
        <f t="shared" si="34"/>
        <v>0</v>
      </c>
      <c r="AJ251" s="113">
        <f t="shared" si="34"/>
        <v>0</v>
      </c>
      <c r="AK251" s="113">
        <f t="shared" si="34"/>
        <v>0</v>
      </c>
      <c r="AL251" s="113">
        <f t="shared" si="34"/>
        <v>0</v>
      </c>
      <c r="AM251" s="113">
        <f t="shared" si="34"/>
        <v>0</v>
      </c>
      <c r="AN251" s="8">
        <f t="shared" si="34"/>
        <v>0</v>
      </c>
      <c r="AO251" s="113">
        <f t="shared" si="34"/>
        <v>0</v>
      </c>
      <c r="AP251" s="49">
        <f t="shared" si="34"/>
        <v>0</v>
      </c>
      <c r="AQ251" s="113">
        <f t="shared" si="34"/>
        <v>0</v>
      </c>
      <c r="AR251" s="4">
        <f t="shared" si="34"/>
        <v>0</v>
      </c>
      <c r="AS251" s="113">
        <f t="shared" si="34"/>
        <v>0</v>
      </c>
      <c r="AT251" s="8">
        <f t="shared" si="34"/>
        <v>0</v>
      </c>
      <c r="AU251" s="113">
        <f t="shared" si="34"/>
        <v>0</v>
      </c>
      <c r="AV251" s="49">
        <f t="shared" si="34"/>
        <v>0</v>
      </c>
      <c r="AW251" s="113">
        <f t="shared" si="34"/>
        <v>0</v>
      </c>
      <c r="AX251" s="113">
        <f t="shared" si="34"/>
        <v>0</v>
      </c>
      <c r="AY251" s="113">
        <f t="shared" si="34"/>
        <v>0</v>
      </c>
      <c r="AZ251" s="8">
        <f t="shared" si="34"/>
        <v>0</v>
      </c>
      <c r="BA251" s="49">
        <f t="shared" si="34"/>
        <v>0</v>
      </c>
      <c r="BB251" s="113">
        <f t="shared" si="34"/>
        <v>0</v>
      </c>
      <c r="BC251" s="4">
        <f t="shared" si="34"/>
        <v>0</v>
      </c>
      <c r="BD251" s="113">
        <f t="shared" si="34"/>
        <v>0</v>
      </c>
      <c r="BE251" s="8">
        <f t="shared" si="34"/>
        <v>0</v>
      </c>
      <c r="BF251" s="113">
        <f t="shared" si="34"/>
        <v>0</v>
      </c>
    </row>
    <row r="252" spans="1:58" x14ac:dyDescent="0.2">
      <c r="A252" s="306"/>
      <c r="B252" s="3"/>
      <c r="C252" s="2" t="s">
        <v>15</v>
      </c>
      <c r="E252" s="3" t="s">
        <v>3</v>
      </c>
      <c r="G252" s="84">
        <f t="shared" si="33"/>
        <v>373655055.74000001</v>
      </c>
      <c r="H252" s="49"/>
      <c r="I252" s="114">
        <f>I12</f>
        <v>30013523.280000005</v>
      </c>
      <c r="J252" s="8"/>
      <c r="K252" s="113">
        <f>K12</f>
        <v>24974685.020000003</v>
      </c>
      <c r="L252" s="8"/>
      <c r="M252" s="114">
        <f>M12</f>
        <v>8753909.0500000007</v>
      </c>
      <c r="N252" s="49"/>
      <c r="O252" s="114">
        <f>O12</f>
        <v>22587102.66</v>
      </c>
      <c r="P252" s="49"/>
      <c r="Q252" s="113">
        <f>Q12</f>
        <v>38004205.259999998</v>
      </c>
      <c r="R252" s="49"/>
      <c r="S252" s="113">
        <f t="shared" si="31"/>
        <v>33429741.43</v>
      </c>
      <c r="T252" s="49">
        <f t="shared" si="31"/>
        <v>0</v>
      </c>
      <c r="U252" s="113">
        <f t="shared" si="31"/>
        <v>109826806.36999999</v>
      </c>
      <c r="V252" s="49">
        <f t="shared" si="31"/>
        <v>0</v>
      </c>
      <c r="W252" s="113">
        <f t="shared" si="31"/>
        <v>81576652.510000005</v>
      </c>
      <c r="X252" s="49"/>
      <c r="Y252" s="114">
        <f t="shared" ref="Y252:BF252" si="35">Y12</f>
        <v>24247740.049999997</v>
      </c>
      <c r="Z252" s="8">
        <f t="shared" si="35"/>
        <v>0</v>
      </c>
      <c r="AA252" s="113">
        <f t="shared" si="35"/>
        <v>512520.44</v>
      </c>
      <c r="AB252" s="113">
        <f t="shared" si="35"/>
        <v>0</v>
      </c>
      <c r="AC252" s="113">
        <f t="shared" si="35"/>
        <v>758106.87</v>
      </c>
      <c r="AD252" s="113">
        <f t="shared" si="35"/>
        <v>0</v>
      </c>
      <c r="AE252" s="113">
        <f t="shared" si="35"/>
        <v>1132881.9500000002</v>
      </c>
      <c r="AF252" s="49">
        <f t="shared" si="35"/>
        <v>0</v>
      </c>
      <c r="AG252" s="8">
        <f t="shared" si="35"/>
        <v>-2162819.1500000004</v>
      </c>
      <c r="AH252" s="8">
        <f t="shared" si="35"/>
        <v>0</v>
      </c>
      <c r="AI252" s="113">
        <f t="shared" si="35"/>
        <v>4321.55</v>
      </c>
      <c r="AJ252" s="113">
        <f t="shared" si="35"/>
        <v>0</v>
      </c>
      <c r="AK252" s="113">
        <f t="shared" si="35"/>
        <v>306551.07</v>
      </c>
      <c r="AL252" s="113">
        <f t="shared" si="35"/>
        <v>0</v>
      </c>
      <c r="AM252" s="113">
        <f t="shared" si="35"/>
        <v>19762.07</v>
      </c>
      <c r="AN252" s="8">
        <f t="shared" si="35"/>
        <v>0</v>
      </c>
      <c r="AO252" s="113">
        <f t="shared" si="35"/>
        <v>-2536026.14</v>
      </c>
      <c r="AP252" s="49">
        <f t="shared" si="35"/>
        <v>0</v>
      </c>
      <c r="AQ252" s="113">
        <f t="shared" si="35"/>
        <v>434.9</v>
      </c>
      <c r="AR252" s="4">
        <f t="shared" si="35"/>
        <v>0</v>
      </c>
      <c r="AS252" s="113">
        <f t="shared" si="35"/>
        <v>0</v>
      </c>
      <c r="AT252" s="8">
        <f t="shared" si="35"/>
        <v>0</v>
      </c>
      <c r="AU252" s="113">
        <f t="shared" si="35"/>
        <v>0</v>
      </c>
      <c r="AV252" s="49">
        <f t="shared" si="35"/>
        <v>0</v>
      </c>
      <c r="AW252" s="113">
        <f t="shared" si="35"/>
        <v>22135.67</v>
      </c>
      <c r="AX252" s="113">
        <f t="shared" si="35"/>
        <v>0</v>
      </c>
      <c r="AY252" s="113">
        <f t="shared" si="35"/>
        <v>2708.39</v>
      </c>
      <c r="AZ252" s="8">
        <f t="shared" si="35"/>
        <v>0</v>
      </c>
      <c r="BA252" s="49">
        <f t="shared" si="35"/>
        <v>0</v>
      </c>
      <c r="BB252" s="113">
        <f t="shared" si="35"/>
        <v>13085.77</v>
      </c>
      <c r="BC252" s="4">
        <f t="shared" si="35"/>
        <v>0</v>
      </c>
      <c r="BD252" s="113">
        <f t="shared" si="35"/>
        <v>4207.57</v>
      </c>
      <c r="BE252" s="8">
        <f t="shared" si="35"/>
        <v>0</v>
      </c>
      <c r="BF252" s="113">
        <f t="shared" si="35"/>
        <v>0</v>
      </c>
    </row>
    <row r="253" spans="1:58" x14ac:dyDescent="0.2">
      <c r="A253" s="306"/>
      <c r="B253" s="3"/>
      <c r="C253" s="50" t="s">
        <v>415</v>
      </c>
      <c r="E253" s="3" t="s">
        <v>3</v>
      </c>
      <c r="G253" s="84">
        <f t="shared" si="33"/>
        <v>613379730.16999996</v>
      </c>
      <c r="H253" s="49"/>
      <c r="I253" s="114">
        <v>29250110.409999982</v>
      </c>
      <c r="J253" s="8"/>
      <c r="K253" s="113">
        <v>28077794.860000014</v>
      </c>
      <c r="L253" s="8"/>
      <c r="M253" s="114">
        <v>12099650.620000007</v>
      </c>
      <c r="N253" s="49"/>
      <c r="O253" s="114">
        <v>44548072.690000013</v>
      </c>
      <c r="P253" s="49"/>
      <c r="Q253" s="113">
        <v>56885094.450000003</v>
      </c>
      <c r="R253" s="49"/>
      <c r="S253" s="113">
        <v>28473067.789999984</v>
      </c>
      <c r="T253" s="49"/>
      <c r="U253" s="113">
        <v>187264856.61999995</v>
      </c>
      <c r="V253" s="49"/>
      <c r="W253" s="113">
        <v>172819182.22</v>
      </c>
      <c r="X253" s="49"/>
      <c r="Y253" s="114">
        <v>37110999.120000049</v>
      </c>
      <c r="Z253" s="8"/>
      <c r="AA253" s="113">
        <v>413177.08000000007</v>
      </c>
      <c r="AB253" s="113"/>
      <c r="AC253" s="113">
        <v>244343.53999999998</v>
      </c>
      <c r="AD253" s="113"/>
      <c r="AE253" s="113">
        <v>7537912.5099999988</v>
      </c>
      <c r="AF253" s="49"/>
      <c r="AG253" s="8">
        <f>SUM(AI253:BF253)</f>
        <v>8655468.2599999979</v>
      </c>
      <c r="AH253" s="8"/>
      <c r="AI253" s="113">
        <v>-7898.3600000000024</v>
      </c>
      <c r="AJ253" s="113"/>
      <c r="AK253" s="113">
        <v>4329949.8400000008</v>
      </c>
      <c r="AL253" s="113"/>
      <c r="AM253" s="113">
        <v>1042839.6300000001</v>
      </c>
      <c r="AN253" s="8"/>
      <c r="AO253" s="113">
        <v>3091336.1799999992</v>
      </c>
      <c r="AP253" s="49"/>
      <c r="AQ253" s="113">
        <v>-434.9</v>
      </c>
      <c r="AR253" s="4"/>
      <c r="AS253" s="113">
        <v>0</v>
      </c>
      <c r="AT253" s="8"/>
      <c r="AU253" s="113">
        <v>0</v>
      </c>
      <c r="AV253" s="49"/>
      <c r="AW253" s="113">
        <v>-26340.720000000001</v>
      </c>
      <c r="AX253" s="113"/>
      <c r="AY253" s="113">
        <v>-2708.39</v>
      </c>
      <c r="AZ253" s="8"/>
      <c r="BA253" s="49"/>
      <c r="BB253" s="113">
        <v>2443.5500000000002</v>
      </c>
      <c r="BC253" s="4"/>
      <c r="BD253" s="113">
        <v>226281.43000000002</v>
      </c>
      <c r="BE253" s="8"/>
      <c r="BF253" s="113">
        <v>0</v>
      </c>
    </row>
    <row r="254" spans="1:58" x14ac:dyDescent="0.2">
      <c r="A254" s="306"/>
      <c r="B254" s="3"/>
      <c r="C254" s="50" t="s">
        <v>16</v>
      </c>
    </row>
    <row r="255" spans="1:58" x14ac:dyDescent="0.2">
      <c r="A255" s="306"/>
      <c r="B255" s="3"/>
      <c r="C255" s="50"/>
    </row>
    <row r="256" spans="1:58" x14ac:dyDescent="0.2">
      <c r="A256" s="52" t="s">
        <v>9</v>
      </c>
      <c r="B256" s="47"/>
    </row>
    <row r="257" spans="1:58" x14ac:dyDescent="0.2">
      <c r="A257" s="306"/>
      <c r="B257" s="14"/>
      <c r="C257" s="2" t="s">
        <v>2</v>
      </c>
      <c r="E257" s="14" t="s">
        <v>6</v>
      </c>
      <c r="G257" s="102">
        <f>SUM(I257:AG257)</f>
        <v>0.99999999999999989</v>
      </c>
      <c r="I257" s="102">
        <f>1-SUM(K257:AG257)</f>
        <v>6.910000000000005E-2</v>
      </c>
      <c r="J257" s="357"/>
      <c r="K257" s="102">
        <f>ROUND(K250/$G$250,4)</f>
        <v>6.13E-2</v>
      </c>
      <c r="L257" s="87"/>
      <c r="M257" s="102">
        <f>ROUND(M250/$G$250,4)</f>
        <v>2.3099999999999999E-2</v>
      </c>
      <c r="N257" s="87"/>
      <c r="O257" s="102">
        <f>ROUND(O250/$G$250,4)</f>
        <v>6.2399999999999997E-2</v>
      </c>
      <c r="P257" s="87"/>
      <c r="Q257" s="102">
        <f>ROUND(Q250/$G$250,4)</f>
        <v>0.111</v>
      </c>
      <c r="R257" s="87"/>
      <c r="S257" s="102">
        <f>ROUND(S250/$G$250,4)</f>
        <v>5.8000000000000003E-2</v>
      </c>
      <c r="T257" s="87">
        <f>ROUND(T250/$G$250,4)</f>
        <v>0</v>
      </c>
      <c r="U257" s="102">
        <f>ROUND(U250/$G$250,4)</f>
        <v>0.39789999999999998</v>
      </c>
      <c r="V257" s="87">
        <f>ROUND(V250/$G$250,4)</f>
        <v>0</v>
      </c>
      <c r="W257" s="102">
        <f>ROUND(W250/$G$250,4)</f>
        <v>0.20610000000000001</v>
      </c>
      <c r="X257" s="87"/>
      <c r="Y257" s="102">
        <f>ROUND(Y250/$G$250,4)</f>
        <v>4.1999999999999997E-3</v>
      </c>
      <c r="Z257" s="87"/>
      <c r="AA257" s="102">
        <f>ROUND(AA250/$G$250,4)</f>
        <v>1E-3</v>
      </c>
      <c r="AB257" s="87"/>
      <c r="AC257" s="102">
        <f>ROUND(AC250/$G$250,4)</f>
        <v>1.6999999999999999E-3</v>
      </c>
      <c r="AD257" s="87"/>
      <c r="AE257" s="102">
        <f>ROUND(AE250/$G$250,4)</f>
        <v>2.8999999999999998E-3</v>
      </c>
      <c r="AF257" s="87"/>
      <c r="AG257" s="102">
        <f>ROUND(AG250/$G$250,4)</f>
        <v>1.2999999999999999E-3</v>
      </c>
      <c r="AH257" s="87"/>
      <c r="AI257" s="102">
        <f>ROUND(AI250/$G$250,4)</f>
        <v>0</v>
      </c>
      <c r="AJ257" s="87"/>
      <c r="AK257" s="102">
        <f>ROUND(AK250/$G$250,4)</f>
        <v>0</v>
      </c>
      <c r="AL257" s="87"/>
      <c r="AM257" s="102">
        <f>ROUND(AM250/$G$250,4)</f>
        <v>8.0000000000000004E-4</v>
      </c>
      <c r="AN257" s="87"/>
      <c r="AO257" s="102">
        <f>ROUND(AO250/$G$250,4)</f>
        <v>4.0000000000000002E-4</v>
      </c>
      <c r="AP257" s="87">
        <f>ROUND(AP250/$G$250,4)</f>
        <v>0</v>
      </c>
      <c r="AQ257" s="102">
        <f>ROUND(AQ250/$G$250,4)</f>
        <v>0</v>
      </c>
      <c r="AR257" s="87">
        <f>ROUND(AR250/$G$250,4)</f>
        <v>0</v>
      </c>
      <c r="AS257" s="102">
        <f>ROUND(AS250/$G$250,4)</f>
        <v>0</v>
      </c>
      <c r="AT257" s="87"/>
      <c r="AU257" s="102">
        <f>ROUND(AU250/$G$250,4)</f>
        <v>0</v>
      </c>
      <c r="AV257" s="87"/>
      <c r="AW257" s="102">
        <f>ROUND(AW250/$G$250,4)</f>
        <v>0</v>
      </c>
      <c r="AX257" s="87">
        <f>ROUND(AX250/$G$250,4)</f>
        <v>0</v>
      </c>
      <c r="AY257" s="102">
        <f>ROUND(AY250/$G$250,4)</f>
        <v>0</v>
      </c>
      <c r="AZ257" s="87"/>
      <c r="BA257" s="87"/>
      <c r="BB257" s="102">
        <f>ROUND(BB250/$G$250,4)</f>
        <v>1E-4</v>
      </c>
      <c r="BC257" s="87">
        <f>ROUND(BC250/$G$250,4)</f>
        <v>0</v>
      </c>
      <c r="BD257" s="102">
        <f>ROUND(BD250/$G$250,4)</f>
        <v>0</v>
      </c>
      <c r="BE257" s="87"/>
      <c r="BF257" s="102">
        <f>ROUND(BF250/$G$250,4)</f>
        <v>0</v>
      </c>
    </row>
    <row r="258" spans="1:58" x14ac:dyDescent="0.2">
      <c r="A258" s="306"/>
      <c r="B258" s="14"/>
      <c r="C258" s="3" t="s">
        <v>4</v>
      </c>
      <c r="E258" s="14" t="s">
        <v>6</v>
      </c>
      <c r="G258" s="102">
        <f t="shared" ref="G258:G262" si="36">SUM(I258:AG258)</f>
        <v>1</v>
      </c>
      <c r="I258" s="102">
        <f t="shared" ref="I258:I262" si="37">1-SUM(K258:AG258)</f>
        <v>9.7899999999999987E-2</v>
      </c>
      <c r="J258" s="357"/>
      <c r="K258" s="102">
        <f>ROUND(K251/$G$251,4)</f>
        <v>7.9399999999999998E-2</v>
      </c>
      <c r="L258" s="87"/>
      <c r="M258" s="102">
        <f>ROUND(M251/$G$251,4)</f>
        <v>2.4400000000000002E-2</v>
      </c>
      <c r="N258" s="87"/>
      <c r="O258" s="102">
        <f>ROUND(O251/$G$251,4)</f>
        <v>8.8900000000000007E-2</v>
      </c>
      <c r="P258" s="87"/>
      <c r="Q258" s="102">
        <f>ROUND(Q251/$G$251,4)</f>
        <v>0.1086</v>
      </c>
      <c r="R258" s="87"/>
      <c r="S258" s="102">
        <f>ROUND(S251/$G$251,4)</f>
        <v>8.1699999999999995E-2</v>
      </c>
      <c r="T258" s="87">
        <f>ROUND(T251/$G$251,4)</f>
        <v>0</v>
      </c>
      <c r="U258" s="102">
        <f>ROUND(U251/$G$251,4)</f>
        <v>0.51870000000000005</v>
      </c>
      <c r="V258" s="87">
        <f>ROUND(V251/$G$251,4)</f>
        <v>0</v>
      </c>
      <c r="W258" s="102">
        <f>ROUND(W251/$G$251,4)</f>
        <v>1E-4</v>
      </c>
      <c r="X258" s="87"/>
      <c r="Y258" s="102">
        <f>ROUND(Y251/$G$251,4)</f>
        <v>2.9999999999999997E-4</v>
      </c>
      <c r="Z258" s="87"/>
      <c r="AA258" s="102">
        <f>ROUND(AA251/$G$251,4)</f>
        <v>0</v>
      </c>
      <c r="AB258" s="87"/>
      <c r="AC258" s="102">
        <f>ROUND(AC251/$G$251,4)</f>
        <v>0</v>
      </c>
      <c r="AD258" s="87"/>
      <c r="AE258" s="102">
        <f>ROUND(AE251/$G$251,4)</f>
        <v>0</v>
      </c>
      <c r="AF258" s="87"/>
      <c r="AG258" s="102">
        <f>ROUND(AG251/$G$251,4)</f>
        <v>0</v>
      </c>
      <c r="AH258" s="87"/>
      <c r="AI258" s="102">
        <f>ROUND(AI251/$G$251,4)</f>
        <v>0</v>
      </c>
      <c r="AJ258" s="87"/>
      <c r="AK258" s="102">
        <f>ROUND(AK251/$G$251,4)</f>
        <v>0</v>
      </c>
      <c r="AL258" s="87"/>
      <c r="AM258" s="102">
        <f>ROUND(AM251/$G$251,4)</f>
        <v>0</v>
      </c>
      <c r="AN258" s="87"/>
      <c r="AO258" s="102">
        <f>ROUND(AO251/$G$251,4)</f>
        <v>0</v>
      </c>
      <c r="AP258" s="87">
        <f>ROUND(AP251/$G$251,4)</f>
        <v>0</v>
      </c>
      <c r="AQ258" s="102">
        <f>ROUND(AQ251/$G$251,4)</f>
        <v>0</v>
      </c>
      <c r="AR258" s="87">
        <f>ROUND(AR251/$G$251,4)</f>
        <v>0</v>
      </c>
      <c r="AS258" s="102">
        <f>ROUND(AS251/$G$251,4)</f>
        <v>0</v>
      </c>
      <c r="AT258" s="87"/>
      <c r="AU258" s="102">
        <f>ROUND(AU251/$G$251,4)</f>
        <v>0</v>
      </c>
      <c r="AV258" s="87"/>
      <c r="AW258" s="102">
        <f>ROUND(AW251/$G$251,4)</f>
        <v>0</v>
      </c>
      <c r="AX258" s="87">
        <f>ROUND(AX251/$G$251,4)</f>
        <v>0</v>
      </c>
      <c r="AY258" s="102">
        <f>ROUND(AY251/$G$251,4)</f>
        <v>0</v>
      </c>
      <c r="AZ258" s="87"/>
      <c r="BA258" s="87"/>
      <c r="BB258" s="102">
        <f>ROUND(BB251/$G$251,4)</f>
        <v>0</v>
      </c>
      <c r="BC258" s="87">
        <f>ROUND(BC251/$G$251,4)</f>
        <v>0</v>
      </c>
      <c r="BD258" s="102">
        <f>ROUND(BD251/$G$251,4)</f>
        <v>0</v>
      </c>
      <c r="BE258" s="87"/>
      <c r="BF258" s="102">
        <f>ROUND(BF251/$G$251,4)</f>
        <v>0</v>
      </c>
    </row>
    <row r="259" spans="1:58" x14ac:dyDescent="0.2">
      <c r="A259" s="306"/>
      <c r="B259" s="14"/>
      <c r="C259" s="2" t="s">
        <v>7</v>
      </c>
      <c r="E259" s="14" t="s">
        <v>6</v>
      </c>
      <c r="G259" s="102">
        <f t="shared" si="36"/>
        <v>1</v>
      </c>
      <c r="I259" s="102">
        <f t="shared" si="37"/>
        <v>8.0500000000000238E-2</v>
      </c>
      <c r="J259" s="357"/>
      <c r="K259" s="102">
        <f>ROUND(K252/$G$252,4)</f>
        <v>6.6799999999999998E-2</v>
      </c>
      <c r="L259" s="87"/>
      <c r="M259" s="102">
        <f>ROUND(M252/$G$252,4)</f>
        <v>2.3400000000000001E-2</v>
      </c>
      <c r="N259" s="87"/>
      <c r="O259" s="102">
        <f>ROUND(O252/$G$252,4)</f>
        <v>6.0400000000000002E-2</v>
      </c>
      <c r="P259" s="87"/>
      <c r="Q259" s="102">
        <f>ROUND(Q252/$G$252,4)</f>
        <v>0.1017</v>
      </c>
      <c r="R259" s="87"/>
      <c r="S259" s="102">
        <f>ROUND(S252/$G$252,4)</f>
        <v>8.9499999999999996E-2</v>
      </c>
      <c r="T259" s="87">
        <f>ROUND(T252/$G$252,4)</f>
        <v>0</v>
      </c>
      <c r="U259" s="102">
        <f>ROUND(U252/$G$252,4)</f>
        <v>0.29389999999999999</v>
      </c>
      <c r="V259" s="87">
        <f>ROUND(V252/$G$252,4)</f>
        <v>0</v>
      </c>
      <c r="W259" s="102">
        <f>ROUND(W252/$G$252,4)</f>
        <v>0.21829999999999999</v>
      </c>
      <c r="X259" s="87"/>
      <c r="Y259" s="102">
        <f>ROUND(Y252/$G$252,4)</f>
        <v>6.4899999999999999E-2</v>
      </c>
      <c r="Z259" s="87"/>
      <c r="AA259" s="102">
        <f>ROUND(AA252/$G$252,4)</f>
        <v>1.4E-3</v>
      </c>
      <c r="AB259" s="87"/>
      <c r="AC259" s="102">
        <f>ROUND(AC252/$G$252,4)</f>
        <v>2E-3</v>
      </c>
      <c r="AD259" s="87"/>
      <c r="AE259" s="102">
        <f>ROUND(AE252/$G$252,4)</f>
        <v>3.0000000000000001E-3</v>
      </c>
      <c r="AF259" s="87"/>
      <c r="AG259" s="102">
        <f>ROUND(AG252/$G$252,4)</f>
        <v>-5.7999999999999996E-3</v>
      </c>
      <c r="AH259" s="87"/>
      <c r="AI259" s="102">
        <f>ROUND(AI252/$G$252,4)</f>
        <v>0</v>
      </c>
      <c r="AJ259" s="87"/>
      <c r="AK259" s="102">
        <f>ROUND(AK252/$G$252,4)</f>
        <v>8.0000000000000004E-4</v>
      </c>
      <c r="AL259" s="87"/>
      <c r="AM259" s="102">
        <f>ROUND(AM252/$G$252,4)</f>
        <v>1E-4</v>
      </c>
      <c r="AN259" s="87"/>
      <c r="AO259" s="102">
        <f>ROUND(AO252/$G$252,4)</f>
        <v>-6.7999999999999996E-3</v>
      </c>
      <c r="AP259" s="87">
        <f>ROUND(AP252/$G$252,4)</f>
        <v>0</v>
      </c>
      <c r="AQ259" s="102">
        <f>ROUND(AQ252/$G$252,4)</f>
        <v>0</v>
      </c>
      <c r="AR259" s="87">
        <f>ROUND(AR252/$G$252,4)</f>
        <v>0</v>
      </c>
      <c r="AS259" s="102">
        <f>ROUND(AS252/$G$252,4)</f>
        <v>0</v>
      </c>
      <c r="AT259" s="87"/>
      <c r="AU259" s="102">
        <f>ROUND(AU252/$G$252,4)</f>
        <v>0</v>
      </c>
      <c r="AV259" s="87"/>
      <c r="AW259" s="102">
        <f>ROUND(AW252/$G$252,4)</f>
        <v>1E-4</v>
      </c>
      <c r="AX259" s="87">
        <f>ROUND(AX252/$G$252,4)</f>
        <v>0</v>
      </c>
      <c r="AY259" s="102">
        <f>ROUND(AY252/$G$252,4)</f>
        <v>0</v>
      </c>
      <c r="AZ259" s="87"/>
      <c r="BA259" s="87"/>
      <c r="BB259" s="102">
        <f>ROUND(BB252/$G$252,4)</f>
        <v>0</v>
      </c>
      <c r="BC259" s="87">
        <f>ROUND(BC252/$G$252,4)</f>
        <v>0</v>
      </c>
      <c r="BD259" s="102">
        <f>ROUND(BD252/$G$252,4)</f>
        <v>0</v>
      </c>
      <c r="BE259" s="87"/>
      <c r="BF259" s="102">
        <f>ROUND(BF252/$G$252,4)</f>
        <v>0</v>
      </c>
    </row>
    <row r="260" spans="1:58" x14ac:dyDescent="0.2">
      <c r="A260" s="306"/>
      <c r="B260" s="14"/>
      <c r="C260" s="50" t="s">
        <v>415</v>
      </c>
      <c r="E260" s="14" t="s">
        <v>6</v>
      </c>
      <c r="G260" s="102">
        <f t="shared" si="36"/>
        <v>0.99999999999999989</v>
      </c>
      <c r="I260" s="102">
        <f t="shared" si="37"/>
        <v>4.7799999999999954E-2</v>
      </c>
      <c r="J260" s="357"/>
      <c r="K260" s="102">
        <f>ROUND(K253/$G$253,4)</f>
        <v>4.58E-2</v>
      </c>
      <c r="L260" s="87"/>
      <c r="M260" s="102">
        <f>ROUND(M253/$G$253,4)</f>
        <v>1.9699999999999999E-2</v>
      </c>
      <c r="N260" s="87"/>
      <c r="O260" s="102">
        <f>ROUND(O253/$G$253,4)</f>
        <v>7.2599999999999998E-2</v>
      </c>
      <c r="P260" s="87"/>
      <c r="Q260" s="102">
        <f>ROUND(Q253/$G$253,4)</f>
        <v>9.2700000000000005E-2</v>
      </c>
      <c r="R260" s="87"/>
      <c r="S260" s="102">
        <f>ROUND(S253/$G$253,4)</f>
        <v>4.6399999999999997E-2</v>
      </c>
      <c r="T260" s="87">
        <f>ROUND(T253/$G$253,4)</f>
        <v>0</v>
      </c>
      <c r="U260" s="102">
        <f>ROUND(U253/$G$253,4)</f>
        <v>0.30530000000000002</v>
      </c>
      <c r="V260" s="87">
        <f>ROUND(V253/$G$253,4)</f>
        <v>0</v>
      </c>
      <c r="W260" s="102">
        <f>ROUND(W253/$G$253,4)</f>
        <v>0.28170000000000001</v>
      </c>
      <c r="X260" s="87"/>
      <c r="Y260" s="102">
        <f>ROUND(Y253/$G$253,4)</f>
        <v>6.0499999999999998E-2</v>
      </c>
      <c r="Z260" s="87"/>
      <c r="AA260" s="102">
        <f>ROUND(AA253/$G$253,4)</f>
        <v>6.9999999999999999E-4</v>
      </c>
      <c r="AB260" s="87"/>
      <c r="AC260" s="102">
        <f>ROUND(AC253/$G$253,4)</f>
        <v>4.0000000000000002E-4</v>
      </c>
      <c r="AD260" s="87"/>
      <c r="AE260" s="102">
        <f>ROUND(AE253/$G$253,4)</f>
        <v>1.23E-2</v>
      </c>
      <c r="AF260" s="87"/>
      <c r="AG260" s="102">
        <f>ROUND(AG253/$G$253,4)</f>
        <v>1.41E-2</v>
      </c>
      <c r="AH260" s="87"/>
      <c r="AI260" s="102">
        <f>ROUND(AI253/$G$253,4)</f>
        <v>0</v>
      </c>
      <c r="AJ260" s="87"/>
      <c r="AK260" s="102">
        <f>ROUND(AK253/$G$253,4)</f>
        <v>7.1000000000000004E-3</v>
      </c>
      <c r="AL260" s="87"/>
      <c r="AM260" s="102">
        <f>ROUND(AM253/$G$253,4)</f>
        <v>1.6999999999999999E-3</v>
      </c>
      <c r="AN260" s="87"/>
      <c r="AO260" s="102">
        <f>ROUND(AO253/$G$253,4)</f>
        <v>5.0000000000000001E-3</v>
      </c>
      <c r="AP260" s="87">
        <f>ROUND(AP253/$G$253,4)</f>
        <v>0</v>
      </c>
      <c r="AQ260" s="102">
        <f>ROUND(AQ253/$G$253,4)</f>
        <v>0</v>
      </c>
      <c r="AR260" s="87">
        <f>ROUND(AR253/$G$253,4)</f>
        <v>0</v>
      </c>
      <c r="AS260" s="102">
        <f>ROUND(AS253/$G$253,4)</f>
        <v>0</v>
      </c>
      <c r="AT260" s="87"/>
      <c r="AU260" s="102">
        <f>ROUND(AU253/$G$253,4)</f>
        <v>0</v>
      </c>
      <c r="AV260" s="87"/>
      <c r="AW260" s="102">
        <f>ROUND(AW253/$G$253,4)</f>
        <v>0</v>
      </c>
      <c r="AX260" s="87">
        <f>ROUND(AX253/$G$253,4)</f>
        <v>0</v>
      </c>
      <c r="AY260" s="102">
        <f>ROUND(AY253/$G$253,4)</f>
        <v>0</v>
      </c>
      <c r="AZ260" s="87"/>
      <c r="BA260" s="87"/>
      <c r="BB260" s="102">
        <f>ROUND(BB253/$G$253,4)</f>
        <v>0</v>
      </c>
      <c r="BC260" s="87">
        <f>ROUND(BC253/$G$253,4)</f>
        <v>0</v>
      </c>
      <c r="BD260" s="102">
        <f>ROUND(BD253/$G$253,4)</f>
        <v>4.0000000000000002E-4</v>
      </c>
      <c r="BE260" s="87"/>
      <c r="BF260" s="102">
        <f>ROUND(BF253/$G$253,4)</f>
        <v>0</v>
      </c>
    </row>
    <row r="261" spans="1:58" x14ac:dyDescent="0.2">
      <c r="A261" s="306"/>
      <c r="B261" s="14"/>
      <c r="C261" s="54"/>
      <c r="E261" s="14"/>
    </row>
    <row r="262" spans="1:58" x14ac:dyDescent="0.2">
      <c r="A262" s="306"/>
      <c r="B262" s="14"/>
      <c r="C262" s="54" t="s">
        <v>412</v>
      </c>
      <c r="E262" s="14" t="s">
        <v>6</v>
      </c>
      <c r="G262" s="102">
        <f t="shared" si="36"/>
        <v>1</v>
      </c>
      <c r="I262" s="102">
        <f t="shared" si="37"/>
        <v>7.3599999999999999E-2</v>
      </c>
      <c r="K262" s="102">
        <f>ROUND(AVERAGE(K257:K260),4)</f>
        <v>6.3299999999999995E-2</v>
      </c>
      <c r="L262" s="104"/>
      <c r="M262" s="102">
        <f t="shared" ref="M262:BF262" si="38">ROUND(AVERAGE(M257:M260),4)</f>
        <v>2.2700000000000001E-2</v>
      </c>
      <c r="N262" s="104"/>
      <c r="O262" s="102">
        <f t="shared" si="38"/>
        <v>7.1099999999999997E-2</v>
      </c>
      <c r="P262" s="104"/>
      <c r="Q262" s="102">
        <f t="shared" si="38"/>
        <v>0.10349999999999999</v>
      </c>
      <c r="R262" s="104"/>
      <c r="S262" s="102">
        <f t="shared" si="38"/>
        <v>6.8900000000000003E-2</v>
      </c>
      <c r="T262" s="104">
        <f t="shared" si="38"/>
        <v>0</v>
      </c>
      <c r="U262" s="102">
        <f t="shared" si="38"/>
        <v>0.379</v>
      </c>
      <c r="V262" s="104">
        <f t="shared" si="38"/>
        <v>0</v>
      </c>
      <c r="W262" s="102">
        <f t="shared" si="38"/>
        <v>0.17660000000000001</v>
      </c>
      <c r="X262" s="104"/>
      <c r="Y262" s="102">
        <f t="shared" si="38"/>
        <v>3.2500000000000001E-2</v>
      </c>
      <c r="Z262" s="104"/>
      <c r="AA262" s="102">
        <f t="shared" si="38"/>
        <v>8.0000000000000004E-4</v>
      </c>
      <c r="AB262" s="104"/>
      <c r="AC262" s="102">
        <f t="shared" si="38"/>
        <v>1E-3</v>
      </c>
      <c r="AD262" s="104"/>
      <c r="AE262" s="102">
        <f t="shared" si="38"/>
        <v>4.5999999999999999E-3</v>
      </c>
      <c r="AF262" s="104"/>
      <c r="AG262" s="102">
        <f t="shared" si="38"/>
        <v>2.3999999999999998E-3</v>
      </c>
      <c r="AH262" s="104"/>
      <c r="AI262" s="102">
        <f t="shared" si="38"/>
        <v>0</v>
      </c>
      <c r="AJ262" s="104"/>
      <c r="AK262" s="102">
        <f t="shared" si="38"/>
        <v>2E-3</v>
      </c>
      <c r="AL262" s="104"/>
      <c r="AM262" s="102">
        <f t="shared" si="38"/>
        <v>6.9999999999999999E-4</v>
      </c>
      <c r="AN262" s="104"/>
      <c r="AO262" s="102">
        <f t="shared" si="38"/>
        <v>-4.0000000000000002E-4</v>
      </c>
      <c r="AP262" s="104">
        <f t="shared" si="38"/>
        <v>0</v>
      </c>
      <c r="AQ262" s="102">
        <f t="shared" si="38"/>
        <v>0</v>
      </c>
      <c r="AR262" s="104">
        <f t="shared" si="38"/>
        <v>0</v>
      </c>
      <c r="AS262" s="102">
        <f t="shared" si="38"/>
        <v>0</v>
      </c>
      <c r="AT262" s="104"/>
      <c r="AU262" s="102">
        <f t="shared" si="38"/>
        <v>0</v>
      </c>
      <c r="AV262" s="104"/>
      <c r="AW262" s="102">
        <f t="shared" si="38"/>
        <v>0</v>
      </c>
      <c r="AX262" s="104">
        <f t="shared" si="38"/>
        <v>0</v>
      </c>
      <c r="AY262" s="102">
        <f t="shared" si="38"/>
        <v>0</v>
      </c>
      <c r="AZ262" s="104"/>
      <c r="BA262" s="104"/>
      <c r="BB262" s="102">
        <f t="shared" si="38"/>
        <v>0</v>
      </c>
      <c r="BC262" s="104">
        <f t="shared" si="38"/>
        <v>0</v>
      </c>
      <c r="BD262" s="102">
        <f t="shared" si="38"/>
        <v>1E-4</v>
      </c>
      <c r="BE262" s="104"/>
      <c r="BF262" s="102">
        <f t="shared" si="38"/>
        <v>0</v>
      </c>
    </row>
  </sheetData>
  <mergeCells count="1">
    <mergeCell ref="A247:S247"/>
  </mergeCells>
  <pageMargins left="0.41" right="0.2" top="0.5" bottom="0.33" header="0.38" footer="0.2"/>
  <pageSetup scale="44" fitToHeight="0" orientation="landscape" r:id="rId1"/>
  <headerFooter alignWithMargins="0">
    <oddHeader xml:space="preserve">&amp;RCASE NO. 2015-00343
ATTACHMENT 17
TO STAFF DR NO. 1-59
</oddHeader>
    <oddFooter>&amp;CPage &amp;P</oddFooter>
  </headerFooter>
  <rowBreaks count="2" manualBreakCount="2">
    <brk id="59" max="16383" man="1"/>
    <brk id="131" max="3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00B0F0"/>
    <pageSetUpPr fitToPage="1"/>
  </sheetPr>
  <dimension ref="A1:J65"/>
  <sheetViews>
    <sheetView view="pageBreakPreview" zoomScale="60" zoomScaleNormal="100" workbookViewId="0">
      <selection activeCell="A27" sqref="A27"/>
    </sheetView>
  </sheetViews>
  <sheetFormatPr defaultRowHeight="12.75" x14ac:dyDescent="0.2"/>
  <cols>
    <col min="1" max="1" width="9.85546875" style="10" bestFit="1" customWidth="1"/>
    <col min="2" max="2" width="8.42578125" style="10" bestFit="1" customWidth="1"/>
    <col min="3" max="3" width="10.42578125" style="26" bestFit="1" customWidth="1"/>
    <col min="4" max="4" width="2.7109375" style="26" customWidth="1"/>
    <col min="5" max="5" width="9.85546875" style="10" bestFit="1" customWidth="1"/>
    <col min="6" max="6" width="8.42578125" style="10" bestFit="1" customWidth="1"/>
    <col min="7" max="7" width="15.42578125" style="109" bestFit="1" customWidth="1"/>
    <col min="8" max="8" width="2.7109375" style="10" customWidth="1"/>
    <col min="9" max="9" width="1.85546875" style="21" customWidth="1"/>
    <col min="10" max="10" width="27.5703125" style="21" bestFit="1" customWidth="1"/>
    <col min="11" max="11" width="2.7109375" style="10" customWidth="1"/>
    <col min="12" max="16384" width="9.140625" style="10"/>
  </cols>
  <sheetData>
    <row r="1" spans="1:10" x14ac:dyDescent="0.2">
      <c r="A1" s="67" t="s">
        <v>17</v>
      </c>
      <c r="B1" s="67"/>
      <c r="C1" s="107"/>
      <c r="D1" s="107"/>
      <c r="E1" s="67"/>
      <c r="F1" s="67"/>
      <c r="J1" s="39"/>
    </row>
    <row r="2" spans="1:10" x14ac:dyDescent="0.2">
      <c r="A2" s="67" t="s">
        <v>18</v>
      </c>
      <c r="B2" s="67"/>
      <c r="C2" s="107"/>
      <c r="D2" s="107"/>
      <c r="E2" s="67"/>
      <c r="F2" s="67"/>
    </row>
    <row r="3" spans="1:10" x14ac:dyDescent="0.2">
      <c r="A3" s="67" t="s">
        <v>344</v>
      </c>
      <c r="B3" s="67"/>
      <c r="C3" s="107"/>
      <c r="D3" s="107"/>
      <c r="E3" s="67"/>
      <c r="F3" s="67"/>
    </row>
    <row r="4" spans="1:10" x14ac:dyDescent="0.2">
      <c r="A4" s="67" t="s">
        <v>26</v>
      </c>
      <c r="B4" s="67"/>
      <c r="C4" s="107"/>
      <c r="D4" s="107"/>
      <c r="E4" s="67"/>
      <c r="F4" s="67"/>
    </row>
    <row r="5" spans="1:10" x14ac:dyDescent="0.2">
      <c r="A5" s="108"/>
    </row>
    <row r="6" spans="1:10" ht="15.75" x14ac:dyDescent="0.25">
      <c r="A6" s="256" t="s">
        <v>19</v>
      </c>
      <c r="B6" s="257"/>
      <c r="C6" s="258"/>
      <c r="D6" s="107"/>
      <c r="E6" s="256" t="s">
        <v>20</v>
      </c>
      <c r="F6" s="257"/>
      <c r="G6" s="259"/>
      <c r="H6" s="260" t="s">
        <v>21</v>
      </c>
      <c r="I6" s="22"/>
      <c r="J6" s="40" t="s">
        <v>25</v>
      </c>
    </row>
    <row r="7" spans="1:10" x14ac:dyDescent="0.2">
      <c r="I7" s="23"/>
      <c r="J7" s="23"/>
    </row>
    <row r="8" spans="1:10" ht="25.5" x14ac:dyDescent="0.2">
      <c r="A8" s="261" t="s">
        <v>22</v>
      </c>
      <c r="B8" s="262" t="s">
        <v>23</v>
      </c>
      <c r="C8" s="263" t="s">
        <v>24</v>
      </c>
      <c r="D8" s="263"/>
      <c r="E8" s="261" t="s">
        <v>22</v>
      </c>
      <c r="F8" s="262" t="s">
        <v>23</v>
      </c>
      <c r="G8" s="264" t="s">
        <v>24</v>
      </c>
      <c r="H8" s="263"/>
      <c r="I8" s="24"/>
      <c r="J8" s="24" t="s">
        <v>410</v>
      </c>
    </row>
    <row r="9" spans="1:10" x14ac:dyDescent="0.2">
      <c r="A9" s="63"/>
      <c r="B9" s="265"/>
      <c r="C9" s="266"/>
      <c r="D9" s="266"/>
      <c r="E9" s="63"/>
      <c r="F9" s="265"/>
      <c r="G9" s="267"/>
      <c r="H9" s="266"/>
      <c r="I9" s="25"/>
      <c r="J9" s="25"/>
    </row>
    <row r="10" spans="1:10" x14ac:dyDescent="0.2">
      <c r="A10" s="268">
        <v>10</v>
      </c>
      <c r="B10" s="269">
        <v>2</v>
      </c>
      <c r="C10" s="32">
        <v>-1</v>
      </c>
      <c r="D10" s="32"/>
      <c r="E10" s="269"/>
      <c r="F10" s="269">
        <v>2</v>
      </c>
      <c r="G10" s="270"/>
      <c r="H10" s="28"/>
      <c r="I10" s="23"/>
      <c r="J10" s="23"/>
    </row>
    <row r="11" spans="1:10" x14ac:dyDescent="0.2">
      <c r="A11" s="250"/>
      <c r="B11" s="250"/>
      <c r="E11" s="250"/>
      <c r="F11" s="250"/>
      <c r="H11" s="26"/>
      <c r="I11" s="23"/>
      <c r="J11" s="23"/>
    </row>
    <row r="12" spans="1:10" x14ac:dyDescent="0.2">
      <c r="A12" s="272">
        <v>20</v>
      </c>
      <c r="B12" s="31">
        <v>107</v>
      </c>
      <c r="C12" s="27">
        <f>'3 Factor Composite FY15FINAL'!M19+'3 Factor Composite FY15FINAL'!O19</f>
        <v>9.4199999999999992E-2</v>
      </c>
      <c r="D12" s="27"/>
      <c r="E12" s="31">
        <v>20</v>
      </c>
      <c r="F12" s="31">
        <v>107</v>
      </c>
      <c r="G12" s="273">
        <v>-1</v>
      </c>
      <c r="H12" s="271"/>
      <c r="I12" s="23"/>
      <c r="J12" s="23"/>
    </row>
    <row r="13" spans="1:10" x14ac:dyDescent="0.2">
      <c r="A13" s="274">
        <v>20</v>
      </c>
      <c r="B13" s="275">
        <v>107</v>
      </c>
      <c r="C13" s="28">
        <f>C12</f>
        <v>9.4199999999999992E-2</v>
      </c>
      <c r="D13" s="28"/>
      <c r="E13" s="275">
        <v>20</v>
      </c>
      <c r="F13" s="275">
        <v>7</v>
      </c>
      <c r="G13" s="276">
        <f>J13/C13</f>
        <v>0.2505307855626327</v>
      </c>
      <c r="H13" s="271"/>
      <c r="I13" s="29"/>
      <c r="J13" s="29">
        <f>'3 Factor Composite FY15FINAL'!M19</f>
        <v>2.3599999999999999E-2</v>
      </c>
    </row>
    <row r="14" spans="1:10" x14ac:dyDescent="0.2">
      <c r="A14" s="277">
        <v>20</v>
      </c>
      <c r="B14" s="278">
        <v>107</v>
      </c>
      <c r="C14" s="28">
        <f>C13</f>
        <v>9.4199999999999992E-2</v>
      </c>
      <c r="D14" s="30"/>
      <c r="E14" s="278">
        <v>20</v>
      </c>
      <c r="F14" s="278">
        <v>77</v>
      </c>
      <c r="G14" s="279">
        <f>J14/C14</f>
        <v>0.74946921443736736</v>
      </c>
      <c r="H14" s="271"/>
      <c r="I14" s="29"/>
      <c r="J14" s="29">
        <f>'3 Factor Composite FY15FINAL'!O19</f>
        <v>7.0599999999999996E-2</v>
      </c>
    </row>
    <row r="15" spans="1:10" x14ac:dyDescent="0.2">
      <c r="A15" s="250"/>
      <c r="B15" s="250"/>
      <c r="E15" s="250"/>
      <c r="F15" s="250"/>
      <c r="H15" s="109"/>
      <c r="I15" s="29"/>
      <c r="J15" s="29"/>
    </row>
    <row r="16" spans="1:10" x14ac:dyDescent="0.2">
      <c r="A16" s="272">
        <v>30</v>
      </c>
      <c r="B16" s="31">
        <v>10</v>
      </c>
      <c r="C16" s="27">
        <f>'3 Factor Composite FY15FINAL'!I19</f>
        <v>8.2500000000000018E-2</v>
      </c>
      <c r="D16" s="27"/>
      <c r="E16" s="31">
        <v>30</v>
      </c>
      <c r="F16" s="31">
        <v>10</v>
      </c>
      <c r="G16" s="273">
        <v>-1</v>
      </c>
      <c r="H16" s="271"/>
      <c r="I16" s="29"/>
      <c r="J16" s="29"/>
    </row>
    <row r="17" spans="1:10" x14ac:dyDescent="0.2">
      <c r="A17" s="274">
        <v>30</v>
      </c>
      <c r="B17" s="275">
        <v>10</v>
      </c>
      <c r="C17" s="28">
        <f>C16</f>
        <v>8.2500000000000018E-2</v>
      </c>
      <c r="D17" s="28"/>
      <c r="E17" s="275">
        <v>30</v>
      </c>
      <c r="F17" s="275">
        <v>1</v>
      </c>
      <c r="G17" s="276">
        <f>+'West Texas FY15'!J11</f>
        <v>7.9922214936543315E-4</v>
      </c>
      <c r="H17" s="271"/>
      <c r="I17" s="29"/>
      <c r="J17" s="29">
        <f>C16-SUM(J18:J33)</f>
        <v>6.5930000000019584E-5</v>
      </c>
    </row>
    <row r="18" spans="1:10" x14ac:dyDescent="0.2">
      <c r="A18" s="274">
        <v>30</v>
      </c>
      <c r="B18" s="275">
        <v>10</v>
      </c>
      <c r="C18" s="28">
        <f t="shared" ref="C18:C33" si="0">C17</f>
        <v>8.2500000000000018E-2</v>
      </c>
      <c r="D18" s="28"/>
      <c r="E18" s="275">
        <v>30</v>
      </c>
      <c r="F18" s="275">
        <v>3</v>
      </c>
      <c r="G18" s="276">
        <f>+'West Texas FY15'!J12</f>
        <v>0.19619753050020469</v>
      </c>
      <c r="H18" s="271"/>
      <c r="I18" s="29"/>
      <c r="J18" s="29">
        <f>ROUND(+C18*G18,8)</f>
        <v>1.6186300000000001E-2</v>
      </c>
    </row>
    <row r="19" spans="1:10" x14ac:dyDescent="0.2">
      <c r="A19" s="274">
        <v>30</v>
      </c>
      <c r="B19" s="275">
        <v>10</v>
      </c>
      <c r="C19" s="28">
        <f t="shared" si="0"/>
        <v>8.2500000000000018E-2</v>
      </c>
      <c r="D19" s="28"/>
      <c r="E19" s="275">
        <v>30</v>
      </c>
      <c r="F19" s="275">
        <v>4</v>
      </c>
      <c r="G19" s="276">
        <f>+'West Texas FY15'!J13</f>
        <v>2.2860317672876336E-3</v>
      </c>
      <c r="H19" s="271"/>
      <c r="I19" s="29"/>
      <c r="J19" s="29">
        <f t="shared" ref="J19:J33" si="1">ROUND(+C19*G19,8)</f>
        <v>1.886E-4</v>
      </c>
    </row>
    <row r="20" spans="1:10" x14ac:dyDescent="0.2">
      <c r="A20" s="274">
        <v>30</v>
      </c>
      <c r="B20" s="275">
        <v>10</v>
      </c>
      <c r="C20" s="28">
        <f t="shared" si="0"/>
        <v>8.2500000000000018E-2</v>
      </c>
      <c r="D20" s="28"/>
      <c r="E20" s="275">
        <v>30</v>
      </c>
      <c r="F20" s="275">
        <v>5</v>
      </c>
      <c r="G20" s="276">
        <f>+'West Texas FY15'!J14</f>
        <v>0.45924127660952574</v>
      </c>
      <c r="H20" s="271"/>
      <c r="I20" s="29"/>
      <c r="J20" s="29">
        <f t="shared" si="1"/>
        <v>3.7887410000000003E-2</v>
      </c>
    </row>
    <row r="21" spans="1:10" x14ac:dyDescent="0.2">
      <c r="A21" s="274">
        <v>30</v>
      </c>
      <c r="B21" s="275">
        <v>10</v>
      </c>
      <c r="C21" s="28">
        <f t="shared" si="0"/>
        <v>8.2500000000000018E-2</v>
      </c>
      <c r="D21" s="28"/>
      <c r="E21" s="275">
        <v>30</v>
      </c>
      <c r="F21" s="275">
        <v>6</v>
      </c>
      <c r="G21" s="276">
        <f>+'West Texas FY15'!J15</f>
        <v>6.7491205962520208E-3</v>
      </c>
      <c r="H21" s="271"/>
      <c r="I21" s="29"/>
      <c r="J21" s="29">
        <f t="shared" si="1"/>
        <v>5.5679999999999998E-4</v>
      </c>
    </row>
    <row r="22" spans="1:10" x14ac:dyDescent="0.2">
      <c r="A22" s="274">
        <v>30</v>
      </c>
      <c r="B22" s="275">
        <v>10</v>
      </c>
      <c r="C22" s="28">
        <f t="shared" si="0"/>
        <v>8.2500000000000018E-2</v>
      </c>
      <c r="D22" s="28"/>
      <c r="E22" s="275">
        <v>30</v>
      </c>
      <c r="F22" s="275">
        <v>8</v>
      </c>
      <c r="G22" s="276">
        <f>+'West Texas FY15'!J16</f>
        <v>1.5228640238161191E-3</v>
      </c>
      <c r="H22" s="271"/>
      <c r="I22" s="29"/>
      <c r="J22" s="29">
        <f t="shared" si="1"/>
        <v>1.2564E-4</v>
      </c>
    </row>
    <row r="23" spans="1:10" x14ac:dyDescent="0.2">
      <c r="A23" s="274">
        <v>30</v>
      </c>
      <c r="B23" s="275">
        <v>10</v>
      </c>
      <c r="C23" s="28">
        <f t="shared" si="0"/>
        <v>8.2500000000000018E-2</v>
      </c>
      <c r="D23" s="28"/>
      <c r="E23" s="275">
        <v>30</v>
      </c>
      <c r="F23" s="275">
        <v>11</v>
      </c>
      <c r="G23" s="276">
        <f>+'West Texas FY15'!J17</f>
        <v>0</v>
      </c>
      <c r="H23" s="271"/>
      <c r="I23" s="29"/>
      <c r="J23" s="29">
        <f t="shared" si="1"/>
        <v>0</v>
      </c>
    </row>
    <row r="24" spans="1:10" x14ac:dyDescent="0.2">
      <c r="A24" s="274">
        <v>30</v>
      </c>
      <c r="B24" s="275">
        <v>10</v>
      </c>
      <c r="C24" s="28">
        <f t="shared" si="0"/>
        <v>8.2500000000000018E-2</v>
      </c>
      <c r="D24" s="28"/>
      <c r="E24" s="275">
        <v>30</v>
      </c>
      <c r="F24" s="275">
        <v>13</v>
      </c>
      <c r="G24" s="276">
        <f>+'West Texas FY15'!J18</f>
        <v>7.0628433524302136E-3</v>
      </c>
      <c r="H24" s="271"/>
      <c r="I24" s="29"/>
      <c r="J24" s="29">
        <f t="shared" si="1"/>
        <v>5.8268000000000003E-4</v>
      </c>
    </row>
    <row r="25" spans="1:10" x14ac:dyDescent="0.2">
      <c r="A25" s="274">
        <v>30</v>
      </c>
      <c r="B25" s="275">
        <v>10</v>
      </c>
      <c r="C25" s="28">
        <f t="shared" si="0"/>
        <v>8.2500000000000018E-2</v>
      </c>
      <c r="D25" s="28"/>
      <c r="E25" s="275">
        <v>30</v>
      </c>
      <c r="F25" s="275">
        <v>14</v>
      </c>
      <c r="G25" s="276">
        <f>+'West Texas FY15'!J19</f>
        <v>2.1896212093937151E-3</v>
      </c>
      <c r="H25" s="271"/>
      <c r="I25" s="29"/>
      <c r="J25" s="29">
        <f t="shared" si="1"/>
        <v>1.8064000000000001E-4</v>
      </c>
    </row>
    <row r="26" spans="1:10" x14ac:dyDescent="0.2">
      <c r="A26" s="274">
        <v>30</v>
      </c>
      <c r="B26" s="275">
        <v>10</v>
      </c>
      <c r="C26" s="28">
        <f t="shared" si="0"/>
        <v>8.2500000000000018E-2</v>
      </c>
      <c r="D26" s="28"/>
      <c r="E26" s="275">
        <v>30</v>
      </c>
      <c r="F26" s="275">
        <v>15</v>
      </c>
      <c r="G26" s="276">
        <f>+'West Texas FY15'!J20</f>
        <v>2.8343314724940689E-3</v>
      </c>
      <c r="H26" s="271"/>
      <c r="I26" s="29"/>
      <c r="J26" s="29">
        <f t="shared" si="1"/>
        <v>2.3383E-4</v>
      </c>
    </row>
    <row r="27" spans="1:10" x14ac:dyDescent="0.2">
      <c r="A27" s="274">
        <v>30</v>
      </c>
      <c r="B27" s="275">
        <v>10</v>
      </c>
      <c r="C27" s="28">
        <f t="shared" si="0"/>
        <v>8.2500000000000018E-2</v>
      </c>
      <c r="D27" s="28"/>
      <c r="E27" s="275">
        <v>30</v>
      </c>
      <c r="F27" s="275">
        <v>16</v>
      </c>
      <c r="G27" s="276">
        <f>+'West Texas FY15'!J21</f>
        <v>0.19700518464780523</v>
      </c>
      <c r="H27" s="271"/>
      <c r="I27" s="29"/>
      <c r="J27" s="29">
        <f t="shared" si="1"/>
        <v>1.6252929999999999E-2</v>
      </c>
    </row>
    <row r="28" spans="1:10" x14ac:dyDescent="0.2">
      <c r="A28" s="274">
        <v>30</v>
      </c>
      <c r="B28" s="275">
        <v>10</v>
      </c>
      <c r="C28" s="28">
        <f t="shared" si="0"/>
        <v>8.2500000000000018E-2</v>
      </c>
      <c r="D28" s="28"/>
      <c r="E28" s="275">
        <v>30</v>
      </c>
      <c r="F28" s="275">
        <v>17</v>
      </c>
      <c r="G28" s="276">
        <f>+'West Texas FY15'!J22</f>
        <v>2.6686951648954204E-5</v>
      </c>
      <c r="H28" s="271"/>
      <c r="I28" s="29"/>
      <c r="J28" s="29">
        <f t="shared" si="1"/>
        <v>2.2000000000000001E-6</v>
      </c>
    </row>
    <row r="29" spans="1:10" x14ac:dyDescent="0.2">
      <c r="A29" s="274">
        <v>30</v>
      </c>
      <c r="B29" s="275">
        <v>10</v>
      </c>
      <c r="C29" s="28">
        <f t="shared" si="0"/>
        <v>8.2500000000000018E-2</v>
      </c>
      <c r="D29" s="28"/>
      <c r="E29" s="275">
        <v>30</v>
      </c>
      <c r="F29" s="275">
        <v>18</v>
      </c>
      <c r="G29" s="276">
        <f>+'West Texas FY15'!J23</f>
        <v>5.1623387032610345E-4</v>
      </c>
      <c r="H29" s="271"/>
      <c r="I29" s="29"/>
      <c r="J29" s="29">
        <f t="shared" si="1"/>
        <v>4.2589999999999997E-5</v>
      </c>
    </row>
    <row r="30" spans="1:10" x14ac:dyDescent="0.2">
      <c r="A30" s="274">
        <v>30</v>
      </c>
      <c r="B30" s="275">
        <v>10</v>
      </c>
      <c r="C30" s="28">
        <f t="shared" si="0"/>
        <v>8.2500000000000018E-2</v>
      </c>
      <c r="D30" s="28"/>
      <c r="E30" s="275">
        <v>30</v>
      </c>
      <c r="F30" s="275">
        <v>19</v>
      </c>
      <c r="G30" s="276">
        <f>+'West Texas FY15'!J24</f>
        <v>5.5779110594928814E-2</v>
      </c>
      <c r="H30" s="280"/>
      <c r="I30" s="29"/>
      <c r="J30" s="29">
        <f t="shared" si="1"/>
        <v>4.6017799999999998E-3</v>
      </c>
    </row>
    <row r="31" spans="1:10" x14ac:dyDescent="0.2">
      <c r="A31" s="274">
        <v>30</v>
      </c>
      <c r="B31" s="275">
        <v>10</v>
      </c>
      <c r="C31" s="28">
        <f t="shared" si="0"/>
        <v>8.2500000000000018E-2</v>
      </c>
      <c r="D31" s="28"/>
      <c r="E31" s="275">
        <v>30</v>
      </c>
      <c r="F31" s="275">
        <v>20</v>
      </c>
      <c r="G31" s="276">
        <f>+'West Texas FY15'!J25</f>
        <v>1.162164388264598E-2</v>
      </c>
      <c r="H31" s="280"/>
      <c r="I31" s="29"/>
      <c r="J31" s="29">
        <f t="shared" si="1"/>
        <v>9.5878999999999995E-4</v>
      </c>
    </row>
    <row r="32" spans="1:10" x14ac:dyDescent="0.2">
      <c r="A32" s="274">
        <v>30</v>
      </c>
      <c r="B32" s="275">
        <v>10</v>
      </c>
      <c r="C32" s="28">
        <f t="shared" si="0"/>
        <v>8.2500000000000018E-2</v>
      </c>
      <c r="D32" s="28"/>
      <c r="E32" s="275">
        <v>30</v>
      </c>
      <c r="F32" s="275">
        <v>21</v>
      </c>
      <c r="G32" s="276">
        <f>+'West Texas FY15'!J26</f>
        <v>5.6168298371875286E-2</v>
      </c>
      <c r="H32" s="271"/>
      <c r="I32" s="29"/>
      <c r="J32" s="29">
        <f t="shared" si="1"/>
        <v>4.6338799999999999E-3</v>
      </c>
    </row>
    <row r="33" spans="1:10" x14ac:dyDescent="0.2">
      <c r="A33" s="277">
        <v>30</v>
      </c>
      <c r="B33" s="278">
        <v>10</v>
      </c>
      <c r="C33" s="28">
        <f t="shared" si="0"/>
        <v>8.2500000000000018E-2</v>
      </c>
      <c r="D33" s="30"/>
      <c r="E33" s="278">
        <v>30</v>
      </c>
      <c r="F33" s="278">
        <v>40</v>
      </c>
      <c r="G33" s="279">
        <f>+'West Texas FY15'!J27</f>
        <v>0</v>
      </c>
      <c r="H33" s="271"/>
      <c r="I33" s="29"/>
      <c r="J33" s="29">
        <f t="shared" si="1"/>
        <v>0</v>
      </c>
    </row>
    <row r="34" spans="1:10" x14ac:dyDescent="0.2">
      <c r="A34" s="275"/>
      <c r="B34" s="275"/>
      <c r="C34" s="28"/>
      <c r="D34" s="28"/>
      <c r="E34" s="275"/>
      <c r="F34" s="275"/>
      <c r="G34" s="271"/>
      <c r="H34" s="271"/>
      <c r="I34" s="29"/>
      <c r="J34" s="29"/>
    </row>
    <row r="35" spans="1:10" x14ac:dyDescent="0.2">
      <c r="A35" s="272">
        <v>50</v>
      </c>
      <c r="B35" s="31">
        <v>91</v>
      </c>
      <c r="C35" s="27">
        <f>'3 Factor Composite FY15FINAL'!Q19</f>
        <v>0.1071</v>
      </c>
      <c r="D35" s="27"/>
      <c r="E35" s="281"/>
      <c r="F35" s="281"/>
      <c r="G35" s="273"/>
      <c r="H35" s="117"/>
      <c r="I35" s="29"/>
      <c r="J35" s="29"/>
    </row>
    <row r="36" spans="1:10" x14ac:dyDescent="0.2">
      <c r="A36" s="274">
        <v>50</v>
      </c>
      <c r="B36" s="275">
        <v>91</v>
      </c>
      <c r="C36" s="28">
        <f>C35</f>
        <v>0.1071</v>
      </c>
      <c r="D36" s="28"/>
      <c r="E36" s="117"/>
      <c r="F36" s="117"/>
      <c r="G36" s="276"/>
      <c r="H36" s="117"/>
      <c r="I36" s="29"/>
      <c r="J36" s="29"/>
    </row>
    <row r="37" spans="1:10" x14ac:dyDescent="0.2">
      <c r="A37" s="274">
        <v>50</v>
      </c>
      <c r="B37" s="275">
        <v>91</v>
      </c>
      <c r="C37" s="28">
        <f>C36</f>
        <v>0.1071</v>
      </c>
      <c r="D37" s="28"/>
      <c r="E37" s="275">
        <v>50</v>
      </c>
      <c r="F37" s="275">
        <v>91</v>
      </c>
      <c r="G37" s="276">
        <v>-1</v>
      </c>
      <c r="H37" s="271"/>
      <c r="I37" s="29"/>
      <c r="J37" s="29"/>
    </row>
    <row r="38" spans="1:10" x14ac:dyDescent="0.2">
      <c r="A38" s="274">
        <v>50</v>
      </c>
      <c r="B38" s="275">
        <v>91</v>
      </c>
      <c r="C38" s="28">
        <f t="shared" ref="C38:C40" si="2">C37</f>
        <v>0.1071</v>
      </c>
      <c r="D38" s="28"/>
      <c r="E38" s="275">
        <v>50</v>
      </c>
      <c r="F38" s="275">
        <v>9</v>
      </c>
      <c r="G38" s="276">
        <f>'Mid States FY14'!J10/100</f>
        <v>4.9090457251500328E-3</v>
      </c>
      <c r="H38" s="271"/>
      <c r="I38" s="29"/>
      <c r="J38" s="29">
        <f>C38-SUM(J39:J40)</f>
        <v>0.10655476</v>
      </c>
    </row>
    <row r="39" spans="1:10" x14ac:dyDescent="0.2">
      <c r="A39" s="274">
        <v>50</v>
      </c>
      <c r="B39" s="275">
        <v>91</v>
      </c>
      <c r="C39" s="28">
        <f t="shared" si="2"/>
        <v>0.1071</v>
      </c>
      <c r="D39" s="28"/>
      <c r="E39" s="275">
        <v>50</v>
      </c>
      <c r="F39" s="275">
        <v>93</v>
      </c>
      <c r="G39" s="276">
        <f>'Mid States FY14'!J11/100</f>
        <v>4.0689757912580008E-3</v>
      </c>
      <c r="H39" s="271"/>
      <c r="I39" s="29"/>
      <c r="J39" s="29">
        <f>ROUND(+C39*G39,8)</f>
        <v>4.3578999999999997E-4</v>
      </c>
    </row>
    <row r="40" spans="1:10" x14ac:dyDescent="0.2">
      <c r="A40" s="274">
        <v>50</v>
      </c>
      <c r="B40" s="275">
        <v>91</v>
      </c>
      <c r="C40" s="28">
        <f t="shared" si="2"/>
        <v>0.1071</v>
      </c>
      <c r="D40" s="28"/>
      <c r="E40" s="275">
        <v>50</v>
      </c>
      <c r="F40" s="275">
        <v>96</v>
      </c>
      <c r="G40" s="276">
        <f>'Mid States FY14'!J12/100</f>
        <v>1.0219784835919664E-3</v>
      </c>
      <c r="H40" s="271"/>
      <c r="I40" s="29"/>
      <c r="J40" s="29">
        <f t="shared" ref="J40" si="3">ROUND(+C40*G40,8)</f>
        <v>1.0945E-4</v>
      </c>
    </row>
    <row r="41" spans="1:10" x14ac:dyDescent="0.2">
      <c r="A41" s="250"/>
      <c r="B41" s="250"/>
      <c r="E41" s="250"/>
      <c r="F41" s="250"/>
      <c r="H41" s="109"/>
      <c r="I41" s="23"/>
      <c r="J41" s="23"/>
    </row>
    <row r="42" spans="1:10" x14ac:dyDescent="0.2">
      <c r="A42" s="272">
        <v>60</v>
      </c>
      <c r="B42" s="31">
        <v>30</v>
      </c>
      <c r="C42" s="27">
        <f>'3 Factor Composite FY15FINAL'!K19</f>
        <v>6.9199999999999998E-2</v>
      </c>
      <c r="D42" s="27"/>
      <c r="E42" s="31">
        <v>60</v>
      </c>
      <c r="F42" s="31">
        <v>30</v>
      </c>
      <c r="G42" s="273">
        <v>-1</v>
      </c>
      <c r="H42" s="271"/>
      <c r="I42" s="23"/>
      <c r="J42" s="23"/>
    </row>
    <row r="43" spans="1:10" x14ac:dyDescent="0.2">
      <c r="A43" s="274">
        <v>60</v>
      </c>
      <c r="B43" s="275">
        <v>30</v>
      </c>
      <c r="C43" s="28">
        <f>C42</f>
        <v>6.9199999999999998E-2</v>
      </c>
      <c r="D43" s="28"/>
      <c r="E43" s="275">
        <v>60</v>
      </c>
      <c r="F43" s="275">
        <v>31</v>
      </c>
      <c r="G43" s="276">
        <f>'CO KS FY14'!J11</f>
        <v>0.40983368487448918</v>
      </c>
      <c r="H43" s="271"/>
      <c r="I43" s="29"/>
      <c r="J43" s="29">
        <f>ROUND(+C43*G43,8)</f>
        <v>2.8360489999999999E-2</v>
      </c>
    </row>
    <row r="44" spans="1:10" x14ac:dyDescent="0.2">
      <c r="A44" s="277">
        <v>60</v>
      </c>
      <c r="B44" s="278">
        <v>30</v>
      </c>
      <c r="C44" s="30">
        <f>C43</f>
        <v>6.9199999999999998E-2</v>
      </c>
      <c r="D44" s="30"/>
      <c r="E44" s="278">
        <v>60</v>
      </c>
      <c r="F44" s="278">
        <v>81</v>
      </c>
      <c r="G44" s="279">
        <f>'CO KS FY14'!J12</f>
        <v>0.59016631512551088</v>
      </c>
      <c r="H44" s="271"/>
      <c r="I44" s="29"/>
      <c r="J44" s="29">
        <f>C42-SUM(J43:J43)</f>
        <v>4.0839509999999996E-2</v>
      </c>
    </row>
    <row r="45" spans="1:10" x14ac:dyDescent="0.2">
      <c r="A45" s="250"/>
      <c r="B45" s="250"/>
      <c r="E45" s="250"/>
      <c r="F45" s="250"/>
      <c r="H45" s="109"/>
      <c r="I45" s="23"/>
      <c r="J45" s="23"/>
    </row>
    <row r="46" spans="1:10" x14ac:dyDescent="0.2">
      <c r="A46" s="268">
        <v>70</v>
      </c>
      <c r="B46" s="269">
        <v>170</v>
      </c>
      <c r="C46" s="32">
        <f>'3 Factor Composite FY15FINAL'!S19</f>
        <v>7.6399999999999996E-2</v>
      </c>
      <c r="D46" s="32"/>
      <c r="E46" s="269"/>
      <c r="F46" s="269">
        <v>170</v>
      </c>
      <c r="G46" s="270"/>
      <c r="H46" s="271"/>
      <c r="I46" s="29"/>
      <c r="J46" s="29">
        <f>ROUND(+C46,8)</f>
        <v>7.6399999999999996E-2</v>
      </c>
    </row>
    <row r="47" spans="1:10" x14ac:dyDescent="0.2">
      <c r="A47" s="250"/>
      <c r="B47" s="250"/>
      <c r="E47" s="250"/>
      <c r="F47" s="250"/>
      <c r="H47" s="109"/>
      <c r="I47" s="23"/>
      <c r="J47" s="23"/>
    </row>
    <row r="48" spans="1:10" x14ac:dyDescent="0.2">
      <c r="A48" s="268">
        <v>80</v>
      </c>
      <c r="B48" s="269">
        <v>190</v>
      </c>
      <c r="C48" s="32">
        <f>'3 Factor Composite FY15FINAL'!U19</f>
        <v>0.40350000000000003</v>
      </c>
      <c r="D48" s="32"/>
      <c r="E48" s="269"/>
      <c r="F48" s="269">
        <v>190</v>
      </c>
      <c r="G48" s="270"/>
      <c r="H48" s="109"/>
      <c r="I48" s="29"/>
      <c r="J48" s="29">
        <f>ROUND(+C48,8)</f>
        <v>0.40350000000000003</v>
      </c>
    </row>
    <row r="49" spans="1:10" x14ac:dyDescent="0.2">
      <c r="A49" s="250"/>
      <c r="B49" s="250"/>
      <c r="E49" s="250"/>
      <c r="F49" s="250"/>
      <c r="H49" s="282"/>
      <c r="I49" s="23"/>
      <c r="J49" s="23"/>
    </row>
    <row r="50" spans="1:10" x14ac:dyDescent="0.2">
      <c r="A50" s="268">
        <v>180</v>
      </c>
      <c r="B50" s="269">
        <v>700</v>
      </c>
      <c r="C50" s="32">
        <f>'3 Factor Composite FY15FINAL'!W19</f>
        <v>0.14149999999999999</v>
      </c>
      <c r="D50" s="32"/>
      <c r="E50" s="269"/>
      <c r="F50" s="269">
        <v>700</v>
      </c>
      <c r="G50" s="270"/>
      <c r="H50" s="282"/>
      <c r="I50" s="29"/>
      <c r="J50" s="29">
        <f>ROUND(+C50,8)</f>
        <v>0.14149999999999999</v>
      </c>
    </row>
    <row r="51" spans="1:10" x14ac:dyDescent="0.2">
      <c r="A51" s="250"/>
      <c r="B51" s="250"/>
      <c r="E51" s="250"/>
      <c r="F51" s="250"/>
    </row>
    <row r="52" spans="1:10" x14ac:dyDescent="0.2">
      <c r="A52" s="268">
        <v>212</v>
      </c>
      <c r="B52" s="269">
        <v>821</v>
      </c>
      <c r="C52" s="32">
        <f>'3 Factor Composite FY15FINAL'!Y19</f>
        <v>2.3099999999999999E-2</v>
      </c>
      <c r="D52" s="32"/>
      <c r="E52" s="269"/>
      <c r="F52" s="269">
        <v>821</v>
      </c>
      <c r="G52" s="270"/>
      <c r="J52" s="29">
        <f>ROUND(+C52,8)</f>
        <v>2.3099999999999999E-2</v>
      </c>
    </row>
    <row r="53" spans="1:10" x14ac:dyDescent="0.2">
      <c r="A53" s="250"/>
      <c r="B53" s="250"/>
      <c r="E53" s="250"/>
      <c r="F53" s="250"/>
    </row>
    <row r="54" spans="1:10" x14ac:dyDescent="0.2">
      <c r="A54" s="268">
        <v>232</v>
      </c>
      <c r="B54" s="269">
        <v>800</v>
      </c>
      <c r="C54" s="32">
        <f>'3 Factor Composite FY15FINAL'!AA19</f>
        <v>8.0000000000000004E-4</v>
      </c>
      <c r="D54" s="32"/>
      <c r="E54" s="269"/>
      <c r="F54" s="269">
        <v>800</v>
      </c>
      <c r="G54" s="270"/>
      <c r="J54" s="29">
        <f>ROUND(+C54,8)</f>
        <v>8.0000000000000004E-4</v>
      </c>
    </row>
    <row r="55" spans="1:10" x14ac:dyDescent="0.2">
      <c r="A55" s="250"/>
      <c r="B55" s="250"/>
      <c r="E55" s="250"/>
      <c r="F55" s="250"/>
    </row>
    <row r="56" spans="1:10" x14ac:dyDescent="0.2">
      <c r="A56" s="268">
        <v>233</v>
      </c>
      <c r="B56" s="269">
        <v>817</v>
      </c>
      <c r="C56" s="32">
        <f>'3 Factor Composite FY15FINAL'!AC19</f>
        <v>1.1999999999999999E-3</v>
      </c>
      <c r="D56" s="32"/>
      <c r="E56" s="269"/>
      <c r="F56" s="269">
        <v>817</v>
      </c>
      <c r="G56" s="270"/>
      <c r="J56" s="29">
        <f>ROUND(+C56,8)</f>
        <v>1.1999999999999999E-3</v>
      </c>
    </row>
    <row r="57" spans="1:10" x14ac:dyDescent="0.2">
      <c r="A57" s="250"/>
      <c r="B57" s="250"/>
      <c r="E57" s="250"/>
      <c r="F57" s="250"/>
    </row>
    <row r="58" spans="1:10" x14ac:dyDescent="0.2">
      <c r="A58" s="268">
        <v>303</v>
      </c>
      <c r="B58" s="269">
        <v>57</v>
      </c>
      <c r="C58" s="32">
        <f>'3 Factor Composite FY15FINAL'!AE19</f>
        <v>2E-3</v>
      </c>
      <c r="D58" s="32"/>
      <c r="E58" s="269"/>
      <c r="F58" s="269">
        <v>57</v>
      </c>
      <c r="G58" s="270"/>
      <c r="J58" s="29">
        <f>ROUND(+C58,8)</f>
        <v>2E-3</v>
      </c>
    </row>
    <row r="59" spans="1:10" x14ac:dyDescent="0.2">
      <c r="A59" s="275"/>
      <c r="B59" s="275"/>
      <c r="C59" s="28"/>
      <c r="D59" s="28"/>
      <c r="E59" s="275"/>
      <c r="F59" s="275"/>
      <c r="G59" s="271"/>
      <c r="J59" s="29"/>
    </row>
    <row r="60" spans="1:10" x14ac:dyDescent="0.2">
      <c r="A60" s="268">
        <v>234</v>
      </c>
      <c r="B60" s="269">
        <v>822</v>
      </c>
      <c r="C60" s="32">
        <f>'3 Factor Composite FY15FINAL'!AG19</f>
        <v>-1.5E-3</v>
      </c>
      <c r="D60" s="32"/>
      <c r="E60" s="269"/>
      <c r="F60" s="269">
        <v>822</v>
      </c>
      <c r="G60" s="270"/>
      <c r="J60" s="29">
        <f>1-SUM(J13:J58)</f>
        <v>-1.5000000000000568E-3</v>
      </c>
    </row>
    <row r="61" spans="1:10" x14ac:dyDescent="0.2">
      <c r="B61" s="250"/>
      <c r="E61" s="250"/>
      <c r="F61" s="250"/>
    </row>
    <row r="62" spans="1:10" x14ac:dyDescent="0.2">
      <c r="A62" s="10" t="s">
        <v>1</v>
      </c>
      <c r="B62" s="250"/>
      <c r="C62" s="26">
        <f>ROUND(+C50+C48+C46+C42+C35+C16+C12+C52+C54+C56+C58+C60, 2)</f>
        <v>1</v>
      </c>
      <c r="E62" s="250"/>
      <c r="F62" s="250"/>
      <c r="I62" s="33"/>
      <c r="J62" s="33">
        <f>SUM(J13:J60)</f>
        <v>1</v>
      </c>
    </row>
    <row r="63" spans="1:10" x14ac:dyDescent="0.2">
      <c r="B63" s="250"/>
      <c r="E63" s="250"/>
      <c r="F63" s="250"/>
    </row>
    <row r="64" spans="1:10" x14ac:dyDescent="0.2">
      <c r="B64" s="250"/>
      <c r="E64" s="250"/>
      <c r="F64" s="250"/>
    </row>
    <row r="65" spans="2:6" x14ac:dyDescent="0.2">
      <c r="B65" s="250"/>
      <c r="E65" s="250"/>
      <c r="F65" s="250"/>
    </row>
  </sheetData>
  <phoneticPr fontId="10" type="noConversion"/>
  <printOptions horizontalCentered="1"/>
  <pageMargins left="0" right="0" top="1" bottom="1" header="0.5" footer="0.5"/>
  <pageSetup scale="81" orientation="portrait" horizontalDpi="4294967294" verticalDpi="4294967294" r:id="rId1"/>
  <headerFooter alignWithMargins="0"/>
  <rowBreaks count="1" manualBreakCount="1">
    <brk id="62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F0"/>
    <pageSetUpPr fitToPage="1"/>
  </sheetPr>
  <dimension ref="A1:J51"/>
  <sheetViews>
    <sheetView view="pageBreakPreview" zoomScale="60" zoomScaleNormal="100" workbookViewId="0"/>
  </sheetViews>
  <sheetFormatPr defaultRowHeight="12.75" x14ac:dyDescent="0.2"/>
  <cols>
    <col min="1" max="1" width="9.85546875" style="10" bestFit="1" customWidth="1"/>
    <col min="2" max="2" width="8.42578125" style="10" bestFit="1" customWidth="1"/>
    <col min="3" max="3" width="10.42578125" style="26" bestFit="1" customWidth="1"/>
    <col min="4" max="4" width="2.7109375" style="26" customWidth="1"/>
    <col min="5" max="5" width="9.85546875" style="10" bestFit="1" customWidth="1"/>
    <col min="6" max="6" width="8.42578125" style="10" bestFit="1" customWidth="1"/>
    <col min="7" max="7" width="15.42578125" style="109" bestFit="1" customWidth="1"/>
    <col min="8" max="8" width="2.7109375" style="10" customWidth="1"/>
    <col min="9" max="9" width="1.85546875" style="21" customWidth="1"/>
    <col min="10" max="10" width="27.5703125" style="21" bestFit="1" customWidth="1"/>
    <col min="11" max="11" width="2.7109375" style="10" customWidth="1"/>
    <col min="12" max="16384" width="9.140625" style="10"/>
  </cols>
  <sheetData>
    <row r="1" spans="1:10" x14ac:dyDescent="0.2">
      <c r="A1" s="67" t="s">
        <v>17</v>
      </c>
      <c r="B1" s="67"/>
      <c r="C1" s="107"/>
      <c r="D1" s="107"/>
      <c r="E1" s="67"/>
      <c r="F1" s="67"/>
    </row>
    <row r="2" spans="1:10" x14ac:dyDescent="0.2">
      <c r="A2" s="67" t="s">
        <v>18</v>
      </c>
      <c r="B2" s="67"/>
      <c r="C2" s="107"/>
      <c r="D2" s="107"/>
      <c r="E2" s="67"/>
      <c r="F2" s="67"/>
    </row>
    <row r="3" spans="1:10" x14ac:dyDescent="0.2">
      <c r="A3" s="67" t="s">
        <v>344</v>
      </c>
      <c r="B3" s="67"/>
      <c r="C3" s="107"/>
      <c r="D3" s="107"/>
      <c r="E3" s="67"/>
      <c r="F3" s="67"/>
    </row>
    <row r="4" spans="1:10" x14ac:dyDescent="0.2">
      <c r="A4" s="255" t="s">
        <v>105</v>
      </c>
    </row>
    <row r="5" spans="1:10" ht="15.75" x14ac:dyDescent="0.25">
      <c r="J5" s="40" t="s">
        <v>27</v>
      </c>
    </row>
    <row r="6" spans="1:10" x14ac:dyDescent="0.2">
      <c r="A6" s="256" t="s">
        <v>19</v>
      </c>
      <c r="B6" s="257"/>
      <c r="C6" s="258"/>
      <c r="D6" s="107"/>
      <c r="E6" s="256" t="s">
        <v>20</v>
      </c>
      <c r="F6" s="257"/>
      <c r="G6" s="259"/>
      <c r="H6" s="260" t="s">
        <v>21</v>
      </c>
      <c r="I6" s="22"/>
      <c r="J6" s="22"/>
    </row>
    <row r="7" spans="1:10" x14ac:dyDescent="0.2">
      <c r="I7" s="23"/>
      <c r="J7" s="23"/>
    </row>
    <row r="8" spans="1:10" ht="25.5" x14ac:dyDescent="0.2">
      <c r="A8" s="261" t="s">
        <v>22</v>
      </c>
      <c r="B8" s="262" t="s">
        <v>23</v>
      </c>
      <c r="C8" s="263" t="s">
        <v>24</v>
      </c>
      <c r="D8" s="263"/>
      <c r="E8" s="261" t="s">
        <v>22</v>
      </c>
      <c r="F8" s="262" t="s">
        <v>23</v>
      </c>
      <c r="G8" s="264" t="s">
        <v>24</v>
      </c>
      <c r="H8" s="263"/>
      <c r="I8" s="24"/>
      <c r="J8" s="24" t="s">
        <v>410</v>
      </c>
    </row>
    <row r="9" spans="1:10" x14ac:dyDescent="0.2">
      <c r="A9" s="63"/>
      <c r="B9" s="265"/>
      <c r="C9" s="266"/>
      <c r="D9" s="266"/>
      <c r="E9" s="63"/>
      <c r="F9" s="265"/>
      <c r="G9" s="267"/>
      <c r="H9" s="266"/>
      <c r="I9" s="25"/>
      <c r="J9" s="25"/>
    </row>
    <row r="10" spans="1:10" x14ac:dyDescent="0.2">
      <c r="A10" s="268">
        <v>10</v>
      </c>
      <c r="B10" s="269">
        <v>12</v>
      </c>
      <c r="C10" s="32">
        <v>-1</v>
      </c>
      <c r="D10" s="32"/>
      <c r="E10" s="269"/>
      <c r="F10" s="269">
        <v>12</v>
      </c>
      <c r="G10" s="270"/>
      <c r="H10" s="28"/>
      <c r="I10" s="23"/>
      <c r="J10" s="23"/>
    </row>
    <row r="11" spans="1:10" x14ac:dyDescent="0.2">
      <c r="A11" s="250"/>
      <c r="B11" s="250"/>
      <c r="E11" s="250"/>
      <c r="F11" s="250"/>
      <c r="H11" s="26"/>
      <c r="I11" s="23"/>
      <c r="J11" s="23"/>
    </row>
    <row r="12" spans="1:10" x14ac:dyDescent="0.2">
      <c r="A12" s="272">
        <v>20</v>
      </c>
      <c r="B12" s="31">
        <v>107</v>
      </c>
      <c r="C12" s="27">
        <f>'3 Factor Composite FY15FINAL'!M30+'3 Factor Composite FY15FINAL'!O30</f>
        <v>0.1134</v>
      </c>
      <c r="D12" s="27"/>
      <c r="E12" s="31">
        <v>20</v>
      </c>
      <c r="F12" s="31">
        <v>107</v>
      </c>
      <c r="G12" s="273">
        <v>-1</v>
      </c>
      <c r="H12" s="271"/>
      <c r="I12" s="23"/>
      <c r="J12" s="23"/>
    </row>
    <row r="13" spans="1:10" x14ac:dyDescent="0.2">
      <c r="A13" s="274">
        <v>20</v>
      </c>
      <c r="B13" s="275">
        <v>107</v>
      </c>
      <c r="C13" s="28">
        <f>C12</f>
        <v>0.1134</v>
      </c>
      <c r="D13" s="28"/>
      <c r="E13" s="275">
        <v>20</v>
      </c>
      <c r="F13" s="275">
        <v>7</v>
      </c>
      <c r="G13" s="276">
        <f>J13/C13</f>
        <v>0.21516754850088185</v>
      </c>
      <c r="H13" s="271"/>
      <c r="I13" s="29"/>
      <c r="J13" s="29">
        <f>'3 Factor Composite FY15FINAL'!M30</f>
        <v>2.4400000000000002E-2</v>
      </c>
    </row>
    <row r="14" spans="1:10" x14ac:dyDescent="0.2">
      <c r="A14" s="277">
        <v>20</v>
      </c>
      <c r="B14" s="278">
        <v>107</v>
      </c>
      <c r="C14" s="30">
        <f>C13</f>
        <v>0.1134</v>
      </c>
      <c r="D14" s="30"/>
      <c r="E14" s="278">
        <v>20</v>
      </c>
      <c r="F14" s="278">
        <v>77</v>
      </c>
      <c r="G14" s="279">
        <f>J14/C14</f>
        <v>0.78483245149911818</v>
      </c>
      <c r="H14" s="271"/>
      <c r="I14" s="29"/>
      <c r="J14" s="29">
        <f>'3 Factor Composite FY15FINAL'!O30</f>
        <v>8.8999999999999996E-2</v>
      </c>
    </row>
    <row r="15" spans="1:10" x14ac:dyDescent="0.2">
      <c r="A15" s="250"/>
      <c r="B15" s="250"/>
      <c r="E15" s="250"/>
      <c r="F15" s="250"/>
      <c r="H15" s="109"/>
      <c r="I15" s="29"/>
      <c r="J15" s="29"/>
    </row>
    <row r="16" spans="1:10" x14ac:dyDescent="0.2">
      <c r="A16" s="272">
        <v>30</v>
      </c>
      <c r="B16" s="31">
        <v>10</v>
      </c>
      <c r="C16" s="27">
        <f>'3 Factor Composite FY15FINAL'!I30</f>
        <v>9.7899999999999987E-2</v>
      </c>
      <c r="D16" s="27"/>
      <c r="E16" s="31">
        <v>30</v>
      </c>
      <c r="F16" s="31">
        <v>10</v>
      </c>
      <c r="G16" s="273">
        <v>-1</v>
      </c>
      <c r="H16" s="271"/>
      <c r="I16" s="29"/>
      <c r="J16" s="29"/>
    </row>
    <row r="17" spans="1:10" x14ac:dyDescent="0.2">
      <c r="A17" s="274">
        <v>30</v>
      </c>
      <c r="B17" s="275">
        <v>10</v>
      </c>
      <c r="C17" s="28">
        <f t="shared" ref="C17:C33" si="0">C16</f>
        <v>9.7899999999999987E-2</v>
      </c>
      <c r="D17" s="28"/>
      <c r="E17" s="275">
        <v>30</v>
      </c>
      <c r="F17" s="275">
        <v>1</v>
      </c>
      <c r="G17" s="276">
        <f>+'West Texas FY15'!H11</f>
        <v>0</v>
      </c>
      <c r="H17" s="271"/>
      <c r="I17" s="29"/>
      <c r="J17" s="29">
        <f>ROUND(+C17*G17,8)</f>
        <v>0</v>
      </c>
    </row>
    <row r="18" spans="1:10" x14ac:dyDescent="0.2">
      <c r="A18" s="274">
        <v>30</v>
      </c>
      <c r="B18" s="275">
        <v>10</v>
      </c>
      <c r="C18" s="28">
        <f t="shared" si="0"/>
        <v>9.7899999999999987E-2</v>
      </c>
      <c r="D18" s="28"/>
      <c r="E18" s="275">
        <v>30</v>
      </c>
      <c r="F18" s="275">
        <v>3</v>
      </c>
      <c r="G18" s="276">
        <f>+'West Texas FY15'!H12</f>
        <v>0.23041665414801388</v>
      </c>
      <c r="H18" s="271"/>
      <c r="I18" s="29"/>
      <c r="J18" s="29">
        <f>C16-SUM(J17+J19+J20+J21+J22+J23+J24+J25+J26+J27+J28+J29+J30+J31+J32+J33)</f>
        <v>2.2557789999999994E-2</v>
      </c>
    </row>
    <row r="19" spans="1:10" x14ac:dyDescent="0.2">
      <c r="A19" s="274">
        <v>30</v>
      </c>
      <c r="B19" s="275">
        <v>10</v>
      </c>
      <c r="C19" s="28">
        <f t="shared" si="0"/>
        <v>9.7899999999999987E-2</v>
      </c>
      <c r="D19" s="28"/>
      <c r="E19" s="275">
        <v>30</v>
      </c>
      <c r="F19" s="275">
        <v>4</v>
      </c>
      <c r="G19" s="276">
        <f>+'West Texas FY15'!H13</f>
        <v>4.5701428461741326E-3</v>
      </c>
      <c r="H19" s="271"/>
      <c r="I19" s="29"/>
      <c r="J19" s="29">
        <f t="shared" ref="J19:J33" si="1">ROUND(+C19*G19,8)</f>
        <v>4.4742000000000002E-4</v>
      </c>
    </row>
    <row r="20" spans="1:10" x14ac:dyDescent="0.2">
      <c r="A20" s="274">
        <v>30</v>
      </c>
      <c r="B20" s="275">
        <v>10</v>
      </c>
      <c r="C20" s="28">
        <f t="shared" si="0"/>
        <v>9.7899999999999987E-2</v>
      </c>
      <c r="D20" s="28"/>
      <c r="E20" s="275">
        <v>30</v>
      </c>
      <c r="F20" s="275">
        <v>5</v>
      </c>
      <c r="G20" s="276">
        <f>+'West Texas FY15'!H14</f>
        <v>0.45397642487306084</v>
      </c>
      <c r="H20" s="271"/>
      <c r="I20" s="29"/>
      <c r="J20" s="29">
        <f t="shared" si="1"/>
        <v>4.4444289999999997E-2</v>
      </c>
    </row>
    <row r="21" spans="1:10" x14ac:dyDescent="0.2">
      <c r="A21" s="274">
        <v>30</v>
      </c>
      <c r="B21" s="275">
        <v>10</v>
      </c>
      <c r="C21" s="28">
        <f t="shared" si="0"/>
        <v>9.7899999999999987E-2</v>
      </c>
      <c r="D21" s="28"/>
      <c r="E21" s="275">
        <v>30</v>
      </c>
      <c r="F21" s="275">
        <v>6</v>
      </c>
      <c r="G21" s="276">
        <f>+'West Texas FY15'!H15</f>
        <v>8.779748491919627E-3</v>
      </c>
      <c r="H21" s="271"/>
      <c r="I21" s="29"/>
      <c r="J21" s="29">
        <f t="shared" si="1"/>
        <v>8.5954E-4</v>
      </c>
    </row>
    <row r="22" spans="1:10" x14ac:dyDescent="0.2">
      <c r="A22" s="274">
        <v>30</v>
      </c>
      <c r="B22" s="283">
        <v>10</v>
      </c>
      <c r="C22" s="28">
        <f>C21</f>
        <v>9.7899999999999987E-2</v>
      </c>
      <c r="D22" s="28"/>
      <c r="E22" s="275">
        <v>30</v>
      </c>
      <c r="F22" s="275">
        <v>8</v>
      </c>
      <c r="G22" s="276">
        <f>+'West Texas FY15'!H16</f>
        <v>4.339799634789169E-4</v>
      </c>
      <c r="H22" s="271"/>
      <c r="I22" s="29"/>
      <c r="J22" s="29">
        <f t="shared" si="1"/>
        <v>4.2490000000000001E-5</v>
      </c>
    </row>
    <row r="23" spans="1:10" x14ac:dyDescent="0.2">
      <c r="A23" s="274">
        <v>30</v>
      </c>
      <c r="B23" s="275">
        <v>10</v>
      </c>
      <c r="C23" s="28">
        <f>C21</f>
        <v>9.7899999999999987E-2</v>
      </c>
      <c r="D23" s="28"/>
      <c r="E23" s="275">
        <v>30</v>
      </c>
      <c r="F23" s="275">
        <v>11</v>
      </c>
      <c r="G23" s="276">
        <f>+'West Texas FY15'!H17</f>
        <v>0</v>
      </c>
      <c r="H23" s="271"/>
      <c r="I23" s="29"/>
      <c r="J23" s="29">
        <f t="shared" si="1"/>
        <v>0</v>
      </c>
    </row>
    <row r="24" spans="1:10" x14ac:dyDescent="0.2">
      <c r="A24" s="274">
        <v>30</v>
      </c>
      <c r="B24" s="275">
        <v>10</v>
      </c>
      <c r="C24" s="28">
        <f t="shared" si="0"/>
        <v>9.7899999999999987E-2</v>
      </c>
      <c r="D24" s="28"/>
      <c r="E24" s="275">
        <v>30</v>
      </c>
      <c r="F24" s="275">
        <v>13</v>
      </c>
      <c r="G24" s="276">
        <f>+'West Texas FY15'!H18</f>
        <v>8.689614191812467E-3</v>
      </c>
      <c r="H24" s="271"/>
      <c r="I24" s="29"/>
      <c r="J24" s="29">
        <f t="shared" si="1"/>
        <v>8.5070999999999996E-4</v>
      </c>
    </row>
    <row r="25" spans="1:10" x14ac:dyDescent="0.2">
      <c r="A25" s="274">
        <v>30</v>
      </c>
      <c r="B25" s="275">
        <v>10</v>
      </c>
      <c r="C25" s="28">
        <f t="shared" si="0"/>
        <v>9.7899999999999987E-2</v>
      </c>
      <c r="D25" s="28"/>
      <c r="E25" s="275">
        <v>30</v>
      </c>
      <c r="F25" s="275">
        <v>14</v>
      </c>
      <c r="G25" s="276">
        <f>+'West Texas FY15'!H19</f>
        <v>2.3368151879633989E-4</v>
      </c>
      <c r="H25" s="271"/>
      <c r="I25" s="29"/>
      <c r="J25" s="29">
        <f t="shared" si="1"/>
        <v>2.2880000000000001E-5</v>
      </c>
    </row>
    <row r="26" spans="1:10" x14ac:dyDescent="0.2">
      <c r="A26" s="274">
        <v>30</v>
      </c>
      <c r="B26" s="275">
        <v>10</v>
      </c>
      <c r="C26" s="28">
        <f t="shared" si="0"/>
        <v>9.7899999999999987E-2</v>
      </c>
      <c r="D26" s="28"/>
      <c r="E26" s="275">
        <v>30</v>
      </c>
      <c r="F26" s="275">
        <v>15</v>
      </c>
      <c r="G26" s="276">
        <f>+'West Texas FY15'!H20</f>
        <v>1.1350245198679365E-4</v>
      </c>
      <c r="H26" s="271"/>
      <c r="I26" s="29"/>
      <c r="J26" s="29">
        <f t="shared" si="1"/>
        <v>1.111E-5</v>
      </c>
    </row>
    <row r="27" spans="1:10" x14ac:dyDescent="0.2">
      <c r="A27" s="274">
        <v>30</v>
      </c>
      <c r="B27" s="275">
        <v>10</v>
      </c>
      <c r="C27" s="28">
        <f t="shared" si="0"/>
        <v>9.7899999999999987E-2</v>
      </c>
      <c r="D27" s="28"/>
      <c r="E27" s="275">
        <v>30</v>
      </c>
      <c r="F27" s="275">
        <v>16</v>
      </c>
      <c r="G27" s="276">
        <f>+'West Texas FY15'!H21</f>
        <v>0.22901122672782445</v>
      </c>
      <c r="H27" s="271"/>
      <c r="I27" s="29"/>
      <c r="J27" s="29">
        <f t="shared" si="1"/>
        <v>2.2420200000000001E-2</v>
      </c>
    </row>
    <row r="28" spans="1:10" x14ac:dyDescent="0.2">
      <c r="A28" s="274">
        <v>30</v>
      </c>
      <c r="B28" s="275">
        <v>10</v>
      </c>
      <c r="C28" s="28">
        <f t="shared" si="0"/>
        <v>9.7899999999999987E-2</v>
      </c>
      <c r="D28" s="28"/>
      <c r="E28" s="275">
        <v>30</v>
      </c>
      <c r="F28" s="275">
        <v>17</v>
      </c>
      <c r="G28" s="276">
        <f>+'West Texas FY15'!H22</f>
        <v>0</v>
      </c>
      <c r="H28" s="271"/>
      <c r="I28" s="29"/>
      <c r="J28" s="29">
        <f t="shared" si="1"/>
        <v>0</v>
      </c>
    </row>
    <row r="29" spans="1:10" x14ac:dyDescent="0.2">
      <c r="A29" s="274">
        <v>30</v>
      </c>
      <c r="B29" s="275">
        <v>10</v>
      </c>
      <c r="C29" s="28">
        <f t="shared" si="0"/>
        <v>9.7899999999999987E-2</v>
      </c>
      <c r="D29" s="28"/>
      <c r="E29" s="275">
        <v>30</v>
      </c>
      <c r="F29" s="275">
        <v>18</v>
      </c>
      <c r="G29" s="276">
        <f>+'West Texas FY15'!H23</f>
        <v>6.8769132674351455E-4</v>
      </c>
      <c r="H29" s="271"/>
      <c r="I29" s="29"/>
      <c r="J29" s="29">
        <f t="shared" si="1"/>
        <v>6.7319999999999999E-5</v>
      </c>
    </row>
    <row r="30" spans="1:10" x14ac:dyDescent="0.2">
      <c r="A30" s="274">
        <v>30</v>
      </c>
      <c r="B30" s="275">
        <v>10</v>
      </c>
      <c r="C30" s="28">
        <f t="shared" si="0"/>
        <v>9.7899999999999987E-2</v>
      </c>
      <c r="D30" s="28"/>
      <c r="E30" s="275">
        <v>30</v>
      </c>
      <c r="F30" s="275">
        <v>19</v>
      </c>
      <c r="G30" s="276">
        <f>+'West Texas FY15'!H24</f>
        <v>3.0044766702386555E-5</v>
      </c>
      <c r="H30" s="280"/>
      <c r="I30" s="29"/>
      <c r="J30" s="29">
        <f t="shared" si="1"/>
        <v>2.9399999999999998E-6</v>
      </c>
    </row>
    <row r="31" spans="1:10" x14ac:dyDescent="0.2">
      <c r="A31" s="274">
        <v>30</v>
      </c>
      <c r="B31" s="275">
        <v>10</v>
      </c>
      <c r="C31" s="28">
        <f t="shared" si="0"/>
        <v>9.7899999999999987E-2</v>
      </c>
      <c r="D31" s="28"/>
      <c r="E31" s="275">
        <v>30</v>
      </c>
      <c r="F31" s="275">
        <v>20</v>
      </c>
      <c r="G31" s="276">
        <f>+'West Texas FY15'!H25</f>
        <v>1.6721581823583808E-2</v>
      </c>
      <c r="H31" s="271"/>
      <c r="I31" s="29"/>
      <c r="J31" s="29">
        <f t="shared" si="1"/>
        <v>1.63704E-3</v>
      </c>
    </row>
    <row r="32" spans="1:10" x14ac:dyDescent="0.2">
      <c r="A32" s="274">
        <v>30</v>
      </c>
      <c r="B32" s="275">
        <v>10</v>
      </c>
      <c r="C32" s="28">
        <f t="shared" si="0"/>
        <v>9.7899999999999987E-2</v>
      </c>
      <c r="D32" s="28"/>
      <c r="E32" s="275">
        <v>30</v>
      </c>
      <c r="F32" s="275">
        <v>21</v>
      </c>
      <c r="G32" s="276">
        <f>+'West Texas FY15'!H26</f>
        <v>4.6335706869902821E-2</v>
      </c>
      <c r="H32" s="271"/>
      <c r="I32" s="29"/>
      <c r="J32" s="29">
        <f t="shared" si="1"/>
        <v>4.5362700000000002E-3</v>
      </c>
    </row>
    <row r="33" spans="1:10" x14ac:dyDescent="0.2">
      <c r="A33" s="277">
        <v>30</v>
      </c>
      <c r="B33" s="278">
        <v>10</v>
      </c>
      <c r="C33" s="30">
        <f t="shared" si="0"/>
        <v>9.7899999999999987E-2</v>
      </c>
      <c r="D33" s="30"/>
      <c r="E33" s="278">
        <v>30</v>
      </c>
      <c r="F33" s="278">
        <v>40</v>
      </c>
      <c r="G33" s="279">
        <f>+'West Texas FY15'!H27</f>
        <v>0</v>
      </c>
      <c r="H33" s="271"/>
      <c r="I33" s="29"/>
      <c r="J33" s="29">
        <f t="shared" si="1"/>
        <v>0</v>
      </c>
    </row>
    <row r="34" spans="1:10" x14ac:dyDescent="0.2">
      <c r="A34" s="275"/>
      <c r="B34" s="275"/>
      <c r="C34" s="28"/>
      <c r="D34" s="28"/>
      <c r="E34" s="275"/>
      <c r="F34" s="275"/>
      <c r="G34" s="271"/>
      <c r="H34" s="271"/>
      <c r="I34" s="29"/>
      <c r="J34" s="29"/>
    </row>
    <row r="35" spans="1:10" x14ac:dyDescent="0.2">
      <c r="A35" s="274">
        <v>50</v>
      </c>
      <c r="B35" s="275">
        <v>91</v>
      </c>
      <c r="C35" s="28">
        <f>'3 Factor Composite FY15FINAL'!Q30</f>
        <v>0.1087</v>
      </c>
      <c r="D35" s="28"/>
      <c r="E35" s="275">
        <v>50</v>
      </c>
      <c r="F35" s="275">
        <v>91</v>
      </c>
      <c r="G35" s="276">
        <v>-1</v>
      </c>
      <c r="H35" s="271"/>
      <c r="I35" s="29"/>
      <c r="J35" s="29"/>
    </row>
    <row r="36" spans="1:10" x14ac:dyDescent="0.2">
      <c r="A36" s="274">
        <v>50</v>
      </c>
      <c r="B36" s="275">
        <v>91</v>
      </c>
      <c r="C36" s="28">
        <f>C35</f>
        <v>0.1087</v>
      </c>
      <c r="D36" s="28"/>
      <c r="E36" s="275">
        <v>50</v>
      </c>
      <c r="F36" s="275">
        <v>9</v>
      </c>
      <c r="G36" s="276">
        <f>'Mid States FY14'!H10/100</f>
        <v>5.2599015110063553E-3</v>
      </c>
      <c r="H36" s="271"/>
      <c r="I36" s="29"/>
      <c r="J36" s="29">
        <f>C36-SUM(J37:J38)</f>
        <v>0.10818476</v>
      </c>
    </row>
    <row r="37" spans="1:10" x14ac:dyDescent="0.2">
      <c r="A37" s="274">
        <v>50</v>
      </c>
      <c r="B37" s="275">
        <v>91</v>
      </c>
      <c r="C37" s="28">
        <f>C36</f>
        <v>0.1087</v>
      </c>
      <c r="D37" s="28"/>
      <c r="E37" s="275">
        <v>50</v>
      </c>
      <c r="F37" s="275">
        <v>93</v>
      </c>
      <c r="G37" s="276">
        <f>'Mid States FY14'!H11/100</f>
        <v>4.0569889305105437E-3</v>
      </c>
      <c r="H37" s="271"/>
      <c r="I37" s="29"/>
      <c r="J37" s="29">
        <f t="shared" ref="J37:J38" si="2">ROUND(+C37*G37,8)</f>
        <v>4.4098999999999999E-4</v>
      </c>
    </row>
    <row r="38" spans="1:10" x14ac:dyDescent="0.2">
      <c r="A38" s="274">
        <v>50</v>
      </c>
      <c r="B38" s="275">
        <v>91</v>
      </c>
      <c r="C38" s="28">
        <f>C37</f>
        <v>0.1087</v>
      </c>
      <c r="D38" s="28"/>
      <c r="E38" s="275">
        <v>50</v>
      </c>
      <c r="F38" s="275">
        <v>96</v>
      </c>
      <c r="G38" s="276">
        <f>'Mid States FY14'!H12/100</f>
        <v>6.8310955848310112E-4</v>
      </c>
      <c r="H38" s="271"/>
      <c r="I38" s="29"/>
      <c r="J38" s="29">
        <f t="shared" si="2"/>
        <v>7.4250000000000002E-5</v>
      </c>
    </row>
    <row r="39" spans="1:10" x14ac:dyDescent="0.2">
      <c r="A39" s="250"/>
      <c r="B39" s="250"/>
      <c r="E39" s="250"/>
      <c r="F39" s="250"/>
      <c r="H39" s="109"/>
      <c r="I39" s="23"/>
      <c r="J39" s="23"/>
    </row>
    <row r="40" spans="1:10" x14ac:dyDescent="0.2">
      <c r="A40" s="272">
        <v>60</v>
      </c>
      <c r="B40" s="31">
        <v>30</v>
      </c>
      <c r="C40" s="27">
        <f>'3 Factor Composite FY15FINAL'!K30</f>
        <v>7.9399999999999998E-2</v>
      </c>
      <c r="D40" s="27"/>
      <c r="E40" s="31">
        <v>60</v>
      </c>
      <c r="F40" s="31">
        <v>30</v>
      </c>
      <c r="G40" s="273">
        <v>-1</v>
      </c>
      <c r="H40" s="271"/>
      <c r="I40" s="23"/>
      <c r="J40" s="23"/>
    </row>
    <row r="41" spans="1:10" x14ac:dyDescent="0.2">
      <c r="A41" s="274">
        <v>60</v>
      </c>
      <c r="B41" s="275">
        <v>30</v>
      </c>
      <c r="C41" s="28">
        <f>C40</f>
        <v>7.9399999999999998E-2</v>
      </c>
      <c r="D41" s="28"/>
      <c r="E41" s="275">
        <v>60</v>
      </c>
      <c r="F41" s="275">
        <v>31</v>
      </c>
      <c r="G41" s="276">
        <f>'CO KS FY14'!H11</f>
        <v>0.46332543482911259</v>
      </c>
      <c r="H41" s="271"/>
      <c r="I41" s="29"/>
      <c r="J41" s="29">
        <f>ROUND(+C41*G41,8)</f>
        <v>3.6788040000000001E-2</v>
      </c>
    </row>
    <row r="42" spans="1:10" x14ac:dyDescent="0.2">
      <c r="A42" s="277">
        <v>60</v>
      </c>
      <c r="B42" s="278">
        <v>30</v>
      </c>
      <c r="C42" s="30">
        <f>C41</f>
        <v>7.9399999999999998E-2</v>
      </c>
      <c r="D42" s="30"/>
      <c r="E42" s="278">
        <v>60</v>
      </c>
      <c r="F42" s="278">
        <v>81</v>
      </c>
      <c r="G42" s="279">
        <f>'CO KS FY14'!H12</f>
        <v>0.53667456517088741</v>
      </c>
      <c r="H42" s="271"/>
      <c r="I42" s="29"/>
      <c r="J42" s="29">
        <f>C42-SUM(J41:J41)</f>
        <v>4.2611959999999997E-2</v>
      </c>
    </row>
    <row r="43" spans="1:10" x14ac:dyDescent="0.2">
      <c r="A43" s="250"/>
      <c r="B43" s="250"/>
      <c r="E43" s="250"/>
      <c r="F43" s="250"/>
      <c r="H43" s="109"/>
      <c r="I43" s="23"/>
      <c r="J43" s="23"/>
    </row>
    <row r="44" spans="1:10" x14ac:dyDescent="0.2">
      <c r="A44" s="268">
        <v>70</v>
      </c>
      <c r="B44" s="269">
        <v>170</v>
      </c>
      <c r="C44" s="32">
        <f>'3 Factor Composite FY15FINAL'!S30</f>
        <v>8.1699999999999995E-2</v>
      </c>
      <c r="D44" s="32"/>
      <c r="E44" s="269"/>
      <c r="F44" s="269">
        <v>170</v>
      </c>
      <c r="G44" s="270"/>
      <c r="H44" s="271"/>
      <c r="I44" s="29"/>
      <c r="J44" s="29">
        <f>ROUND(+C44,8)</f>
        <v>8.1699999999999995E-2</v>
      </c>
    </row>
    <row r="45" spans="1:10" x14ac:dyDescent="0.2">
      <c r="A45" s="250"/>
      <c r="B45" s="250"/>
      <c r="E45" s="250"/>
      <c r="F45" s="250"/>
      <c r="H45" s="109"/>
      <c r="I45" s="23"/>
      <c r="J45" s="23"/>
    </row>
    <row r="46" spans="1:10" x14ac:dyDescent="0.2">
      <c r="A46" s="250">
        <v>80</v>
      </c>
      <c r="B46" s="250">
        <v>190</v>
      </c>
      <c r="C46" s="26">
        <f>'3 Factor Composite FY15FINAL'!U30</f>
        <v>0.51890000000000003</v>
      </c>
      <c r="E46" s="250"/>
      <c r="F46" s="250">
        <v>190</v>
      </c>
      <c r="H46" s="109"/>
      <c r="I46" s="29"/>
      <c r="J46" s="29">
        <f>1-SUM(J13:J44)</f>
        <v>0.51889999999999992</v>
      </c>
    </row>
    <row r="47" spans="1:10" x14ac:dyDescent="0.2">
      <c r="A47" s="250"/>
      <c r="B47" s="250"/>
      <c r="E47" s="250"/>
      <c r="F47" s="250"/>
      <c r="H47" s="282"/>
      <c r="I47" s="23"/>
      <c r="J47" s="23"/>
    </row>
    <row r="48" spans="1:10" x14ac:dyDescent="0.2">
      <c r="A48" s="250"/>
      <c r="B48" s="250"/>
      <c r="E48" s="250"/>
      <c r="F48" s="250"/>
    </row>
    <row r="49" spans="1:10" x14ac:dyDescent="0.2">
      <c r="B49" s="250"/>
      <c r="E49" s="250"/>
      <c r="F49" s="250"/>
    </row>
    <row r="50" spans="1:10" x14ac:dyDescent="0.2">
      <c r="A50" s="10" t="s">
        <v>1</v>
      </c>
      <c r="B50" s="250"/>
      <c r="C50" s="26">
        <f>C12+C16+C35+C40+C44+C46</f>
        <v>1</v>
      </c>
      <c r="E50" s="250"/>
      <c r="F50" s="250"/>
      <c r="I50" s="33"/>
      <c r="J50" s="33">
        <f>SUM(J13:J46)</f>
        <v>1</v>
      </c>
    </row>
    <row r="51" spans="1:10" x14ac:dyDescent="0.2">
      <c r="B51" s="250"/>
      <c r="E51" s="250"/>
      <c r="F51" s="250"/>
    </row>
  </sheetData>
  <phoneticPr fontId="10" type="noConversion"/>
  <printOptions horizontalCentered="1"/>
  <pageMargins left="0" right="0" top="1" bottom="1" header="0.5" footer="0.5"/>
  <pageSetup orientation="portrait" horizontalDpi="4294967294" verticalDpi="4294967294" r:id="rId1"/>
  <headerFooter alignWithMargins="0"/>
  <rowBreaks count="1" manualBreakCount="1">
    <brk id="50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rgb="FF00B0F0"/>
    <pageSetUpPr fitToPage="1"/>
  </sheetPr>
  <dimension ref="A1:H15"/>
  <sheetViews>
    <sheetView view="pageBreakPreview" zoomScale="60" zoomScaleNormal="100" workbookViewId="0"/>
  </sheetViews>
  <sheetFormatPr defaultRowHeight="15.75" x14ac:dyDescent="0.25"/>
  <cols>
    <col min="1" max="1" width="33.28515625" style="171" bestFit="1" customWidth="1"/>
    <col min="2" max="2" width="16.5703125" style="171" bestFit="1" customWidth="1"/>
    <col min="3" max="3" width="16.5703125" style="171" customWidth="1"/>
    <col min="4" max="4" width="14.85546875" style="171" bestFit="1" customWidth="1"/>
    <col min="5" max="5" width="9.140625" style="171"/>
    <col min="6" max="6" width="11.5703125" style="171" bestFit="1" customWidth="1"/>
    <col min="7" max="16384" width="9.140625" style="171"/>
  </cols>
  <sheetData>
    <row r="1" spans="1:8" x14ac:dyDescent="0.25">
      <c r="B1" s="171" t="s">
        <v>118</v>
      </c>
      <c r="C1" s="171" t="s">
        <v>119</v>
      </c>
      <c r="D1" s="171" t="s">
        <v>120</v>
      </c>
    </row>
    <row r="2" spans="1:8" x14ac:dyDescent="0.25">
      <c r="A2" s="169" t="s">
        <v>112</v>
      </c>
      <c r="B2" s="170">
        <f>'Summary WTX'!O22</f>
        <v>299552.75</v>
      </c>
      <c r="C2" s="170"/>
      <c r="D2" s="170">
        <f t="shared" ref="D2:D10" si="0">B2+C2</f>
        <v>299552.75</v>
      </c>
      <c r="F2" s="170"/>
      <c r="H2" s="170"/>
    </row>
    <row r="3" spans="1:8" x14ac:dyDescent="0.25">
      <c r="A3" s="169" t="s">
        <v>114</v>
      </c>
      <c r="B3" s="170">
        <f>'Summary CO-KS'!G22</f>
        <v>243083.75</v>
      </c>
      <c r="C3" s="170"/>
      <c r="D3" s="170">
        <f t="shared" si="0"/>
        <v>243083.75</v>
      </c>
      <c r="F3" s="170"/>
      <c r="H3" s="170"/>
    </row>
    <row r="4" spans="1:8" x14ac:dyDescent="0.25">
      <c r="A4" s="169" t="s">
        <v>111</v>
      </c>
      <c r="B4" s="170">
        <f>'Summary LA'!B22</f>
        <v>74692.75</v>
      </c>
      <c r="C4" s="170">
        <f>'Summary LA'!C22</f>
        <v>272260.41666666669</v>
      </c>
      <c r="D4" s="170">
        <f t="shared" si="0"/>
        <v>346953.16666666669</v>
      </c>
      <c r="F4" s="170"/>
      <c r="H4" s="170"/>
    </row>
    <row r="5" spans="1:8" x14ac:dyDescent="0.25">
      <c r="A5" s="169" t="s">
        <v>113</v>
      </c>
      <c r="B5" s="170">
        <f>'Summary Kentucky-Midstates'!E22</f>
        <v>332626.25</v>
      </c>
      <c r="C5" s="170"/>
      <c r="D5" s="170">
        <f t="shared" si="0"/>
        <v>332626.25</v>
      </c>
      <c r="F5" s="170"/>
      <c r="H5" s="170"/>
    </row>
    <row r="6" spans="1:8" x14ac:dyDescent="0.25">
      <c r="A6" s="169" t="s">
        <v>115</v>
      </c>
      <c r="B6" s="170">
        <f>'Summary MS'!B22</f>
        <v>250173.33333333334</v>
      </c>
      <c r="C6" s="170"/>
      <c r="D6" s="170">
        <f t="shared" si="0"/>
        <v>250173.33333333334</v>
      </c>
      <c r="F6" s="170"/>
      <c r="H6" s="170"/>
    </row>
    <row r="7" spans="1:8" x14ac:dyDescent="0.25">
      <c r="A7" s="169" t="s">
        <v>116</v>
      </c>
      <c r="B7" s="170">
        <f>'Summary Mid Tex'!B22</f>
        <v>1588125.9166666667</v>
      </c>
      <c r="C7" s="170"/>
      <c r="D7" s="170">
        <f t="shared" si="0"/>
        <v>1588125.9166666667</v>
      </c>
      <c r="F7" s="170"/>
      <c r="H7" s="170"/>
    </row>
    <row r="8" spans="1:8" x14ac:dyDescent="0.25">
      <c r="A8" s="169" t="s">
        <v>117</v>
      </c>
      <c r="B8" s="170">
        <f>'Summary AtmosPipeline'!D18</f>
        <v>346.75</v>
      </c>
      <c r="C8" s="170"/>
      <c r="D8" s="170">
        <f t="shared" si="0"/>
        <v>346.75</v>
      </c>
      <c r="F8" s="170"/>
      <c r="H8" s="170"/>
    </row>
    <row r="9" spans="1:8" x14ac:dyDescent="0.25">
      <c r="A9" s="169" t="s">
        <v>86</v>
      </c>
      <c r="B9" s="170">
        <v>1064</v>
      </c>
      <c r="C9" s="170"/>
      <c r="D9" s="170">
        <f t="shared" si="0"/>
        <v>1064</v>
      </c>
      <c r="H9" s="170"/>
    </row>
    <row r="10" spans="1:8" x14ac:dyDescent="0.25">
      <c r="A10" s="171" t="s">
        <v>89</v>
      </c>
      <c r="B10" s="171">
        <v>15</v>
      </c>
      <c r="D10" s="170">
        <f t="shared" si="0"/>
        <v>15</v>
      </c>
      <c r="H10" s="170"/>
    </row>
    <row r="11" spans="1:8" x14ac:dyDescent="0.25">
      <c r="A11" s="171" t="s">
        <v>1</v>
      </c>
      <c r="B11" s="247">
        <f>SUM(B2:B10)</f>
        <v>2789680.5</v>
      </c>
      <c r="C11" s="247">
        <f>SUM(C2:C10)</f>
        <v>272260.41666666669</v>
      </c>
      <c r="D11" s="247">
        <f>SUM(D2:D10)</f>
        <v>3061940.916666667</v>
      </c>
    </row>
    <row r="13" spans="1:8" x14ac:dyDescent="0.25">
      <c r="B13" s="170"/>
      <c r="C13" s="170"/>
      <c r="D13" s="170"/>
      <c r="F13" s="170"/>
      <c r="G13" s="170"/>
    </row>
    <row r="15" spans="1:8" x14ac:dyDescent="0.25">
      <c r="D15" s="170"/>
    </row>
  </sheetData>
  <phoneticPr fontId="0" type="noConversion"/>
  <pageMargins left="0.7" right="0.7" top="0.75" bottom="0.75" header="0.3" footer="0.3"/>
  <pageSetup orientation="portrait" horizontalDpi="4294967294" verticalDpi="4294967294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70C0"/>
  </sheetPr>
  <dimension ref="A1:H15"/>
  <sheetViews>
    <sheetView topLeftCell="A4" workbookViewId="0">
      <selection activeCell="E20" sqref="E20"/>
    </sheetView>
  </sheetViews>
  <sheetFormatPr defaultRowHeight="15.75" x14ac:dyDescent="0.25"/>
  <cols>
    <col min="1" max="1" width="10.5703125" style="171" bestFit="1" customWidth="1"/>
    <col min="2" max="2" width="16.5703125" style="171" bestFit="1" customWidth="1"/>
    <col min="3" max="3" width="16.5703125" style="171" customWidth="1"/>
    <col min="4" max="4" width="16.5703125" style="171" bestFit="1" customWidth="1"/>
    <col min="5" max="5" width="14.85546875" style="171" bestFit="1" customWidth="1"/>
    <col min="6" max="6" width="9.140625" style="171"/>
    <col min="7" max="7" width="9.85546875" style="171" bestFit="1" customWidth="1"/>
    <col min="8" max="16384" width="9.140625" style="171"/>
  </cols>
  <sheetData>
    <row r="1" spans="1:8" x14ac:dyDescent="0.25">
      <c r="B1" s="171" t="s">
        <v>118</v>
      </c>
      <c r="C1" s="171" t="s">
        <v>119</v>
      </c>
      <c r="D1" s="171" t="s">
        <v>187</v>
      </c>
      <c r="E1" s="171" t="s">
        <v>120</v>
      </c>
    </row>
    <row r="2" spans="1:8" x14ac:dyDescent="0.25">
      <c r="A2" s="169" t="s">
        <v>112</v>
      </c>
      <c r="B2" s="170" t="e">
        <f>#REF!</f>
        <v>#REF!</v>
      </c>
      <c r="C2" s="170"/>
      <c r="E2" s="170" t="e">
        <f>B2+C2+D2</f>
        <v>#REF!</v>
      </c>
    </row>
    <row r="3" spans="1:8" x14ac:dyDescent="0.25">
      <c r="A3" s="169" t="s">
        <v>114</v>
      </c>
      <c r="B3" s="170">
        <f>COKS!P41</f>
        <v>243695.41666666666</v>
      </c>
      <c r="C3" s="170"/>
      <c r="D3" s="170">
        <f>Liberty!F41+Liberty!G41</f>
        <v>3855</v>
      </c>
      <c r="E3" s="170">
        <f t="shared" ref="E3:E10" si="0">B3+C3+D3</f>
        <v>247550.41666666666</v>
      </c>
    </row>
    <row r="4" spans="1:8" x14ac:dyDescent="0.25">
      <c r="A4" s="169" t="s">
        <v>111</v>
      </c>
      <c r="B4" s="170" t="e">
        <f>#REF!</f>
        <v>#REF!</v>
      </c>
      <c r="C4" s="170" t="e">
        <f>#REF!</f>
        <v>#REF!</v>
      </c>
      <c r="E4" s="170" t="e">
        <f t="shared" si="0"/>
        <v>#REF!</v>
      </c>
    </row>
    <row r="5" spans="1:8" x14ac:dyDescent="0.25">
      <c r="A5" s="169" t="s">
        <v>113</v>
      </c>
      <c r="B5" s="170">
        <f>'KY, MdSt'!M41</f>
        <v>451605.83333333337</v>
      </c>
      <c r="C5" s="170"/>
      <c r="D5" s="170">
        <f>Liberty!B41+Liberty!C41+Liberty!D41+Liberty!E41+Liberty!H41</f>
        <v>76939.5</v>
      </c>
      <c r="E5" s="170">
        <f t="shared" si="0"/>
        <v>528545.33333333337</v>
      </c>
    </row>
    <row r="6" spans="1:8" x14ac:dyDescent="0.25">
      <c r="A6" s="169" t="s">
        <v>115</v>
      </c>
      <c r="B6" s="170" t="e">
        <f>#REF!</f>
        <v>#REF!</v>
      </c>
      <c r="C6" s="170"/>
      <c r="E6" s="170" t="e">
        <f t="shared" si="0"/>
        <v>#REF!</v>
      </c>
    </row>
    <row r="7" spans="1:8" x14ac:dyDescent="0.25">
      <c r="A7" s="169" t="s">
        <v>116</v>
      </c>
      <c r="B7" s="170" t="e">
        <f>#REF!</f>
        <v>#REF!</v>
      </c>
      <c r="C7" s="170"/>
      <c r="E7" s="170" t="e">
        <f t="shared" si="0"/>
        <v>#REF!</v>
      </c>
    </row>
    <row r="8" spans="1:8" x14ac:dyDescent="0.25">
      <c r="A8" s="169" t="s">
        <v>117</v>
      </c>
      <c r="B8" s="170" t="e">
        <f>#REF!</f>
        <v>#REF!</v>
      </c>
      <c r="C8" s="170"/>
      <c r="E8" s="170" t="e">
        <f t="shared" si="0"/>
        <v>#REF!</v>
      </c>
    </row>
    <row r="9" spans="1:8" x14ac:dyDescent="0.25">
      <c r="A9" s="169" t="s">
        <v>86</v>
      </c>
      <c r="B9" s="170">
        <v>1118</v>
      </c>
      <c r="C9" s="170"/>
      <c r="E9" s="170">
        <f t="shared" si="0"/>
        <v>1118</v>
      </c>
    </row>
    <row r="10" spans="1:8" x14ac:dyDescent="0.25">
      <c r="A10" s="171" t="s">
        <v>89</v>
      </c>
      <c r="B10" s="171">
        <v>7</v>
      </c>
      <c r="E10" s="170">
        <f t="shared" si="0"/>
        <v>7</v>
      </c>
    </row>
    <row r="11" spans="1:8" x14ac:dyDescent="0.25">
      <c r="B11" s="170" t="e">
        <f>SUM(B2:B10)</f>
        <v>#REF!</v>
      </c>
      <c r="C11" s="170" t="e">
        <f>SUM(C2:C10)</f>
        <v>#REF!</v>
      </c>
      <c r="D11" s="170">
        <f>SUM(D2:D10)</f>
        <v>80794.5</v>
      </c>
      <c r="E11" s="170" t="e">
        <f>SUM(E2:E10)</f>
        <v>#REF!</v>
      </c>
    </row>
    <row r="13" spans="1:8" x14ac:dyDescent="0.25">
      <c r="A13" s="171" t="s">
        <v>136</v>
      </c>
      <c r="B13" s="170"/>
      <c r="C13" s="170"/>
      <c r="E13" s="170">
        <f>COKS!N41+COKS!O41+'KY, MdSt'!C41+'KY, MdSt'!G41+'KY, MdSt'!H41+'KY, MdSt'!K41+Liberty!B41+Liberty!C41+Liberty!D41+Liberty!F41+Liberty!G41+Liberty!H41</f>
        <v>149711.83333333334</v>
      </c>
      <c r="G13" s="170"/>
      <c r="H13" s="170"/>
    </row>
    <row r="15" spans="1:8" x14ac:dyDescent="0.25">
      <c r="A15" s="171" t="s">
        <v>137</v>
      </c>
      <c r="E15" s="170" t="e">
        <f>E11-E13</f>
        <v>#REF!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Q44"/>
  <sheetViews>
    <sheetView view="pageBreakPreview" zoomScale="60" zoomScaleNormal="100" workbookViewId="0">
      <pane xSplit="1" ySplit="7" topLeftCell="B8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RowHeight="12.75" x14ac:dyDescent="0.2"/>
  <cols>
    <col min="1" max="1" width="16.42578125" style="319" customWidth="1"/>
    <col min="2" max="2" width="15.85546875" style="319" customWidth="1"/>
    <col min="3" max="3" width="16.85546875" style="319" customWidth="1"/>
    <col min="4" max="4" width="17" style="319" customWidth="1"/>
    <col min="5" max="14" width="13.140625" style="319" customWidth="1"/>
    <col min="15" max="16384" width="9.140625" style="319"/>
  </cols>
  <sheetData>
    <row r="1" spans="1:4" x14ac:dyDescent="0.2">
      <c r="A1" s="318" t="s">
        <v>345</v>
      </c>
    </row>
    <row r="2" spans="1:4" x14ac:dyDescent="0.2">
      <c r="A2" s="318" t="s">
        <v>346</v>
      </c>
    </row>
    <row r="3" spans="1:4" x14ac:dyDescent="0.2">
      <c r="A3" s="318" t="s">
        <v>347</v>
      </c>
    </row>
    <row r="7" spans="1:4" ht="39" thickBot="1" x14ac:dyDescent="0.25">
      <c r="B7" s="320" t="s">
        <v>348</v>
      </c>
      <c r="C7" s="320" t="s">
        <v>349</v>
      </c>
      <c r="D7" s="321" t="s">
        <v>350</v>
      </c>
    </row>
    <row r="9" spans="1:4" x14ac:dyDescent="0.2">
      <c r="A9" s="322">
        <v>41548</v>
      </c>
      <c r="B9" s="323">
        <v>74619</v>
      </c>
      <c r="C9" s="323">
        <v>273056</v>
      </c>
      <c r="D9" s="323">
        <f t="shared" ref="D9:D20" si="0">SUM(B9:C9)</f>
        <v>347675</v>
      </c>
    </row>
    <row r="10" spans="1:4" x14ac:dyDescent="0.2">
      <c r="A10" s="322">
        <v>41579</v>
      </c>
      <c r="B10" s="323">
        <v>74261</v>
      </c>
      <c r="C10" s="323">
        <v>270412</v>
      </c>
      <c r="D10" s="323">
        <f t="shared" si="0"/>
        <v>344673</v>
      </c>
    </row>
    <row r="11" spans="1:4" x14ac:dyDescent="0.2">
      <c r="A11" s="322">
        <v>41609</v>
      </c>
      <c r="B11" s="323">
        <v>74784</v>
      </c>
      <c r="C11" s="323">
        <v>271674</v>
      </c>
      <c r="D11" s="323">
        <f t="shared" si="0"/>
        <v>346458</v>
      </c>
    </row>
    <row r="12" spans="1:4" x14ac:dyDescent="0.2">
      <c r="A12" s="322">
        <v>41640</v>
      </c>
      <c r="B12" s="323">
        <v>75580</v>
      </c>
      <c r="C12" s="323">
        <v>273592</v>
      </c>
      <c r="D12" s="323">
        <f t="shared" si="0"/>
        <v>349172</v>
      </c>
    </row>
    <row r="13" spans="1:4" x14ac:dyDescent="0.2">
      <c r="A13" s="322">
        <v>41671</v>
      </c>
      <c r="B13" s="323">
        <v>75010</v>
      </c>
      <c r="C13" s="323">
        <v>273517</v>
      </c>
      <c r="D13" s="323">
        <f t="shared" si="0"/>
        <v>348527</v>
      </c>
    </row>
    <row r="14" spans="1:4" x14ac:dyDescent="0.2">
      <c r="A14" s="322">
        <v>41699</v>
      </c>
      <c r="B14" s="323">
        <v>75365</v>
      </c>
      <c r="C14" s="323">
        <v>274386</v>
      </c>
      <c r="D14" s="323">
        <f t="shared" si="0"/>
        <v>349751</v>
      </c>
    </row>
    <row r="15" spans="1:4" x14ac:dyDescent="0.2">
      <c r="A15" s="322">
        <v>41730</v>
      </c>
      <c r="B15" s="323">
        <v>74889</v>
      </c>
      <c r="C15" s="323">
        <v>272197</v>
      </c>
      <c r="D15" s="323">
        <f t="shared" si="0"/>
        <v>347086</v>
      </c>
    </row>
    <row r="16" spans="1:4" x14ac:dyDescent="0.2">
      <c r="A16" s="322">
        <v>41760</v>
      </c>
      <c r="B16" s="323">
        <v>75067</v>
      </c>
      <c r="C16" s="323">
        <v>273170</v>
      </c>
      <c r="D16" s="323">
        <f t="shared" si="0"/>
        <v>348237</v>
      </c>
    </row>
    <row r="17" spans="1:4" x14ac:dyDescent="0.2">
      <c r="A17" s="322">
        <v>41791</v>
      </c>
      <c r="B17" s="323">
        <v>74658</v>
      </c>
      <c r="C17" s="323">
        <v>272203</v>
      </c>
      <c r="D17" s="323">
        <f t="shared" si="0"/>
        <v>346861</v>
      </c>
    </row>
    <row r="18" spans="1:4" x14ac:dyDescent="0.2">
      <c r="A18" s="322">
        <v>41821</v>
      </c>
      <c r="B18" s="323">
        <v>74265</v>
      </c>
      <c r="C18" s="323">
        <v>271861</v>
      </c>
      <c r="D18" s="323">
        <f t="shared" si="0"/>
        <v>346126</v>
      </c>
    </row>
    <row r="19" spans="1:4" x14ac:dyDescent="0.2">
      <c r="A19" s="322">
        <v>41852</v>
      </c>
      <c r="B19" s="323">
        <v>73988</v>
      </c>
      <c r="C19" s="323">
        <v>270501</v>
      </c>
      <c r="D19" s="323">
        <f t="shared" si="0"/>
        <v>344489</v>
      </c>
    </row>
    <row r="20" spans="1:4" x14ac:dyDescent="0.2">
      <c r="A20" s="322">
        <v>41883</v>
      </c>
      <c r="B20" s="323">
        <v>73827</v>
      </c>
      <c r="C20" s="323">
        <v>270556</v>
      </c>
      <c r="D20" s="323">
        <f t="shared" si="0"/>
        <v>344383</v>
      </c>
    </row>
    <row r="21" spans="1:4" x14ac:dyDescent="0.2">
      <c r="A21" s="322"/>
    </row>
    <row r="22" spans="1:4" x14ac:dyDescent="0.2">
      <c r="A22" s="324" t="s">
        <v>351</v>
      </c>
      <c r="B22" s="325">
        <f>SUM(B9:B21)/12</f>
        <v>74692.75</v>
      </c>
      <c r="C22" s="325">
        <f>SUM(C9:C21)/12</f>
        <v>272260.41666666669</v>
      </c>
      <c r="D22" s="325">
        <f>SUM(D9:D21)/12</f>
        <v>346953.16666666669</v>
      </c>
    </row>
    <row r="23" spans="1:4" x14ac:dyDescent="0.2">
      <c r="A23" s="322"/>
    </row>
    <row r="24" spans="1:4" x14ac:dyDescent="0.2">
      <c r="A24" s="322"/>
    </row>
    <row r="25" spans="1:4" x14ac:dyDescent="0.2">
      <c r="A25" s="319" t="s">
        <v>405</v>
      </c>
      <c r="B25" s="319">
        <v>73504</v>
      </c>
      <c r="C25" s="319">
        <v>270793</v>
      </c>
    </row>
    <row r="27" spans="1:4" x14ac:dyDescent="0.2">
      <c r="B27" s="326">
        <f>B22-B25</f>
        <v>1188.75</v>
      </c>
      <c r="C27" s="326">
        <f>C22-C25</f>
        <v>1467.4166666666861</v>
      </c>
    </row>
    <row r="33" spans="17:17" x14ac:dyDescent="0.2">
      <c r="Q33" s="326"/>
    </row>
    <row r="34" spans="17:17" x14ac:dyDescent="0.2">
      <c r="Q34" s="326"/>
    </row>
    <row r="35" spans="17:17" x14ac:dyDescent="0.2">
      <c r="Q35" s="326"/>
    </row>
    <row r="36" spans="17:17" x14ac:dyDescent="0.2">
      <c r="Q36" s="326"/>
    </row>
    <row r="37" spans="17:17" x14ac:dyDescent="0.2">
      <c r="Q37" s="326"/>
    </row>
    <row r="38" spans="17:17" x14ac:dyDescent="0.2">
      <c r="Q38" s="326"/>
    </row>
    <row r="39" spans="17:17" x14ac:dyDescent="0.2">
      <c r="Q39" s="326"/>
    </row>
    <row r="40" spans="17:17" x14ac:dyDescent="0.2">
      <c r="Q40" s="326"/>
    </row>
    <row r="41" spans="17:17" x14ac:dyDescent="0.2">
      <c r="Q41" s="326"/>
    </row>
    <row r="42" spans="17:17" x14ac:dyDescent="0.2">
      <c r="Q42" s="326"/>
    </row>
    <row r="43" spans="17:17" x14ac:dyDescent="0.2">
      <c r="Q43" s="326"/>
    </row>
    <row r="44" spans="17:17" x14ac:dyDescent="0.2">
      <c r="Q44" s="326"/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27"/>
  <sheetViews>
    <sheetView view="pageBreakPreview" zoomScale="60" zoomScaleNormal="100" workbookViewId="0">
      <pane xSplit="1" ySplit="7" topLeftCell="E8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RowHeight="12.75" x14ac:dyDescent="0.2"/>
  <cols>
    <col min="1" max="1" width="16" style="319" customWidth="1"/>
    <col min="2" max="2" width="14.7109375" style="319" bestFit="1" customWidth="1"/>
    <col min="3" max="3" width="14.85546875" style="319" bestFit="1" customWidth="1"/>
    <col min="4" max="4" width="14.7109375" style="319" bestFit="1" customWidth="1"/>
    <col min="5" max="5" width="14.28515625" style="319" bestFit="1" customWidth="1"/>
    <col min="6" max="6" width="14.7109375" style="319" bestFit="1" customWidth="1"/>
    <col min="7" max="7" width="13.140625" style="319" bestFit="1" customWidth="1"/>
    <col min="8" max="8" width="14.7109375" style="319" bestFit="1" customWidth="1"/>
    <col min="9" max="9" width="11.42578125" style="319" bestFit="1" customWidth="1"/>
    <col min="10" max="10" width="15.5703125" style="319" bestFit="1" customWidth="1"/>
    <col min="11" max="11" width="14.85546875" style="319" bestFit="1" customWidth="1"/>
    <col min="12" max="12" width="14.5703125" style="319" bestFit="1" customWidth="1"/>
    <col min="13" max="13" width="10.5703125" style="319" bestFit="1" customWidth="1"/>
    <col min="14" max="14" width="14.42578125" style="319" bestFit="1" customWidth="1"/>
    <col min="15" max="15" width="12.140625" style="319" bestFit="1" customWidth="1"/>
    <col min="16" max="16384" width="9.140625" style="319"/>
  </cols>
  <sheetData>
    <row r="1" spans="1:15" x14ac:dyDescent="0.2">
      <c r="A1" s="327" t="s">
        <v>352</v>
      </c>
    </row>
    <row r="2" spans="1:15" x14ac:dyDescent="0.2">
      <c r="A2" s="318" t="s">
        <v>346</v>
      </c>
    </row>
    <row r="3" spans="1:15" x14ac:dyDescent="0.2">
      <c r="A3" s="318" t="s">
        <v>347</v>
      </c>
    </row>
    <row r="7" spans="1:15" ht="64.5" thickBot="1" x14ac:dyDescent="0.25">
      <c r="B7" s="320" t="s">
        <v>353</v>
      </c>
      <c r="C7" s="320" t="s">
        <v>354</v>
      </c>
      <c r="D7" s="320" t="s">
        <v>355</v>
      </c>
      <c r="E7" s="320" t="s">
        <v>356</v>
      </c>
      <c r="F7" s="320" t="s">
        <v>357</v>
      </c>
      <c r="G7" s="320" t="s">
        <v>358</v>
      </c>
      <c r="H7" s="320" t="s">
        <v>359</v>
      </c>
      <c r="I7" s="320" t="s">
        <v>360</v>
      </c>
      <c r="J7" s="320" t="s">
        <v>361</v>
      </c>
      <c r="K7" s="320" t="s">
        <v>362</v>
      </c>
      <c r="L7" s="320" t="s">
        <v>363</v>
      </c>
      <c r="M7" s="320" t="s">
        <v>364</v>
      </c>
      <c r="N7" s="320" t="s">
        <v>365</v>
      </c>
      <c r="O7" s="320" t="s">
        <v>366</v>
      </c>
    </row>
    <row r="9" spans="1:15" x14ac:dyDescent="0.2">
      <c r="A9" s="322">
        <v>41548</v>
      </c>
      <c r="B9" s="323">
        <v>1459</v>
      </c>
      <c r="C9" s="323">
        <v>147</v>
      </c>
      <c r="D9" s="323">
        <v>68762</v>
      </c>
      <c r="E9" s="319">
        <v>2579</v>
      </c>
      <c r="F9" s="319">
        <v>2839</v>
      </c>
      <c r="G9" s="319">
        <v>217</v>
      </c>
      <c r="H9" s="323">
        <v>68039</v>
      </c>
      <c r="I9" s="323">
        <v>4945</v>
      </c>
      <c r="J9" s="323">
        <v>135715</v>
      </c>
      <c r="K9" s="323">
        <v>13787</v>
      </c>
      <c r="L9" s="319">
        <v>61</v>
      </c>
      <c r="M9" s="319">
        <v>36</v>
      </c>
      <c r="N9" s="319">
        <v>9</v>
      </c>
      <c r="O9" s="326">
        <f t="shared" ref="O9:O20" si="0">SUM(B9:N9)</f>
        <v>298595</v>
      </c>
    </row>
    <row r="10" spans="1:15" x14ac:dyDescent="0.2">
      <c r="A10" s="322">
        <v>41579</v>
      </c>
      <c r="B10" s="323">
        <v>1433</v>
      </c>
      <c r="C10" s="323">
        <v>147</v>
      </c>
      <c r="D10" s="323">
        <v>68704</v>
      </c>
      <c r="E10" s="319">
        <v>2583</v>
      </c>
      <c r="F10" s="319">
        <v>2802</v>
      </c>
      <c r="G10" s="319">
        <v>212</v>
      </c>
      <c r="H10" s="323">
        <v>68181</v>
      </c>
      <c r="I10" s="323">
        <v>4957</v>
      </c>
      <c r="J10" s="323">
        <v>135577</v>
      </c>
      <c r="K10" s="323">
        <v>13823</v>
      </c>
      <c r="L10" s="319">
        <v>76</v>
      </c>
      <c r="M10" s="319">
        <v>35</v>
      </c>
      <c r="N10" s="319">
        <v>9</v>
      </c>
      <c r="O10" s="326">
        <f t="shared" si="0"/>
        <v>298539</v>
      </c>
    </row>
    <row r="11" spans="1:15" x14ac:dyDescent="0.2">
      <c r="A11" s="322">
        <v>41609</v>
      </c>
      <c r="B11" s="323">
        <v>1408</v>
      </c>
      <c r="C11" s="323">
        <v>142</v>
      </c>
      <c r="D11" s="323">
        <v>69281</v>
      </c>
      <c r="E11" s="319">
        <v>2592</v>
      </c>
      <c r="F11" s="319">
        <v>2731</v>
      </c>
      <c r="G11" s="319">
        <v>211</v>
      </c>
      <c r="H11" s="323">
        <v>69054</v>
      </c>
      <c r="I11" s="323">
        <v>5022</v>
      </c>
      <c r="J11" s="323">
        <v>136626</v>
      </c>
      <c r="K11" s="323">
        <v>13874</v>
      </c>
      <c r="L11" s="319">
        <v>70</v>
      </c>
      <c r="M11" s="319">
        <v>33</v>
      </c>
      <c r="N11" s="319">
        <v>9</v>
      </c>
      <c r="O11" s="326">
        <f t="shared" si="0"/>
        <v>301053</v>
      </c>
    </row>
    <row r="12" spans="1:15" x14ac:dyDescent="0.2">
      <c r="A12" s="322">
        <v>41640</v>
      </c>
      <c r="B12" s="323">
        <v>1408</v>
      </c>
      <c r="C12" s="323">
        <v>147</v>
      </c>
      <c r="D12" s="323">
        <v>69375</v>
      </c>
      <c r="E12" s="319">
        <v>2606</v>
      </c>
      <c r="F12" s="319">
        <v>2709</v>
      </c>
      <c r="G12" s="319">
        <v>213</v>
      </c>
      <c r="H12" s="323">
        <v>68948</v>
      </c>
      <c r="I12" s="323">
        <v>5041</v>
      </c>
      <c r="J12" s="323">
        <v>136646</v>
      </c>
      <c r="K12" s="323">
        <v>13943</v>
      </c>
      <c r="L12" s="319">
        <v>80</v>
      </c>
      <c r="M12" s="319">
        <v>33</v>
      </c>
      <c r="N12" s="319">
        <v>9</v>
      </c>
      <c r="O12" s="326">
        <f t="shared" si="0"/>
        <v>301158</v>
      </c>
    </row>
    <row r="13" spans="1:15" x14ac:dyDescent="0.2">
      <c r="A13" s="322">
        <v>41671</v>
      </c>
      <c r="B13" s="323">
        <v>1395</v>
      </c>
      <c r="C13" s="323">
        <v>135</v>
      </c>
      <c r="D13" s="323">
        <v>69657</v>
      </c>
      <c r="E13" s="319">
        <v>2613</v>
      </c>
      <c r="F13" s="319">
        <v>2687</v>
      </c>
      <c r="G13" s="319">
        <v>209</v>
      </c>
      <c r="H13" s="323">
        <v>69029</v>
      </c>
      <c r="I13" s="323">
        <v>5029</v>
      </c>
      <c r="J13" s="323">
        <v>137142</v>
      </c>
      <c r="K13" s="323">
        <v>13966</v>
      </c>
      <c r="L13" s="319">
        <v>75</v>
      </c>
      <c r="M13" s="319">
        <v>33</v>
      </c>
      <c r="N13" s="319">
        <v>9</v>
      </c>
      <c r="O13" s="326">
        <f t="shared" si="0"/>
        <v>301979</v>
      </c>
    </row>
    <row r="14" spans="1:15" x14ac:dyDescent="0.2">
      <c r="A14" s="322">
        <v>41699</v>
      </c>
      <c r="B14" s="323">
        <v>1384</v>
      </c>
      <c r="C14" s="323">
        <v>121</v>
      </c>
      <c r="D14" s="323">
        <v>69078</v>
      </c>
      <c r="E14" s="319">
        <v>2616</v>
      </c>
      <c r="F14" s="319">
        <v>2646</v>
      </c>
      <c r="G14" s="319">
        <v>207</v>
      </c>
      <c r="H14" s="323">
        <v>69080</v>
      </c>
      <c r="I14" s="323">
        <v>5055</v>
      </c>
      <c r="J14" s="323">
        <v>135982</v>
      </c>
      <c r="K14" s="323">
        <v>13918</v>
      </c>
      <c r="L14" s="319">
        <v>75</v>
      </c>
      <c r="M14" s="319">
        <v>33</v>
      </c>
      <c r="N14" s="319">
        <v>9</v>
      </c>
      <c r="O14" s="326">
        <f t="shared" si="0"/>
        <v>300204</v>
      </c>
    </row>
    <row r="15" spans="1:15" x14ac:dyDescent="0.2">
      <c r="A15" s="322">
        <v>41730</v>
      </c>
      <c r="B15" s="323">
        <v>1364</v>
      </c>
      <c r="C15" s="323">
        <v>137</v>
      </c>
      <c r="D15" s="323">
        <v>69524</v>
      </c>
      <c r="E15" s="319">
        <v>2643</v>
      </c>
      <c r="F15" s="319">
        <v>2617</v>
      </c>
      <c r="G15" s="319">
        <v>206</v>
      </c>
      <c r="H15" s="323">
        <v>69101</v>
      </c>
      <c r="I15" s="323">
        <v>5056</v>
      </c>
      <c r="J15" s="323">
        <v>137273</v>
      </c>
      <c r="K15" s="323">
        <v>14040</v>
      </c>
      <c r="L15" s="319">
        <v>80</v>
      </c>
      <c r="M15" s="319">
        <v>34</v>
      </c>
      <c r="N15" s="319">
        <v>9</v>
      </c>
      <c r="O15" s="326">
        <f t="shared" si="0"/>
        <v>302084</v>
      </c>
    </row>
    <row r="16" spans="1:15" x14ac:dyDescent="0.2">
      <c r="A16" s="322">
        <v>41760</v>
      </c>
      <c r="B16" s="323">
        <v>1346</v>
      </c>
      <c r="C16" s="323">
        <v>127</v>
      </c>
      <c r="D16" s="323">
        <v>69417</v>
      </c>
      <c r="E16" s="319">
        <v>2614</v>
      </c>
      <c r="F16" s="319">
        <v>2583</v>
      </c>
      <c r="G16" s="319">
        <v>201</v>
      </c>
      <c r="H16" s="323">
        <v>68902</v>
      </c>
      <c r="I16" s="323">
        <v>5053</v>
      </c>
      <c r="J16" s="323">
        <v>136141</v>
      </c>
      <c r="K16" s="323">
        <v>14028</v>
      </c>
      <c r="L16" s="319">
        <v>83</v>
      </c>
      <c r="M16" s="319">
        <v>34</v>
      </c>
      <c r="N16" s="319">
        <v>9</v>
      </c>
      <c r="O16" s="326">
        <f t="shared" si="0"/>
        <v>300538</v>
      </c>
    </row>
    <row r="17" spans="1:15" x14ac:dyDescent="0.2">
      <c r="A17" s="322">
        <v>41791</v>
      </c>
      <c r="B17" s="323">
        <v>1331</v>
      </c>
      <c r="C17" s="323">
        <v>112</v>
      </c>
      <c r="D17" s="323">
        <v>68883</v>
      </c>
      <c r="E17" s="319">
        <v>2594</v>
      </c>
      <c r="F17" s="319">
        <v>2549</v>
      </c>
      <c r="G17" s="319">
        <v>204</v>
      </c>
      <c r="H17" s="323">
        <v>68422</v>
      </c>
      <c r="I17" s="323">
        <v>5034</v>
      </c>
      <c r="J17" s="323">
        <v>135735</v>
      </c>
      <c r="K17" s="323">
        <v>13897</v>
      </c>
      <c r="L17" s="319">
        <v>70</v>
      </c>
      <c r="M17" s="319">
        <v>34</v>
      </c>
      <c r="N17" s="319">
        <v>9</v>
      </c>
      <c r="O17" s="326">
        <f t="shared" si="0"/>
        <v>298874</v>
      </c>
    </row>
    <row r="18" spans="1:15" x14ac:dyDescent="0.2">
      <c r="A18" s="322">
        <v>41821</v>
      </c>
      <c r="B18" s="323">
        <v>1316</v>
      </c>
      <c r="C18" s="323">
        <v>111</v>
      </c>
      <c r="D18" s="323">
        <v>68667</v>
      </c>
      <c r="E18" s="319">
        <v>2608</v>
      </c>
      <c r="F18" s="319">
        <v>2493</v>
      </c>
      <c r="G18" s="319">
        <v>200</v>
      </c>
      <c r="H18" s="323">
        <v>68343</v>
      </c>
      <c r="I18" s="323">
        <v>5008</v>
      </c>
      <c r="J18" s="323">
        <v>135299</v>
      </c>
      <c r="K18" s="323">
        <v>13753</v>
      </c>
      <c r="L18" s="319">
        <v>69</v>
      </c>
      <c r="M18" s="319">
        <v>35</v>
      </c>
      <c r="N18" s="319">
        <v>9</v>
      </c>
      <c r="O18" s="326">
        <f t="shared" si="0"/>
        <v>297911</v>
      </c>
    </row>
    <row r="19" spans="1:15" x14ac:dyDescent="0.2">
      <c r="A19" s="322">
        <v>41852</v>
      </c>
      <c r="B19" s="323">
        <v>1297</v>
      </c>
      <c r="C19" s="323">
        <v>116</v>
      </c>
      <c r="D19" s="323">
        <v>68338</v>
      </c>
      <c r="E19" s="319">
        <v>2601</v>
      </c>
      <c r="F19" s="319">
        <v>2471</v>
      </c>
      <c r="G19" s="319">
        <v>195</v>
      </c>
      <c r="H19" s="323">
        <v>68150</v>
      </c>
      <c r="I19" s="323">
        <v>4951</v>
      </c>
      <c r="J19" s="323">
        <v>134698</v>
      </c>
      <c r="K19" s="323">
        <v>13735</v>
      </c>
      <c r="L19" s="319">
        <v>54</v>
      </c>
      <c r="M19" s="319">
        <v>35</v>
      </c>
      <c r="N19" s="319">
        <v>9</v>
      </c>
      <c r="O19" s="326">
        <f t="shared" si="0"/>
        <v>296650</v>
      </c>
    </row>
    <row r="20" spans="1:15" x14ac:dyDescent="0.2">
      <c r="A20" s="322">
        <v>41883</v>
      </c>
      <c r="B20" s="323">
        <v>1292</v>
      </c>
      <c r="C20" s="323">
        <v>120</v>
      </c>
      <c r="D20" s="323">
        <v>68581</v>
      </c>
      <c r="E20" s="319">
        <v>2587</v>
      </c>
      <c r="F20" s="319">
        <v>2432</v>
      </c>
      <c r="G20" s="319">
        <v>194</v>
      </c>
      <c r="H20" s="323">
        <v>67968</v>
      </c>
      <c r="I20" s="323">
        <v>4962</v>
      </c>
      <c r="J20" s="323">
        <v>135018</v>
      </c>
      <c r="K20" s="323">
        <v>13799</v>
      </c>
      <c r="L20" s="319">
        <v>51</v>
      </c>
      <c r="M20" s="319">
        <v>35</v>
      </c>
      <c r="N20" s="319">
        <v>9</v>
      </c>
      <c r="O20" s="326">
        <f t="shared" si="0"/>
        <v>297048</v>
      </c>
    </row>
    <row r="21" spans="1:15" x14ac:dyDescent="0.2">
      <c r="A21" s="322"/>
      <c r="O21" s="326"/>
    </row>
    <row r="22" spans="1:15" x14ac:dyDescent="0.2">
      <c r="A22" s="324" t="s">
        <v>351</v>
      </c>
      <c r="B22" s="325">
        <f t="shared" ref="B22:O22" si="1">SUM(B9:B21)/12</f>
        <v>1369.4166666666667</v>
      </c>
      <c r="C22" s="325">
        <f t="shared" si="1"/>
        <v>130.16666666666666</v>
      </c>
      <c r="D22" s="325">
        <f t="shared" si="1"/>
        <v>69022.25</v>
      </c>
      <c r="E22" s="325">
        <f t="shared" si="1"/>
        <v>2603</v>
      </c>
      <c r="F22" s="325">
        <f t="shared" si="1"/>
        <v>2629.9166666666665</v>
      </c>
      <c r="G22" s="325">
        <f t="shared" si="1"/>
        <v>205.75</v>
      </c>
      <c r="H22" s="325">
        <f t="shared" si="1"/>
        <v>68601.416666666672</v>
      </c>
      <c r="I22" s="325">
        <f t="shared" si="1"/>
        <v>5009.416666666667</v>
      </c>
      <c r="J22" s="325">
        <f t="shared" si="1"/>
        <v>135987.66666666666</v>
      </c>
      <c r="K22" s="325">
        <f t="shared" si="1"/>
        <v>13880.25</v>
      </c>
      <c r="L22" s="325">
        <f t="shared" si="1"/>
        <v>70.333333333333329</v>
      </c>
      <c r="M22" s="325">
        <f t="shared" si="1"/>
        <v>34.166666666666664</v>
      </c>
      <c r="N22" s="325">
        <f t="shared" si="1"/>
        <v>9</v>
      </c>
      <c r="O22" s="325">
        <f t="shared" si="1"/>
        <v>299552.75</v>
      </c>
    </row>
    <row r="27" spans="1:15" x14ac:dyDescent="0.2">
      <c r="O27" s="326"/>
    </row>
  </sheetData>
  <pageMargins left="0.7" right="0.7" top="0.75" bottom="0.75" header="0.3" footer="0.3"/>
  <pageSetup scale="59" orientation="landscape" horizontalDpi="4294967294" verticalDpi="429496729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4"/>
  <sheetViews>
    <sheetView view="pageBreakPreview" zoomScale="60" zoomScaleNormal="100" workbookViewId="0">
      <pane xSplit="1" ySplit="7" topLeftCell="B13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RowHeight="12.75" x14ac:dyDescent="0.2"/>
  <cols>
    <col min="1" max="1" width="16.42578125" style="319" customWidth="1"/>
    <col min="2" max="2" width="15.85546875" style="319" customWidth="1"/>
    <col min="3" max="4" width="16.85546875" style="319" customWidth="1"/>
    <col min="5" max="5" width="17" style="319" customWidth="1"/>
    <col min="6" max="15" width="13.140625" style="319" customWidth="1"/>
    <col min="16" max="16384" width="9.140625" style="319"/>
  </cols>
  <sheetData>
    <row r="1" spans="1:5" x14ac:dyDescent="0.2">
      <c r="A1" s="328" t="s">
        <v>367</v>
      </c>
    </row>
    <row r="2" spans="1:5" x14ac:dyDescent="0.2">
      <c r="A2" s="318" t="s">
        <v>346</v>
      </c>
    </row>
    <row r="3" spans="1:5" x14ac:dyDescent="0.2">
      <c r="A3" s="318" t="s">
        <v>347</v>
      </c>
    </row>
    <row r="7" spans="1:5" ht="39" thickBot="1" x14ac:dyDescent="0.25">
      <c r="B7" s="320" t="s">
        <v>368</v>
      </c>
      <c r="C7" s="320" t="s">
        <v>369</v>
      </c>
      <c r="D7" s="320" t="s">
        <v>370</v>
      </c>
      <c r="E7" s="321" t="s">
        <v>371</v>
      </c>
    </row>
    <row r="9" spans="1:5" x14ac:dyDescent="0.2">
      <c r="A9" s="322">
        <v>41548</v>
      </c>
      <c r="B9" s="323">
        <v>173761</v>
      </c>
      <c r="C9" s="323">
        <v>132703</v>
      </c>
      <c r="D9" s="323">
        <v>22518</v>
      </c>
      <c r="E9" s="323">
        <f>SUM(B9:D9)</f>
        <v>328982</v>
      </c>
    </row>
    <row r="10" spans="1:5" x14ac:dyDescent="0.2">
      <c r="A10" s="322">
        <v>41579</v>
      </c>
      <c r="B10" s="323">
        <v>174528</v>
      </c>
      <c r="C10" s="323">
        <v>133853</v>
      </c>
      <c r="D10" s="323">
        <v>22613</v>
      </c>
      <c r="E10" s="323">
        <f t="shared" ref="E10:E19" si="0">SUM(B10:D10)</f>
        <v>330994</v>
      </c>
    </row>
    <row r="11" spans="1:5" x14ac:dyDescent="0.2">
      <c r="A11" s="322">
        <v>41609</v>
      </c>
      <c r="B11" s="323">
        <v>176451</v>
      </c>
      <c r="C11" s="323">
        <v>135037</v>
      </c>
      <c r="D11" s="323">
        <v>22594</v>
      </c>
      <c r="E11" s="323">
        <f t="shared" si="0"/>
        <v>334082</v>
      </c>
    </row>
    <row r="12" spans="1:5" x14ac:dyDescent="0.2">
      <c r="A12" s="322">
        <v>41640</v>
      </c>
      <c r="B12" s="323">
        <v>177753</v>
      </c>
      <c r="C12" s="323">
        <v>136248</v>
      </c>
      <c r="D12" s="323">
        <v>23124</v>
      </c>
      <c r="E12" s="323">
        <f t="shared" si="0"/>
        <v>337125</v>
      </c>
    </row>
    <row r="13" spans="1:5" x14ac:dyDescent="0.2">
      <c r="A13" s="322">
        <v>41671</v>
      </c>
      <c r="B13" s="323">
        <v>178092</v>
      </c>
      <c r="C13" s="323">
        <v>136297</v>
      </c>
      <c r="D13" s="323">
        <v>23170</v>
      </c>
      <c r="E13" s="323">
        <f t="shared" si="0"/>
        <v>337559</v>
      </c>
    </row>
    <row r="14" spans="1:5" x14ac:dyDescent="0.2">
      <c r="A14" s="322">
        <v>41699</v>
      </c>
      <c r="B14" s="323">
        <v>177912</v>
      </c>
      <c r="C14" s="323">
        <v>136553</v>
      </c>
      <c r="D14" s="323">
        <v>22929</v>
      </c>
      <c r="E14" s="323">
        <f t="shared" si="0"/>
        <v>337394</v>
      </c>
    </row>
    <row r="15" spans="1:5" x14ac:dyDescent="0.2">
      <c r="A15" s="322">
        <v>41730</v>
      </c>
      <c r="B15" s="323">
        <v>177028</v>
      </c>
      <c r="C15" s="323">
        <v>136150</v>
      </c>
      <c r="D15" s="323">
        <v>22971</v>
      </c>
      <c r="E15" s="323">
        <f t="shared" si="0"/>
        <v>336149</v>
      </c>
    </row>
    <row r="16" spans="1:5" x14ac:dyDescent="0.2">
      <c r="A16" s="322">
        <v>41760</v>
      </c>
      <c r="B16" s="323">
        <v>177082</v>
      </c>
      <c r="C16" s="323">
        <v>136658</v>
      </c>
      <c r="D16" s="323">
        <v>23058</v>
      </c>
      <c r="E16" s="323">
        <f t="shared" si="0"/>
        <v>336798</v>
      </c>
    </row>
    <row r="17" spans="1:5" x14ac:dyDescent="0.2">
      <c r="A17" s="322">
        <v>41791</v>
      </c>
      <c r="B17" s="323">
        <v>174490</v>
      </c>
      <c r="C17" s="323">
        <v>135034</v>
      </c>
      <c r="D17" s="323">
        <v>22503</v>
      </c>
      <c r="E17" s="323">
        <f t="shared" si="0"/>
        <v>332027</v>
      </c>
    </row>
    <row r="18" spans="1:5" x14ac:dyDescent="0.2">
      <c r="A18" s="322">
        <v>41821</v>
      </c>
      <c r="B18" s="323">
        <v>172840</v>
      </c>
      <c r="C18" s="323">
        <v>134317</v>
      </c>
      <c r="D18" s="323">
        <v>22699</v>
      </c>
      <c r="E18" s="323">
        <f t="shared" si="0"/>
        <v>329856</v>
      </c>
    </row>
    <row r="19" spans="1:5" x14ac:dyDescent="0.2">
      <c r="A19" s="322">
        <v>41852</v>
      </c>
      <c r="B19" s="323">
        <v>169836</v>
      </c>
      <c r="C19" s="323">
        <v>133422</v>
      </c>
      <c r="D19" s="323">
        <v>22299</v>
      </c>
      <c r="E19" s="323">
        <f t="shared" si="0"/>
        <v>325557</v>
      </c>
    </row>
    <row r="20" spans="1:5" x14ac:dyDescent="0.2">
      <c r="A20" s="322">
        <v>41883</v>
      </c>
      <c r="B20" s="323">
        <v>169727</v>
      </c>
      <c r="C20" s="323">
        <v>133080</v>
      </c>
      <c r="D20" s="323">
        <v>22185</v>
      </c>
      <c r="E20" s="323">
        <f>SUM(B20:D20)</f>
        <v>324992</v>
      </c>
    </row>
    <row r="21" spans="1:5" x14ac:dyDescent="0.2">
      <c r="A21" s="322"/>
    </row>
    <row r="22" spans="1:5" x14ac:dyDescent="0.2">
      <c r="A22" s="324" t="s">
        <v>351</v>
      </c>
      <c r="B22" s="325">
        <f>SUM(B9:B21)/12</f>
        <v>174958.33333333334</v>
      </c>
      <c r="C22" s="325">
        <f>SUM(C9:C21)/12</f>
        <v>134946</v>
      </c>
      <c r="D22" s="325">
        <f t="shared" ref="D22:E22" si="1">SUM(D9:D21)/12</f>
        <v>22721.916666666668</v>
      </c>
      <c r="E22" s="325">
        <f t="shared" si="1"/>
        <v>332626.25</v>
      </c>
    </row>
    <row r="23" spans="1:5" x14ac:dyDescent="0.2">
      <c r="A23" s="322"/>
    </row>
    <row r="24" spans="1:5" x14ac:dyDescent="0.2">
      <c r="A24" s="322"/>
    </row>
    <row r="26" spans="1:5" x14ac:dyDescent="0.2">
      <c r="E26" s="319">
        <v>330213</v>
      </c>
    </row>
    <row r="28" spans="1:5" x14ac:dyDescent="0.2">
      <c r="E28" s="326">
        <f>E22-E26</f>
        <v>2413.25</v>
      </c>
    </row>
    <row r="33" spans="18:18" x14ac:dyDescent="0.2">
      <c r="R33" s="326"/>
    </row>
    <row r="34" spans="18:18" x14ac:dyDescent="0.2">
      <c r="R34" s="326"/>
    </row>
    <row r="35" spans="18:18" x14ac:dyDescent="0.2">
      <c r="R35" s="326"/>
    </row>
    <row r="36" spans="18:18" x14ac:dyDescent="0.2">
      <c r="R36" s="326"/>
    </row>
    <row r="37" spans="18:18" x14ac:dyDescent="0.2">
      <c r="R37" s="326"/>
    </row>
    <row r="38" spans="18:18" x14ac:dyDescent="0.2">
      <c r="R38" s="326"/>
    </row>
    <row r="39" spans="18:18" x14ac:dyDescent="0.2">
      <c r="R39" s="326"/>
    </row>
    <row r="40" spans="18:18" x14ac:dyDescent="0.2">
      <c r="R40" s="326"/>
    </row>
    <row r="41" spans="18:18" x14ac:dyDescent="0.2">
      <c r="R41" s="326"/>
    </row>
    <row r="42" spans="18:18" x14ac:dyDescent="0.2">
      <c r="R42" s="326"/>
    </row>
    <row r="43" spans="18:18" x14ac:dyDescent="0.2">
      <c r="R43" s="326"/>
    </row>
    <row r="44" spans="18:18" x14ac:dyDescent="0.2">
      <c r="R44" s="326"/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R44"/>
  <sheetViews>
    <sheetView view="pageBreakPreview" zoomScale="60" zoomScaleNormal="100" workbookViewId="0">
      <pane xSplit="1" ySplit="7" topLeftCell="B20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RowHeight="12.75" x14ac:dyDescent="0.2"/>
  <cols>
    <col min="1" max="1" width="16.42578125" style="319" customWidth="1"/>
    <col min="2" max="2" width="15.85546875" style="319" customWidth="1"/>
    <col min="3" max="4" width="16.85546875" style="319" customWidth="1"/>
    <col min="5" max="5" width="17" style="319" customWidth="1"/>
    <col min="6" max="6" width="14.5703125" style="319" customWidth="1"/>
    <col min="7" max="15" width="13.140625" style="319" customWidth="1"/>
    <col min="16" max="16384" width="9.140625" style="319"/>
  </cols>
  <sheetData>
    <row r="1" spans="1:7" x14ac:dyDescent="0.2">
      <c r="A1" s="329" t="s">
        <v>372</v>
      </c>
      <c r="B1" s="330"/>
    </row>
    <row r="2" spans="1:7" x14ac:dyDescent="0.2">
      <c r="A2" s="329" t="s">
        <v>346</v>
      </c>
      <c r="B2" s="331"/>
    </row>
    <row r="3" spans="1:7" x14ac:dyDescent="0.2">
      <c r="A3" s="318" t="s">
        <v>347</v>
      </c>
      <c r="B3" s="330"/>
    </row>
    <row r="7" spans="1:7" ht="51.75" thickBot="1" x14ac:dyDescent="0.25">
      <c r="B7" s="320" t="s">
        <v>373</v>
      </c>
      <c r="C7" s="320" t="s">
        <v>374</v>
      </c>
      <c r="D7" s="320" t="s">
        <v>375</v>
      </c>
      <c r="E7" s="320" t="s">
        <v>376</v>
      </c>
      <c r="F7" s="320" t="s">
        <v>377</v>
      </c>
      <c r="G7" s="320" t="s">
        <v>378</v>
      </c>
    </row>
    <row r="9" spans="1:7" x14ac:dyDescent="0.2">
      <c r="A9" s="322">
        <v>41548</v>
      </c>
      <c r="B9" s="323">
        <v>49112</v>
      </c>
      <c r="C9" s="323">
        <v>25220</v>
      </c>
      <c r="D9" s="323">
        <v>20940</v>
      </c>
      <c r="E9" s="323">
        <v>16797</v>
      </c>
      <c r="F9" s="323">
        <v>129890</v>
      </c>
      <c r="G9" s="326">
        <f>SUM(B9:F9)</f>
        <v>241959</v>
      </c>
    </row>
    <row r="10" spans="1:7" x14ac:dyDescent="0.2">
      <c r="A10" s="322">
        <v>41579</v>
      </c>
      <c r="B10" s="323">
        <v>49081</v>
      </c>
      <c r="C10" s="323">
        <v>25067</v>
      </c>
      <c r="D10" s="323">
        <v>20943</v>
      </c>
      <c r="E10" s="323">
        <v>16834</v>
      </c>
      <c r="F10" s="323">
        <v>129988</v>
      </c>
      <c r="G10" s="326">
        <f t="shared" ref="G10:G20" si="0">SUM(B10:F10)</f>
        <v>241913</v>
      </c>
    </row>
    <row r="11" spans="1:7" x14ac:dyDescent="0.2">
      <c r="A11" s="322">
        <v>41609</v>
      </c>
      <c r="B11" s="323">
        <v>49014</v>
      </c>
      <c r="C11" s="323">
        <v>25039</v>
      </c>
      <c r="D11" s="323">
        <v>20967</v>
      </c>
      <c r="E11" s="323">
        <v>16810</v>
      </c>
      <c r="F11" s="323">
        <v>130465</v>
      </c>
      <c r="G11" s="326">
        <f t="shared" si="0"/>
        <v>242295</v>
      </c>
    </row>
    <row r="12" spans="1:7" x14ac:dyDescent="0.2">
      <c r="A12" s="322">
        <v>41640</v>
      </c>
      <c r="B12" s="323">
        <v>49281</v>
      </c>
      <c r="C12" s="323">
        <v>25101</v>
      </c>
      <c r="D12" s="323">
        <v>21007</v>
      </c>
      <c r="E12" s="323">
        <v>16831</v>
      </c>
      <c r="F12" s="323">
        <v>130824</v>
      </c>
      <c r="G12" s="326">
        <f t="shared" si="0"/>
        <v>243044</v>
      </c>
    </row>
    <row r="13" spans="1:7" x14ac:dyDescent="0.2">
      <c r="A13" s="322">
        <v>41671</v>
      </c>
      <c r="B13" s="323">
        <v>49322</v>
      </c>
      <c r="C13" s="323">
        <v>25223</v>
      </c>
      <c r="D13" s="323">
        <v>21015</v>
      </c>
      <c r="E13" s="323">
        <v>16854</v>
      </c>
      <c r="F13" s="323">
        <v>130809</v>
      </c>
      <c r="G13" s="326">
        <f t="shared" si="0"/>
        <v>243223</v>
      </c>
    </row>
    <row r="14" spans="1:7" x14ac:dyDescent="0.2">
      <c r="A14" s="322">
        <v>41699</v>
      </c>
      <c r="B14" s="323">
        <v>49415</v>
      </c>
      <c r="C14" s="323">
        <v>25199</v>
      </c>
      <c r="D14" s="323">
        <v>20964</v>
      </c>
      <c r="E14" s="323">
        <v>16954</v>
      </c>
      <c r="F14" s="323">
        <v>131166</v>
      </c>
      <c r="G14" s="326">
        <f t="shared" si="0"/>
        <v>243698</v>
      </c>
    </row>
    <row r="15" spans="1:7" x14ac:dyDescent="0.2">
      <c r="A15" s="322">
        <v>41730</v>
      </c>
      <c r="B15" s="323">
        <v>49740</v>
      </c>
      <c r="C15" s="323">
        <v>25196</v>
      </c>
      <c r="D15" s="323">
        <v>21090</v>
      </c>
      <c r="E15" s="323">
        <v>17053</v>
      </c>
      <c r="F15" s="323">
        <v>130800</v>
      </c>
      <c r="G15" s="326">
        <f t="shared" si="0"/>
        <v>243879</v>
      </c>
    </row>
    <row r="16" spans="1:7" x14ac:dyDescent="0.2">
      <c r="A16" s="322">
        <v>41760</v>
      </c>
      <c r="B16" s="323">
        <v>49893</v>
      </c>
      <c r="C16" s="323">
        <v>25330</v>
      </c>
      <c r="D16" s="323">
        <v>20962</v>
      </c>
      <c r="E16" s="323">
        <v>17087</v>
      </c>
      <c r="F16" s="323">
        <v>131109</v>
      </c>
      <c r="G16" s="326">
        <f t="shared" si="0"/>
        <v>244381</v>
      </c>
    </row>
    <row r="17" spans="1:7" x14ac:dyDescent="0.2">
      <c r="A17" s="322">
        <v>41791</v>
      </c>
      <c r="B17" s="323">
        <v>50037</v>
      </c>
      <c r="C17" s="323">
        <v>25222</v>
      </c>
      <c r="D17" s="323">
        <v>20951</v>
      </c>
      <c r="E17" s="323">
        <v>17017</v>
      </c>
      <c r="F17" s="323">
        <v>129529</v>
      </c>
      <c r="G17" s="326">
        <f t="shared" si="0"/>
        <v>242756</v>
      </c>
    </row>
    <row r="18" spans="1:7" x14ac:dyDescent="0.2">
      <c r="A18" s="322">
        <v>41821</v>
      </c>
      <c r="B18" s="323">
        <v>50030</v>
      </c>
      <c r="C18" s="323">
        <v>25151</v>
      </c>
      <c r="D18" s="323">
        <v>20922</v>
      </c>
      <c r="E18" s="323">
        <v>17007</v>
      </c>
      <c r="F18" s="323">
        <v>131563</v>
      </c>
      <c r="G18" s="326">
        <f t="shared" si="0"/>
        <v>244673</v>
      </c>
    </row>
    <row r="19" spans="1:7" x14ac:dyDescent="0.2">
      <c r="A19" s="322">
        <v>41852</v>
      </c>
      <c r="B19" s="323">
        <v>49720</v>
      </c>
      <c r="C19" s="323">
        <v>25073</v>
      </c>
      <c r="D19" s="323">
        <v>20846</v>
      </c>
      <c r="E19" s="323">
        <v>17054</v>
      </c>
      <c r="F19" s="323">
        <v>129610</v>
      </c>
      <c r="G19" s="326">
        <f t="shared" si="0"/>
        <v>242303</v>
      </c>
    </row>
    <row r="20" spans="1:7" x14ac:dyDescent="0.2">
      <c r="A20" s="322">
        <v>41883</v>
      </c>
      <c r="B20" s="323">
        <v>50140</v>
      </c>
      <c r="C20" s="323">
        <v>25144</v>
      </c>
      <c r="D20" s="323">
        <v>20875</v>
      </c>
      <c r="E20" s="323">
        <v>16992</v>
      </c>
      <c r="F20" s="323">
        <v>129730</v>
      </c>
      <c r="G20" s="326">
        <f t="shared" si="0"/>
        <v>242881</v>
      </c>
    </row>
    <row r="21" spans="1:7" x14ac:dyDescent="0.2">
      <c r="A21" s="322"/>
      <c r="E21" s="323"/>
    </row>
    <row r="22" spans="1:7" x14ac:dyDescent="0.2">
      <c r="A22" s="324" t="s">
        <v>351</v>
      </c>
      <c r="B22" s="325">
        <f>SUM(B9:B21)/12</f>
        <v>49565.416666666664</v>
      </c>
      <c r="C22" s="325">
        <f>SUM(C9:C21)/12</f>
        <v>25163.75</v>
      </c>
      <c r="D22" s="325">
        <f t="shared" ref="D22:G22" si="1">SUM(D9:D21)/12</f>
        <v>20956.833333333332</v>
      </c>
      <c r="E22" s="325">
        <f t="shared" si="1"/>
        <v>16940.833333333332</v>
      </c>
      <c r="F22" s="325">
        <f t="shared" si="1"/>
        <v>130456.91666666667</v>
      </c>
      <c r="G22" s="325">
        <f t="shared" si="1"/>
        <v>243083.75</v>
      </c>
    </row>
    <row r="23" spans="1:7" x14ac:dyDescent="0.2">
      <c r="A23" s="322"/>
    </row>
    <row r="24" spans="1:7" x14ac:dyDescent="0.2">
      <c r="A24" s="322"/>
    </row>
    <row r="26" spans="1:7" x14ac:dyDescent="0.2">
      <c r="G26" s="319">
        <v>242343</v>
      </c>
    </row>
    <row r="28" spans="1:7" x14ac:dyDescent="0.2">
      <c r="G28" s="326">
        <f>G22-G26</f>
        <v>740.75</v>
      </c>
    </row>
    <row r="33" spans="18:18" x14ac:dyDescent="0.2">
      <c r="R33" s="326"/>
    </row>
    <row r="34" spans="18:18" x14ac:dyDescent="0.2">
      <c r="R34" s="326"/>
    </row>
    <row r="35" spans="18:18" x14ac:dyDescent="0.2">
      <c r="R35" s="326"/>
    </row>
    <row r="36" spans="18:18" x14ac:dyDescent="0.2">
      <c r="R36" s="326"/>
    </row>
    <row r="37" spans="18:18" x14ac:dyDescent="0.2">
      <c r="R37" s="326"/>
    </row>
    <row r="38" spans="18:18" x14ac:dyDescent="0.2">
      <c r="R38" s="326"/>
    </row>
    <row r="39" spans="18:18" x14ac:dyDescent="0.2">
      <c r="R39" s="326"/>
    </row>
    <row r="40" spans="18:18" x14ac:dyDescent="0.2">
      <c r="R40" s="326"/>
    </row>
    <row r="41" spans="18:18" x14ac:dyDescent="0.2">
      <c r="R41" s="326"/>
    </row>
    <row r="42" spans="18:18" x14ac:dyDescent="0.2">
      <c r="R42" s="326"/>
    </row>
    <row r="43" spans="18:18" x14ac:dyDescent="0.2">
      <c r="R43" s="326"/>
    </row>
    <row r="44" spans="18:18" x14ac:dyDescent="0.2">
      <c r="R44" s="326"/>
    </row>
  </sheetData>
  <pageMargins left="0.7" right="0.7" top="0.75" bottom="0.75" header="0.3" footer="0.3"/>
  <pageSetup scale="8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4"/>
  <sheetViews>
    <sheetView view="pageBreakPreview" zoomScale="60" zoomScaleNormal="100" workbookViewId="0">
      <pane xSplit="1" ySplit="7" topLeftCell="B12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RowHeight="12.75" x14ac:dyDescent="0.2"/>
  <cols>
    <col min="1" max="1" width="16.42578125" style="319" customWidth="1"/>
    <col min="2" max="2" width="15.85546875" style="319" customWidth="1"/>
    <col min="3" max="12" width="13.140625" style="319" customWidth="1"/>
    <col min="13" max="16384" width="9.140625" style="319"/>
  </cols>
  <sheetData>
    <row r="1" spans="1:2" x14ac:dyDescent="0.2">
      <c r="A1" s="332" t="s">
        <v>379</v>
      </c>
    </row>
    <row r="2" spans="1:2" x14ac:dyDescent="0.2">
      <c r="A2" s="333" t="s">
        <v>346</v>
      </c>
    </row>
    <row r="3" spans="1:2" x14ac:dyDescent="0.2">
      <c r="A3" s="318" t="s">
        <v>347</v>
      </c>
    </row>
    <row r="7" spans="1:2" ht="39" thickBot="1" x14ac:dyDescent="0.25">
      <c r="B7" s="334" t="s">
        <v>380</v>
      </c>
    </row>
    <row r="9" spans="1:2" x14ac:dyDescent="0.2">
      <c r="A9" s="322">
        <v>41548</v>
      </c>
      <c r="B9" s="335">
        <v>259662</v>
      </c>
    </row>
    <row r="10" spans="1:2" x14ac:dyDescent="0.2">
      <c r="A10" s="322">
        <v>41579</v>
      </c>
      <c r="B10" s="335">
        <v>257859</v>
      </c>
    </row>
    <row r="11" spans="1:2" x14ac:dyDescent="0.2">
      <c r="A11" s="322">
        <v>41609</v>
      </c>
      <c r="B11" s="335">
        <v>260304</v>
      </c>
    </row>
    <row r="12" spans="1:2" x14ac:dyDescent="0.2">
      <c r="A12" s="322">
        <v>41640</v>
      </c>
      <c r="B12" s="335">
        <v>263054</v>
      </c>
    </row>
    <row r="13" spans="1:2" x14ac:dyDescent="0.2">
      <c r="A13" s="322">
        <v>41671</v>
      </c>
      <c r="B13" s="335">
        <v>261884</v>
      </c>
    </row>
    <row r="14" spans="1:2" x14ac:dyDescent="0.2">
      <c r="A14" s="322">
        <v>41699</v>
      </c>
      <c r="B14" s="335">
        <v>261430</v>
      </c>
    </row>
    <row r="15" spans="1:2" x14ac:dyDescent="0.2">
      <c r="A15" s="322">
        <v>41730</v>
      </c>
      <c r="B15" s="335">
        <v>261339</v>
      </c>
    </row>
    <row r="16" spans="1:2" x14ac:dyDescent="0.2">
      <c r="A16" s="322">
        <v>41760</v>
      </c>
      <c r="B16" s="335">
        <v>260099</v>
      </c>
    </row>
    <row r="17" spans="1:2" x14ac:dyDescent="0.2">
      <c r="A17" s="322">
        <v>41791</v>
      </c>
      <c r="B17" s="335">
        <v>230273</v>
      </c>
    </row>
    <row r="18" spans="1:2" x14ac:dyDescent="0.2">
      <c r="A18" s="322">
        <v>41821</v>
      </c>
      <c r="B18" s="335">
        <v>231161</v>
      </c>
    </row>
    <row r="19" spans="1:2" x14ac:dyDescent="0.2">
      <c r="A19" s="322">
        <v>41852</v>
      </c>
      <c r="B19" s="335">
        <v>227157</v>
      </c>
    </row>
    <row r="20" spans="1:2" x14ac:dyDescent="0.2">
      <c r="A20" s="322">
        <v>41883</v>
      </c>
      <c r="B20" s="335">
        <v>227858</v>
      </c>
    </row>
    <row r="21" spans="1:2" x14ac:dyDescent="0.2">
      <c r="A21" s="322"/>
    </row>
    <row r="22" spans="1:2" x14ac:dyDescent="0.2">
      <c r="A22" s="324" t="s">
        <v>351</v>
      </c>
      <c r="B22" s="325">
        <f>SUM(B9:B21)/12</f>
        <v>250173.33333333334</v>
      </c>
    </row>
    <row r="23" spans="1:2" x14ac:dyDescent="0.2">
      <c r="A23" s="322"/>
    </row>
    <row r="24" spans="1:2" x14ac:dyDescent="0.2">
      <c r="A24" s="322"/>
    </row>
    <row r="25" spans="1:2" x14ac:dyDescent="0.2">
      <c r="B25" s="319">
        <v>250745</v>
      </c>
    </row>
    <row r="27" spans="1:2" x14ac:dyDescent="0.2">
      <c r="B27" s="326">
        <f>B22-B25</f>
        <v>-571.66666666665697</v>
      </c>
    </row>
    <row r="33" spans="15:15" x14ac:dyDescent="0.2">
      <c r="O33" s="326"/>
    </row>
    <row r="34" spans="15:15" x14ac:dyDescent="0.2">
      <c r="O34" s="326"/>
    </row>
    <row r="35" spans="15:15" x14ac:dyDescent="0.2">
      <c r="O35" s="326"/>
    </row>
    <row r="36" spans="15:15" x14ac:dyDescent="0.2">
      <c r="O36" s="326"/>
    </row>
    <row r="37" spans="15:15" x14ac:dyDescent="0.2">
      <c r="O37" s="326"/>
    </row>
    <row r="38" spans="15:15" x14ac:dyDescent="0.2">
      <c r="O38" s="326"/>
    </row>
    <row r="39" spans="15:15" x14ac:dyDescent="0.2">
      <c r="O39" s="326"/>
    </row>
    <row r="40" spans="15:15" x14ac:dyDescent="0.2">
      <c r="O40" s="326"/>
    </row>
    <row r="41" spans="15:15" x14ac:dyDescent="0.2">
      <c r="O41" s="326"/>
    </row>
    <row r="42" spans="15:15" x14ac:dyDescent="0.2">
      <c r="O42" s="326"/>
    </row>
    <row r="43" spans="15:15" x14ac:dyDescent="0.2">
      <c r="O43" s="326"/>
    </row>
    <row r="44" spans="15:15" x14ac:dyDescent="0.2">
      <c r="O44" s="326"/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4"/>
  <sheetViews>
    <sheetView view="pageBreakPreview" zoomScale="60" zoomScaleNormal="100" workbookViewId="0">
      <pane xSplit="1" ySplit="7" topLeftCell="B11" activePane="bottomRight" state="frozen"/>
      <selection activeCell="I27" sqref="I27"/>
      <selection pane="topRight" activeCell="I27" sqref="I27"/>
      <selection pane="bottomLeft" activeCell="I27" sqref="I27"/>
      <selection pane="bottomRight" activeCell="I27" sqref="I27"/>
    </sheetView>
  </sheetViews>
  <sheetFormatPr defaultRowHeight="12.75" x14ac:dyDescent="0.2"/>
  <cols>
    <col min="1" max="1" width="16.42578125" style="319" customWidth="1"/>
    <col min="2" max="2" width="15.85546875" style="319" customWidth="1"/>
    <col min="3" max="12" width="13.140625" style="319" customWidth="1"/>
    <col min="13" max="16384" width="9.140625" style="319"/>
  </cols>
  <sheetData>
    <row r="1" spans="1:2" x14ac:dyDescent="0.2">
      <c r="A1" s="333" t="s">
        <v>381</v>
      </c>
    </row>
    <row r="2" spans="1:2" x14ac:dyDescent="0.2">
      <c r="A2" s="333" t="s">
        <v>346</v>
      </c>
    </row>
    <row r="3" spans="1:2" x14ac:dyDescent="0.2">
      <c r="A3" s="318" t="s">
        <v>347</v>
      </c>
    </row>
    <row r="7" spans="1:2" ht="13.5" thickBot="1" x14ac:dyDescent="0.25">
      <c r="B7" s="320" t="s">
        <v>382</v>
      </c>
    </row>
    <row r="9" spans="1:2" x14ac:dyDescent="0.2">
      <c r="A9" s="322">
        <v>41548</v>
      </c>
      <c r="B9" s="323">
        <v>1593326</v>
      </c>
    </row>
    <row r="10" spans="1:2" x14ac:dyDescent="0.2">
      <c r="A10" s="322">
        <v>41579</v>
      </c>
      <c r="B10" s="323">
        <v>1575515</v>
      </c>
    </row>
    <row r="11" spans="1:2" x14ac:dyDescent="0.2">
      <c r="A11" s="322">
        <v>41609</v>
      </c>
      <c r="B11" s="323">
        <v>1587806</v>
      </c>
    </row>
    <row r="12" spans="1:2" x14ac:dyDescent="0.2">
      <c r="A12" s="322">
        <v>41640</v>
      </c>
      <c r="B12" s="323">
        <v>1599332</v>
      </c>
    </row>
    <row r="13" spans="1:2" x14ac:dyDescent="0.2">
      <c r="A13" s="322">
        <v>41671</v>
      </c>
      <c r="B13" s="323">
        <v>1590996</v>
      </c>
    </row>
    <row r="14" spans="1:2" x14ac:dyDescent="0.2">
      <c r="A14" s="322">
        <v>41699</v>
      </c>
      <c r="B14" s="323">
        <v>1600028</v>
      </c>
    </row>
    <row r="15" spans="1:2" x14ac:dyDescent="0.2">
      <c r="A15" s="322">
        <v>41730</v>
      </c>
      <c r="B15" s="323">
        <v>1590382</v>
      </c>
    </row>
    <row r="16" spans="1:2" x14ac:dyDescent="0.2">
      <c r="A16" s="322">
        <v>41760</v>
      </c>
      <c r="B16" s="323">
        <v>1596826</v>
      </c>
    </row>
    <row r="17" spans="1:2" x14ac:dyDescent="0.2">
      <c r="A17" s="322">
        <v>41791</v>
      </c>
      <c r="B17" s="323">
        <v>1573599</v>
      </c>
    </row>
    <row r="18" spans="1:2" x14ac:dyDescent="0.2">
      <c r="A18" s="322">
        <v>41821</v>
      </c>
      <c r="B18" s="323">
        <v>1597587</v>
      </c>
    </row>
    <row r="19" spans="1:2" x14ac:dyDescent="0.2">
      <c r="A19" s="322">
        <v>41852</v>
      </c>
      <c r="B19" s="323">
        <v>1571133</v>
      </c>
    </row>
    <row r="20" spans="1:2" x14ac:dyDescent="0.2">
      <c r="A20" s="322">
        <v>41883</v>
      </c>
      <c r="B20" s="323">
        <v>1580981</v>
      </c>
    </row>
    <row r="21" spans="1:2" x14ac:dyDescent="0.2">
      <c r="A21" s="322"/>
    </row>
    <row r="22" spans="1:2" x14ac:dyDescent="0.2">
      <c r="A22" s="324" t="s">
        <v>351</v>
      </c>
      <c r="B22" s="325">
        <f>SUM(B9:B21)/12</f>
        <v>1588125.9166666667</v>
      </c>
    </row>
    <row r="23" spans="1:2" x14ac:dyDescent="0.2">
      <c r="A23" s="322"/>
    </row>
    <row r="24" spans="1:2" x14ac:dyDescent="0.2">
      <c r="A24" s="322"/>
    </row>
    <row r="25" spans="1:2" x14ac:dyDescent="0.2">
      <c r="B25" s="319">
        <v>1578673</v>
      </c>
    </row>
    <row r="27" spans="1:2" x14ac:dyDescent="0.2">
      <c r="B27" s="326">
        <f>B22-B25</f>
        <v>9452.9166666667443</v>
      </c>
    </row>
    <row r="33" spans="15:15" x14ac:dyDescent="0.2">
      <c r="O33" s="326"/>
    </row>
    <row r="34" spans="15:15" x14ac:dyDescent="0.2">
      <c r="O34" s="326"/>
    </row>
    <row r="35" spans="15:15" x14ac:dyDescent="0.2">
      <c r="O35" s="326"/>
    </row>
    <row r="36" spans="15:15" x14ac:dyDescent="0.2">
      <c r="O36" s="326"/>
    </row>
    <row r="37" spans="15:15" x14ac:dyDescent="0.2">
      <c r="O37" s="326"/>
    </row>
    <row r="38" spans="15:15" x14ac:dyDescent="0.2">
      <c r="O38" s="326"/>
    </row>
    <row r="39" spans="15:15" x14ac:dyDescent="0.2">
      <c r="O39" s="326"/>
    </row>
    <row r="40" spans="15:15" x14ac:dyDescent="0.2">
      <c r="O40" s="326"/>
    </row>
    <row r="41" spans="15:15" x14ac:dyDescent="0.2">
      <c r="O41" s="326"/>
    </row>
    <row r="42" spans="15:15" x14ac:dyDescent="0.2">
      <c r="O42" s="326"/>
    </row>
    <row r="43" spans="15:15" x14ac:dyDescent="0.2">
      <c r="O43" s="326"/>
    </row>
    <row r="44" spans="15:15" x14ac:dyDescent="0.2">
      <c r="O44" s="32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  <pageSetUpPr fitToPage="1"/>
  </sheetPr>
  <dimension ref="A1:BQ218"/>
  <sheetViews>
    <sheetView showGridLines="0" view="pageBreakPreview" zoomScaleNormal="85" zoomScaleSheetLayoutView="100" workbookViewId="0"/>
  </sheetViews>
  <sheetFormatPr defaultRowHeight="12.75" x14ac:dyDescent="0.2"/>
  <cols>
    <col min="1" max="1" width="4" style="19" customWidth="1"/>
    <col min="2" max="2" width="0.85546875" style="5" customWidth="1"/>
    <col min="3" max="3" width="33.5703125" style="5" customWidth="1"/>
    <col min="4" max="4" width="5.7109375" style="5" customWidth="1"/>
    <col min="5" max="5" width="4" style="5" customWidth="1"/>
    <col min="6" max="6" width="1.42578125" style="5" customWidth="1"/>
    <col min="7" max="7" width="19.85546875" style="5" bestFit="1" customWidth="1"/>
    <col min="8" max="8" width="1.85546875" style="5" customWidth="1"/>
    <col min="9" max="9" width="17.42578125" style="8" customWidth="1"/>
    <col min="10" max="10" width="2.140625" style="5" customWidth="1"/>
    <col min="11" max="11" width="15.85546875" style="5" bestFit="1" customWidth="1"/>
    <col min="12" max="12" width="3" style="5" customWidth="1"/>
    <col min="13" max="13" width="15.42578125" style="5" bestFit="1" customWidth="1"/>
    <col min="14" max="14" width="2.5703125" style="48" customWidth="1"/>
    <col min="15" max="15" width="15.42578125" style="5" bestFit="1" customWidth="1"/>
    <col min="16" max="16" width="2.42578125" style="48" customWidth="1"/>
    <col min="17" max="17" width="16.85546875" style="5" bestFit="1" customWidth="1"/>
    <col min="18" max="18" width="3.140625" style="48" customWidth="1"/>
    <col min="19" max="19" width="15.42578125" style="5" bestFit="1" customWidth="1"/>
    <col min="20" max="20" width="0.85546875" style="48" customWidth="1"/>
    <col min="21" max="21" width="16.85546875" style="5" bestFit="1" customWidth="1"/>
    <col min="22" max="22" width="0.5703125" style="48" customWidth="1"/>
    <col min="23" max="23" width="16.85546875" style="5" bestFit="1" customWidth="1"/>
    <col min="24" max="24" width="4.7109375" style="48" customWidth="1"/>
    <col min="25" max="25" width="17" style="5" customWidth="1"/>
    <col min="26" max="26" width="2.140625" style="10" customWidth="1"/>
    <col min="27" max="27" width="14.28515625" style="10" bestFit="1" customWidth="1"/>
    <col min="28" max="28" width="2.5703125" style="10" customWidth="1"/>
    <col min="29" max="29" width="14.28515625" style="5" bestFit="1" customWidth="1"/>
    <col min="30" max="30" width="2.28515625" style="5" customWidth="1"/>
    <col min="31" max="31" width="11.5703125" style="5" bestFit="1" customWidth="1"/>
    <col min="32" max="32" width="2.42578125" style="5" customWidth="1"/>
    <col min="33" max="33" width="17.42578125" style="10" customWidth="1"/>
    <col min="34" max="34" width="2.42578125" style="10" customWidth="1"/>
    <col min="35" max="35" width="16.42578125" style="5" customWidth="1"/>
    <col min="36" max="36" width="2.7109375" style="5" customWidth="1"/>
    <col min="37" max="37" width="14.28515625" style="5" bestFit="1" customWidth="1"/>
    <col min="38" max="38" width="2.7109375" style="5" customWidth="1"/>
    <col min="39" max="39" width="11.7109375" style="5" customWidth="1"/>
    <col min="40" max="40" width="1.85546875" style="5" customWidth="1"/>
    <col min="41" max="41" width="12.140625" style="5" customWidth="1"/>
    <col min="42" max="42" width="1.7109375" style="5" customWidth="1"/>
    <col min="43" max="43" width="12.140625" style="5" customWidth="1"/>
    <col min="44" max="44" width="1.5703125" style="5" customWidth="1"/>
    <col min="45" max="45" width="11.5703125" style="5" customWidth="1"/>
    <col min="46" max="46" width="1.85546875" style="5" customWidth="1"/>
    <col min="47" max="47" width="13.5703125" style="5" customWidth="1"/>
    <col min="48" max="48" width="2.140625" style="5" customWidth="1"/>
    <col min="49" max="49" width="11" style="5" customWidth="1"/>
    <col min="50" max="50" width="1.7109375" style="5" customWidth="1"/>
    <col min="51" max="51" width="11.7109375" style="5" customWidth="1"/>
    <col min="52" max="52" width="2.140625" style="5" customWidth="1"/>
    <col min="53" max="53" width="2.5703125" style="5" customWidth="1"/>
    <col min="54" max="54" width="10.85546875" style="5" customWidth="1"/>
    <col min="55" max="55" width="1.7109375" style="5" customWidth="1"/>
    <col min="56" max="56" width="11.5703125" style="5" customWidth="1"/>
    <col min="57" max="57" width="2.28515625" style="5" customWidth="1"/>
    <col min="58" max="58" width="12.7109375" style="5" customWidth="1"/>
    <col min="59" max="59" width="13.7109375" style="5" customWidth="1"/>
    <col min="60" max="16384" width="9.140625" style="5"/>
  </cols>
  <sheetData>
    <row r="1" spans="1:58" s="12" customFormat="1" x14ac:dyDescent="0.2">
      <c r="A1" s="11"/>
      <c r="B1" s="11"/>
      <c r="C1" s="11"/>
      <c r="D1" s="11"/>
      <c r="E1" s="11"/>
      <c r="F1" s="11"/>
      <c r="G1" s="11"/>
      <c r="H1" s="11"/>
      <c r="I1" s="41"/>
      <c r="J1" s="11"/>
      <c r="K1" s="11"/>
      <c r="L1" s="11"/>
      <c r="M1" s="11"/>
      <c r="N1" s="100"/>
      <c r="O1" s="11"/>
      <c r="P1" s="100"/>
      <c r="Q1" s="11"/>
      <c r="R1" s="100"/>
      <c r="T1" s="100"/>
      <c r="U1" s="11"/>
      <c r="V1" s="100"/>
      <c r="W1" s="11"/>
      <c r="X1" s="100"/>
      <c r="Y1" s="11"/>
      <c r="Z1" s="35"/>
      <c r="AA1" s="35"/>
      <c r="AB1" s="35"/>
      <c r="AC1" s="11"/>
      <c r="AD1" s="11"/>
      <c r="AE1" s="35"/>
      <c r="AF1" s="35"/>
      <c r="AG1" s="35"/>
      <c r="AH1" s="35"/>
      <c r="AI1" s="11"/>
      <c r="AJ1" s="11"/>
      <c r="AK1" s="11"/>
      <c r="AL1" s="11"/>
      <c r="AM1" s="11"/>
      <c r="AN1" s="35"/>
      <c r="AO1" s="35"/>
      <c r="AP1" s="100"/>
      <c r="AQ1" s="11"/>
      <c r="AR1" s="11"/>
      <c r="AS1" s="11"/>
      <c r="AT1" s="35"/>
      <c r="AU1" s="35"/>
      <c r="AV1" s="100"/>
      <c r="AW1" s="11"/>
      <c r="AX1" s="11"/>
      <c r="AY1" s="11"/>
      <c r="AZ1" s="35"/>
      <c r="BA1" s="100"/>
      <c r="BB1" s="11"/>
      <c r="BC1" s="11"/>
      <c r="BD1" s="11"/>
      <c r="BE1" s="35"/>
      <c r="BF1" s="35"/>
    </row>
    <row r="2" spans="1:58" s="12" customFormat="1" ht="15" x14ac:dyDescent="0.25">
      <c r="A2" s="11"/>
      <c r="B2" s="11"/>
      <c r="C2" s="11"/>
      <c r="D2" s="11"/>
      <c r="E2" s="11"/>
      <c r="F2" s="11"/>
      <c r="G2" s="11"/>
      <c r="H2" s="11"/>
      <c r="I2" s="41"/>
      <c r="J2" s="11"/>
      <c r="K2" s="11"/>
      <c r="L2" s="11"/>
      <c r="M2" s="11"/>
      <c r="N2" s="100"/>
      <c r="O2" s="11"/>
      <c r="P2" s="100"/>
      <c r="Q2" s="11"/>
      <c r="R2" s="100"/>
      <c r="T2" s="100"/>
      <c r="U2" s="11"/>
      <c r="V2" s="100"/>
      <c r="W2" s="11"/>
      <c r="X2" s="100"/>
      <c r="Y2" s="134"/>
      <c r="Z2" s="35"/>
      <c r="AA2" s="35"/>
      <c r="AB2" s="35"/>
      <c r="AC2" s="11"/>
      <c r="AD2" s="11"/>
      <c r="AE2" s="35"/>
      <c r="AF2" s="35"/>
      <c r="AG2" s="35"/>
      <c r="AH2" s="35"/>
      <c r="AI2" s="11"/>
      <c r="AJ2" s="11"/>
      <c r="AK2" s="11"/>
      <c r="AL2" s="11"/>
      <c r="AM2" s="11"/>
      <c r="AN2" s="35"/>
      <c r="AO2" s="35"/>
      <c r="AP2" s="100"/>
      <c r="AQ2" s="11"/>
      <c r="AR2" s="11"/>
      <c r="AS2" s="11"/>
      <c r="AT2" s="35"/>
      <c r="AU2" s="35"/>
      <c r="AV2" s="100"/>
      <c r="AW2" s="11"/>
      <c r="AX2" s="11"/>
      <c r="AY2" s="11"/>
      <c r="AZ2" s="35"/>
      <c r="BA2" s="100"/>
      <c r="BB2" s="11"/>
      <c r="BC2" s="11"/>
      <c r="BD2" s="11"/>
      <c r="BE2" s="35"/>
      <c r="BF2" s="35"/>
    </row>
    <row r="3" spans="1:58" s="12" customFormat="1" x14ac:dyDescent="0.2">
      <c r="A3" s="42" t="s">
        <v>0</v>
      </c>
      <c r="B3" s="11"/>
      <c r="C3" s="11"/>
      <c r="D3" s="11"/>
      <c r="E3" s="11"/>
      <c r="F3" s="11"/>
      <c r="G3" s="11"/>
      <c r="H3" s="11"/>
      <c r="I3" s="41"/>
      <c r="J3" s="11"/>
      <c r="K3" s="11"/>
      <c r="L3" s="11"/>
      <c r="M3" s="11"/>
      <c r="N3" s="100"/>
      <c r="O3" s="11"/>
      <c r="P3" s="100"/>
      <c r="Q3" s="11"/>
      <c r="R3" s="100"/>
      <c r="T3" s="100"/>
      <c r="U3" s="11"/>
      <c r="V3" s="100"/>
      <c r="W3" s="11"/>
      <c r="X3" s="100"/>
      <c r="Y3" s="135"/>
      <c r="Z3" s="35"/>
      <c r="AA3" s="35"/>
      <c r="AB3" s="35"/>
      <c r="AC3" s="11"/>
      <c r="AD3" s="11"/>
      <c r="AE3" s="35"/>
      <c r="AF3" s="35"/>
      <c r="AG3" s="35"/>
      <c r="AH3" s="35"/>
      <c r="AI3" s="11"/>
      <c r="AJ3" s="11"/>
      <c r="AK3" s="11"/>
      <c r="AL3" s="11"/>
      <c r="AM3" s="11"/>
      <c r="AN3" s="35"/>
      <c r="AO3" s="35"/>
      <c r="AP3" s="100"/>
      <c r="AQ3" s="11"/>
      <c r="AR3" s="11"/>
      <c r="AS3" s="11"/>
      <c r="AT3" s="35"/>
      <c r="AU3" s="35"/>
      <c r="AV3" s="100"/>
      <c r="AW3" s="11"/>
      <c r="AX3" s="11"/>
      <c r="AY3" s="11"/>
      <c r="AZ3" s="35"/>
      <c r="BA3" s="100"/>
      <c r="BB3" s="11"/>
      <c r="BC3" s="11"/>
      <c r="BD3" s="11"/>
      <c r="BE3" s="35"/>
      <c r="BF3" s="35"/>
    </row>
    <row r="4" spans="1:58" s="12" customFormat="1" x14ac:dyDescent="0.2">
      <c r="A4" s="42" t="s">
        <v>411</v>
      </c>
      <c r="B4" s="11"/>
      <c r="C4" s="11"/>
      <c r="D4" s="11"/>
      <c r="E4" s="11"/>
      <c r="F4" s="11"/>
      <c r="G4" s="11"/>
      <c r="H4" s="11"/>
      <c r="I4" s="41"/>
      <c r="J4" s="11"/>
      <c r="K4" s="11"/>
      <c r="L4" s="11"/>
      <c r="M4" s="11"/>
      <c r="N4" s="100"/>
      <c r="O4" s="11"/>
      <c r="P4" s="100"/>
      <c r="Q4" s="11"/>
      <c r="R4" s="100"/>
      <c r="T4" s="100"/>
      <c r="U4" s="11"/>
      <c r="V4" s="100"/>
      <c r="W4" s="11"/>
      <c r="X4" s="100"/>
      <c r="Y4" s="11"/>
      <c r="Z4" s="35"/>
      <c r="AA4" s="35"/>
      <c r="AB4" s="35"/>
      <c r="AC4" s="11"/>
      <c r="AD4" s="11"/>
      <c r="AE4" s="35"/>
      <c r="AF4" s="35"/>
      <c r="AG4" s="35"/>
      <c r="AH4" s="35"/>
      <c r="AI4" s="179"/>
      <c r="AJ4" s="179"/>
      <c r="AK4" s="11"/>
      <c r="AL4" s="11"/>
      <c r="AM4" s="11"/>
      <c r="AN4" s="35"/>
      <c r="AO4" s="35"/>
      <c r="AP4" s="100"/>
      <c r="AQ4" s="11"/>
      <c r="AR4" s="11"/>
      <c r="AS4" s="11"/>
      <c r="AT4" s="35"/>
      <c r="AU4" s="35"/>
      <c r="AV4" s="100"/>
      <c r="AW4" s="11"/>
      <c r="AX4" s="11"/>
      <c r="AY4" s="11"/>
      <c r="AZ4" s="35"/>
      <c r="BA4" s="100"/>
      <c r="BB4" s="11"/>
      <c r="BC4" s="11"/>
      <c r="BD4" s="11"/>
      <c r="BE4" s="35"/>
      <c r="BF4" s="35"/>
    </row>
    <row r="5" spans="1:58" s="12" customFormat="1" x14ac:dyDescent="0.2">
      <c r="A5" s="43"/>
      <c r="I5" s="44"/>
      <c r="N5" s="101"/>
      <c r="P5" s="101"/>
      <c r="R5" s="101"/>
      <c r="T5" s="101"/>
      <c r="V5" s="101"/>
      <c r="X5" s="101"/>
      <c r="AG5" s="12" t="s">
        <v>138</v>
      </c>
      <c r="AI5" s="115"/>
      <c r="AJ5" s="115"/>
      <c r="AP5" s="101"/>
      <c r="AV5" s="101"/>
      <c r="BA5" s="101"/>
    </row>
    <row r="6" spans="1:58" s="6" customFormat="1" x14ac:dyDescent="0.2">
      <c r="A6" s="43"/>
      <c r="I6" s="82">
        <v>30</v>
      </c>
      <c r="K6" s="6">
        <v>60</v>
      </c>
      <c r="M6" s="6">
        <v>20</v>
      </c>
      <c r="N6" s="20"/>
      <c r="O6" s="6">
        <v>20</v>
      </c>
      <c r="P6" s="20"/>
      <c r="Q6" s="6">
        <v>50</v>
      </c>
      <c r="R6" s="20"/>
      <c r="S6" s="6">
        <v>70</v>
      </c>
      <c r="T6" s="20"/>
      <c r="U6" s="6">
        <v>80</v>
      </c>
      <c r="V6" s="20"/>
      <c r="W6" s="6">
        <v>180</v>
      </c>
      <c r="X6" s="20"/>
      <c r="Y6" s="172">
        <v>212</v>
      </c>
      <c r="AA6" s="172">
        <v>232</v>
      </c>
      <c r="AC6" s="172">
        <v>233</v>
      </c>
      <c r="AE6" s="172">
        <v>303</v>
      </c>
      <c r="AG6" s="176" t="s">
        <v>110</v>
      </c>
      <c r="AI6" s="176">
        <v>221</v>
      </c>
      <c r="AK6" s="176">
        <v>231</v>
      </c>
      <c r="AM6" s="176">
        <v>234</v>
      </c>
      <c r="AO6" s="176">
        <v>236</v>
      </c>
      <c r="AP6" s="20"/>
      <c r="AQ6" s="176">
        <v>237</v>
      </c>
      <c r="AS6" s="176">
        <v>239</v>
      </c>
      <c r="AU6" s="176">
        <v>240</v>
      </c>
      <c r="AV6" s="20"/>
      <c r="AW6" s="176">
        <v>301</v>
      </c>
      <c r="AY6" s="176">
        <v>302</v>
      </c>
      <c r="BA6" s="20"/>
      <c r="BB6" s="176">
        <v>306</v>
      </c>
      <c r="BD6" s="176">
        <v>312</v>
      </c>
      <c r="BF6" s="176">
        <v>321</v>
      </c>
    </row>
    <row r="7" spans="1:58" s="6" customFormat="1" ht="15.75" x14ac:dyDescent="0.25">
      <c r="A7" s="43"/>
      <c r="C7" s="136" t="s">
        <v>80</v>
      </c>
      <c r="E7" s="237"/>
      <c r="F7" s="237"/>
      <c r="G7" s="237"/>
      <c r="H7" s="237"/>
      <c r="I7" s="295" t="s">
        <v>192</v>
      </c>
      <c r="J7" s="239"/>
      <c r="K7" s="296" t="s">
        <v>193</v>
      </c>
      <c r="L7" s="239"/>
      <c r="M7" s="296" t="s">
        <v>194</v>
      </c>
      <c r="N7" s="300"/>
      <c r="O7" s="296" t="s">
        <v>194</v>
      </c>
      <c r="P7" s="240"/>
      <c r="Q7" s="296" t="s">
        <v>195</v>
      </c>
      <c r="R7" s="240"/>
      <c r="S7" s="296" t="s">
        <v>196</v>
      </c>
      <c r="T7" s="240"/>
      <c r="U7" s="296" t="s">
        <v>197</v>
      </c>
      <c r="V7" s="240"/>
      <c r="W7" s="296" t="s">
        <v>198</v>
      </c>
      <c r="X7" s="240"/>
      <c r="Y7" s="296" t="s">
        <v>199</v>
      </c>
      <c r="Z7" s="239"/>
      <c r="AA7" s="296" t="s">
        <v>259</v>
      </c>
      <c r="AB7" s="239"/>
      <c r="AC7" s="296" t="s">
        <v>200</v>
      </c>
      <c r="AD7" s="239"/>
      <c r="AE7" s="296" t="s">
        <v>201</v>
      </c>
      <c r="AF7" s="239"/>
      <c r="AG7" s="296" t="s">
        <v>202</v>
      </c>
      <c r="AP7" s="20"/>
      <c r="AV7" s="20"/>
      <c r="BA7" s="20"/>
    </row>
    <row r="8" spans="1:58" s="6" customFormat="1" ht="38.25" x14ac:dyDescent="0.2">
      <c r="A8" s="45" t="s">
        <v>8</v>
      </c>
      <c r="B8" s="46"/>
      <c r="C8" s="47"/>
      <c r="E8" s="20"/>
      <c r="G8" s="7" t="s">
        <v>1</v>
      </c>
      <c r="I8" s="83" t="s">
        <v>13</v>
      </c>
      <c r="K8" s="7" t="s">
        <v>10</v>
      </c>
      <c r="M8" s="7" t="s">
        <v>11</v>
      </c>
      <c r="N8" s="20"/>
      <c r="O8" s="7" t="s">
        <v>12</v>
      </c>
      <c r="P8" s="20"/>
      <c r="Q8" s="112" t="s">
        <v>83</v>
      </c>
      <c r="R8" s="20"/>
      <c r="S8" s="7" t="s">
        <v>82</v>
      </c>
      <c r="T8" s="20"/>
      <c r="U8" s="7" t="s">
        <v>14</v>
      </c>
      <c r="V8" s="20"/>
      <c r="W8" s="9" t="s">
        <v>84</v>
      </c>
      <c r="X8" s="20"/>
      <c r="Y8" s="7" t="s">
        <v>86</v>
      </c>
      <c r="AA8" s="9" t="s">
        <v>125</v>
      </c>
      <c r="AB8" s="9"/>
      <c r="AC8" s="9" t="s">
        <v>87</v>
      </c>
      <c r="AD8" s="9"/>
      <c r="AE8" s="9" t="s">
        <v>89</v>
      </c>
      <c r="AF8" s="139"/>
      <c r="AG8" s="6" t="s">
        <v>135</v>
      </c>
      <c r="AI8" s="9" t="s">
        <v>123</v>
      </c>
      <c r="AJ8" s="9"/>
      <c r="AK8" s="9" t="s">
        <v>124</v>
      </c>
      <c r="AL8" s="9"/>
      <c r="AM8" s="9" t="s">
        <v>126</v>
      </c>
      <c r="AO8" s="9" t="s">
        <v>88</v>
      </c>
      <c r="AP8" s="20"/>
      <c r="AQ8" s="9" t="s">
        <v>127</v>
      </c>
      <c r="AS8" s="9">
        <v>239</v>
      </c>
      <c r="AU8" s="9">
        <v>240</v>
      </c>
      <c r="AV8" s="20"/>
      <c r="AW8" s="9" t="s">
        <v>128</v>
      </c>
      <c r="AX8" s="9"/>
      <c r="AY8" s="9" t="s">
        <v>129</v>
      </c>
      <c r="BA8" s="20"/>
      <c r="BB8" s="9" t="s">
        <v>130</v>
      </c>
      <c r="BD8" s="9" t="s">
        <v>131</v>
      </c>
      <c r="BF8" s="9" t="s">
        <v>132</v>
      </c>
    </row>
    <row r="9" spans="1:58" x14ac:dyDescent="0.2">
      <c r="G9" s="48"/>
      <c r="H9" s="48"/>
      <c r="I9" s="49"/>
      <c r="AE9" s="10"/>
      <c r="AF9" s="10"/>
      <c r="AN9" s="10"/>
      <c r="AO9" s="10"/>
      <c r="AP9" s="48"/>
      <c r="AT9" s="10"/>
      <c r="AU9" s="10"/>
      <c r="AV9" s="48"/>
      <c r="AZ9" s="10"/>
      <c r="BA9" s="48"/>
      <c r="BE9" s="10"/>
      <c r="BF9" s="10"/>
    </row>
    <row r="10" spans="1:58" s="3" customFormat="1" x14ac:dyDescent="0.2">
      <c r="A10" s="19"/>
      <c r="C10" s="2" t="s">
        <v>2</v>
      </c>
      <c r="D10" s="10"/>
      <c r="E10" s="3" t="s">
        <v>3</v>
      </c>
      <c r="G10" s="84">
        <f>SUM(I10:AG10)</f>
        <v>8527002426.3599997</v>
      </c>
      <c r="H10" s="49"/>
      <c r="I10" s="113">
        <f>102800323.01+1031544.12+271061554.61+3700669.92+4387006.83+5501113.46+126052636.04+46245.55+431175.57+31641885.38+7591063.05+34350310.84+63045.86</f>
        <v>588658574.24000001</v>
      </c>
      <c r="J10" s="8"/>
      <c r="K10" s="113">
        <f>1610315.39+87585994.71+46476972.92+46686385.77+38736367.43+301561933.6+8051.75</f>
        <v>522666021.57000005</v>
      </c>
      <c r="L10" s="8"/>
      <c r="M10" s="113">
        <f>196802776</f>
        <v>196802776</v>
      </c>
      <c r="N10" s="49"/>
      <c r="O10" s="113">
        <v>532048476.17000002</v>
      </c>
      <c r="P10" s="49"/>
      <c r="Q10" s="113">
        <f>5054275.74+439125616.66+66181.17-66181.17+77963000.63+544441.93+424189446.38</f>
        <v>946876781.34000003</v>
      </c>
      <c r="R10" s="49"/>
      <c r="S10" s="113">
        <f>482221680.77+11746000+906065.43</f>
        <v>494873746.19999999</v>
      </c>
      <c r="T10" s="49"/>
      <c r="U10" s="113">
        <f>2732732131.15+622455458.83+38087571.65-18185.78-44433.17</f>
        <v>3393212542.6799998</v>
      </c>
      <c r="V10" s="49"/>
      <c r="W10" s="113">
        <f>1757100641.13</f>
        <v>1757100641.1300001</v>
      </c>
      <c r="X10" s="49"/>
      <c r="Y10" s="113">
        <f>8514.25+501731.23-228488.44+3787048.05+1220498.15+26398457.39+356990.41+85583.51+152803.5+39783.66+3852534.72</f>
        <v>36175456.430000007</v>
      </c>
      <c r="Z10" s="8"/>
      <c r="AA10" s="113">
        <f>478143.58+8101630.37</f>
        <v>8579773.9499999993</v>
      </c>
      <c r="AB10" s="113"/>
      <c r="AC10" s="113">
        <f>14489264.32+27901.77</f>
        <v>14517166.09</v>
      </c>
      <c r="AD10" s="113"/>
      <c r="AE10" s="113">
        <f>23688176.48+63809.88+21359.49+740392.5+27293.55-8892.99</f>
        <v>24532138.91</v>
      </c>
      <c r="AF10" s="49"/>
      <c r="AG10" s="8">
        <f>AI10+AK10+AM10+AO10+AQ10+AS10+AU10+AW10+AY10+BB10+BD10+BF10</f>
        <v>10958331.65</v>
      </c>
      <c r="AH10" s="8"/>
      <c r="AI10" s="113"/>
      <c r="AJ10" s="113"/>
      <c r="AK10" s="113">
        <f>284890.77</f>
        <v>284890.77</v>
      </c>
      <c r="AL10" s="113"/>
      <c r="AM10" s="113">
        <f>6399991.36</f>
        <v>6399991.3600000003</v>
      </c>
      <c r="AN10" s="8"/>
      <c r="AO10" s="113">
        <f>263484.49+1538394.46+95092.83+1752880+17425.5</f>
        <v>3667277.2800000003</v>
      </c>
      <c r="AP10" s="49"/>
      <c r="AQ10" s="113"/>
      <c r="AR10" s="4"/>
      <c r="AS10" s="113"/>
      <c r="AT10" s="8"/>
      <c r="AU10" s="113"/>
      <c r="AV10" s="49"/>
      <c r="AW10" s="113">
        <f>52368.66</f>
        <v>52368.66</v>
      </c>
      <c r="AX10" s="113"/>
      <c r="AY10" s="113"/>
      <c r="AZ10" s="8"/>
      <c r="BA10" s="49"/>
      <c r="BB10" s="113">
        <f>553803.58</f>
        <v>553803.57999999996</v>
      </c>
      <c r="BC10" s="4"/>
      <c r="BD10" s="113"/>
      <c r="BE10" s="8"/>
      <c r="BF10" s="113"/>
    </row>
    <row r="11" spans="1:58" s="3" customFormat="1" x14ac:dyDescent="0.2">
      <c r="A11" s="19"/>
      <c r="C11" s="3" t="s">
        <v>4</v>
      </c>
      <c r="D11" s="10"/>
      <c r="E11" s="3" t="s">
        <v>5</v>
      </c>
      <c r="G11" s="84">
        <f>SUM(I11:AG11)</f>
        <v>3061940.916666667</v>
      </c>
      <c r="H11" s="49"/>
      <c r="I11" s="114">
        <f>'Sum customer count'!D2</f>
        <v>299552.75</v>
      </c>
      <c r="J11" s="8"/>
      <c r="K11" s="113">
        <f>'Sum customer count'!D3</f>
        <v>243083.75</v>
      </c>
      <c r="L11" s="8"/>
      <c r="M11" s="113">
        <f>'Sum customer count'!B4</f>
        <v>74692.75</v>
      </c>
      <c r="N11" s="49"/>
      <c r="O11" s="113">
        <f>'Sum customer count'!C4</f>
        <v>272260.41666666669</v>
      </c>
      <c r="P11" s="49"/>
      <c r="Q11" s="113">
        <f>'Sum customer count'!D5</f>
        <v>332626.25</v>
      </c>
      <c r="R11" s="49"/>
      <c r="S11" s="113">
        <f>'Sum customer count'!D6</f>
        <v>250173.33333333334</v>
      </c>
      <c r="T11" s="49"/>
      <c r="U11" s="113">
        <f>'Sum customer count'!D7</f>
        <v>1588125.9166666667</v>
      </c>
      <c r="V11" s="49"/>
      <c r="W11" s="113">
        <f>'Sum customer count'!D8</f>
        <v>346.75</v>
      </c>
      <c r="X11" s="49"/>
      <c r="Y11" s="113">
        <v>1064</v>
      </c>
      <c r="Z11" s="8"/>
      <c r="AA11" s="113"/>
      <c r="AB11" s="113"/>
      <c r="AC11" s="113"/>
      <c r="AD11" s="113"/>
      <c r="AE11" s="113">
        <f>'Sum customer count'!D10</f>
        <v>15</v>
      </c>
      <c r="AF11" s="49"/>
      <c r="AG11" s="8">
        <f t="shared" ref="AG11" si="0">AI11+AK11+AM11+AO11+AQ11+AS11+AU11+AW11+AY11+BB11+BD11+BF11</f>
        <v>0</v>
      </c>
      <c r="AH11" s="8"/>
      <c r="AI11" s="113"/>
      <c r="AJ11" s="113"/>
      <c r="AK11" s="113"/>
      <c r="AL11" s="113"/>
      <c r="AM11" s="113"/>
      <c r="AN11" s="8"/>
      <c r="AO11" s="113"/>
      <c r="AP11" s="49"/>
      <c r="AQ11" s="113"/>
      <c r="AR11" s="4"/>
      <c r="AS11" s="113"/>
      <c r="AT11" s="8"/>
      <c r="AU11" s="113"/>
      <c r="AV11" s="49"/>
      <c r="AW11" s="113"/>
      <c r="AX11" s="113"/>
      <c r="AY11" s="113"/>
      <c r="AZ11" s="8"/>
      <c r="BA11" s="49"/>
      <c r="BB11" s="113"/>
      <c r="BC11" s="4"/>
      <c r="BD11" s="113"/>
      <c r="BE11" s="8"/>
      <c r="BF11" s="113"/>
    </row>
    <row r="12" spans="1:58" s="3" customFormat="1" x14ac:dyDescent="0.2">
      <c r="A12" s="19"/>
      <c r="C12" s="2" t="s">
        <v>15</v>
      </c>
      <c r="D12" s="10"/>
      <c r="E12" s="3" t="s">
        <v>3</v>
      </c>
      <c r="G12" s="84">
        <f>SUM(I12:AG12)</f>
        <v>373655055.74000001</v>
      </c>
      <c r="H12" s="49"/>
      <c r="I12" s="114">
        <f>50291.93+3821938.47+10954.18+9643771.94+107668.89+86725+9038157.82+64657.89+132882.76+175972.66+3067391.58+18.91+2579.12+2373264.34+108014.61+1329233.18</f>
        <v>30013523.280000005</v>
      </c>
      <c r="J12" s="8"/>
      <c r="K12" s="113">
        <f>5939864.79+1722764.34+2399075.36+1535985.08+1281439.71+755057.64+11340498.1</f>
        <v>24974685.020000003</v>
      </c>
      <c r="L12" s="8"/>
      <c r="M12" s="114">
        <v>8753909.0500000007</v>
      </c>
      <c r="N12" s="49"/>
      <c r="O12" s="114">
        <f>22587102.66</f>
        <v>22587102.66</v>
      </c>
      <c r="P12" s="49"/>
      <c r="Q12" s="113">
        <f>14546900.12+8695362.19+10204308.78+755817.91+4557634.17-755817.91</f>
        <v>38004205.259999998</v>
      </c>
      <c r="R12" s="49"/>
      <c r="S12" s="113">
        <f>33429741.43</f>
        <v>33429741.43</v>
      </c>
      <c r="T12" s="49"/>
      <c r="U12" s="113">
        <f>109825203.41+157.98+86.8-329.79+1687.97</f>
        <v>109826806.36999999</v>
      </c>
      <c r="V12" s="49"/>
      <c r="W12" s="113">
        <f>79909872.06+29678.14+1536829.75-5132.95+105405.51</f>
        <v>81576652.510000005</v>
      </c>
      <c r="X12" s="49"/>
      <c r="Y12" s="114">
        <f>117030.83+64723.81+790+17477362.61+3286802.03+385848.41+885630.9+620424.25+4510.2+341472.93+758113.38+302848.7+2182</f>
        <v>24247740.049999997</v>
      </c>
      <c r="Z12" s="8"/>
      <c r="AA12" s="113">
        <f>512520.44</f>
        <v>512520.44</v>
      </c>
      <c r="AB12" s="113"/>
      <c r="AC12" s="113">
        <f>758106.87</f>
        <v>758106.87</v>
      </c>
      <c r="AD12" s="113"/>
      <c r="AE12" s="113">
        <f>1033378.66+80967.24+18536.05</f>
        <v>1132881.9500000002</v>
      </c>
      <c r="AF12" s="49"/>
      <c r="AG12" s="8">
        <f>AI12+AK12+AM12+AO12+AQ12+AS12+AU12+AW12+AY12+BB12+BD12+BF12</f>
        <v>-2162819.1500000004</v>
      </c>
      <c r="AH12" s="8"/>
      <c r="AI12" s="113">
        <v>4321.55</v>
      </c>
      <c r="AJ12" s="113"/>
      <c r="AK12" s="113">
        <f>306551.07</f>
        <v>306551.07</v>
      </c>
      <c r="AL12" s="113"/>
      <c r="AM12" s="113">
        <f>19762.07</f>
        <v>19762.07</v>
      </c>
      <c r="AN12" s="8"/>
      <c r="AO12" s="113">
        <f>86672.42+42332.76+16.51-923712.37-1741335.46</f>
        <v>-2536026.14</v>
      </c>
      <c r="AP12" s="49"/>
      <c r="AQ12" s="113">
        <v>434.9</v>
      </c>
      <c r="AR12" s="4"/>
      <c r="AS12" s="113"/>
      <c r="AT12" s="8"/>
      <c r="AU12" s="113"/>
      <c r="AV12" s="49"/>
      <c r="AW12" s="113">
        <f>22135.67</f>
        <v>22135.67</v>
      </c>
      <c r="AX12" s="113"/>
      <c r="AY12" s="113">
        <f>2708.39</f>
        <v>2708.39</v>
      </c>
      <c r="AZ12" s="8"/>
      <c r="BA12" s="49"/>
      <c r="BB12" s="113">
        <f>13085.77</f>
        <v>13085.77</v>
      </c>
      <c r="BC12" s="4"/>
      <c r="BD12" s="113">
        <f>4207.57</f>
        <v>4207.57</v>
      </c>
      <c r="BE12" s="8"/>
      <c r="BF12" s="113">
        <v>0</v>
      </c>
    </row>
    <row r="13" spans="1:58" s="3" customFormat="1" x14ac:dyDescent="0.2">
      <c r="A13" s="19"/>
      <c r="C13" s="50" t="s">
        <v>16</v>
      </c>
      <c r="D13" s="10"/>
      <c r="G13" s="51"/>
      <c r="H13" s="8"/>
      <c r="I13" s="1"/>
      <c r="J13" s="4"/>
      <c r="K13" s="1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8"/>
      <c r="X13" s="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x14ac:dyDescent="0.2">
      <c r="A14" s="52" t="s">
        <v>9</v>
      </c>
      <c r="B14" s="47"/>
      <c r="D14" s="10"/>
      <c r="G14" s="53"/>
      <c r="I14" s="110"/>
      <c r="K14" s="37"/>
      <c r="Q14" s="37"/>
      <c r="AE14" s="10"/>
      <c r="AF14" s="10"/>
      <c r="AI14" s="37"/>
      <c r="AJ14" s="37"/>
      <c r="AN14" s="10"/>
      <c r="AO14" s="10"/>
      <c r="AP14" s="48"/>
      <c r="AT14" s="10"/>
      <c r="AU14" s="10"/>
      <c r="AV14" s="48"/>
      <c r="AZ14" s="10"/>
      <c r="BA14" s="48"/>
      <c r="BE14" s="10"/>
      <c r="BF14" s="10"/>
    </row>
    <row r="15" spans="1:58" s="14" customFormat="1" x14ac:dyDescent="0.2">
      <c r="A15" s="19"/>
      <c r="C15" s="2" t="s">
        <v>2</v>
      </c>
      <c r="D15" s="10"/>
      <c r="E15" s="14" t="s">
        <v>6</v>
      </c>
      <c r="G15" s="86">
        <f>SUM(I15:AG15)</f>
        <v>0.99999999999999989</v>
      </c>
      <c r="H15" s="87"/>
      <c r="I15" s="88">
        <f>1-SUM(K15:AG15)</f>
        <v>6.910000000000005E-2</v>
      </c>
      <c r="J15" s="87"/>
      <c r="K15" s="86">
        <f>ROUND(K10/$G$10,4)</f>
        <v>6.13E-2</v>
      </c>
      <c r="L15" s="87"/>
      <c r="M15" s="86">
        <f>ROUND(M10/$G10,4)</f>
        <v>2.3099999999999999E-2</v>
      </c>
      <c r="N15" s="90"/>
      <c r="O15" s="86">
        <f>ROUND(O10/$G10,4)</f>
        <v>6.2399999999999997E-2</v>
      </c>
      <c r="P15" s="90"/>
      <c r="Q15" s="86">
        <f>ROUND(Q10/$G10,4)</f>
        <v>0.111</v>
      </c>
      <c r="R15" s="90"/>
      <c r="S15" s="86">
        <f>ROUND(S10/$G10,4)</f>
        <v>5.8000000000000003E-2</v>
      </c>
      <c r="T15" s="90"/>
      <c r="U15" s="86">
        <f>ROUND(U10/$G10,4)</f>
        <v>0.39789999999999998</v>
      </c>
      <c r="V15" s="90"/>
      <c r="W15" s="86">
        <f>ROUND(W10/$G10,4)</f>
        <v>0.20610000000000001</v>
      </c>
      <c r="X15" s="90"/>
      <c r="Y15" s="86">
        <f>ROUND(Y10/$G10,4)</f>
        <v>4.1999999999999997E-3</v>
      </c>
      <c r="AA15" s="86">
        <f>ROUND(AA10/$G10,4)</f>
        <v>1E-3</v>
      </c>
      <c r="AB15" s="86"/>
      <c r="AC15" s="86">
        <f>ROUND(AC10/$G10,4)</f>
        <v>1.6999999999999999E-3</v>
      </c>
      <c r="AD15" s="86"/>
      <c r="AE15" s="86">
        <f>ROUND(AE10/$G10,4)</f>
        <v>2.8999999999999998E-3</v>
      </c>
      <c r="AF15" s="90"/>
      <c r="AG15" s="86">
        <f>ROUND(AG10/$G10,4)</f>
        <v>1.2999999999999999E-3</v>
      </c>
      <c r="AI15" s="86">
        <f>ROUND(AI10/$G10,4)</f>
        <v>0</v>
      </c>
      <c r="AJ15" s="86"/>
      <c r="AK15" s="86">
        <f>ROUND(AK10/$G10,4)</f>
        <v>0</v>
      </c>
      <c r="AL15" s="86"/>
      <c r="AM15" s="86">
        <f>ROUND(AM10/$G10,4)</f>
        <v>8.0000000000000004E-4</v>
      </c>
      <c r="AO15" s="86">
        <f>ROUND(AO10/$G10,4)</f>
        <v>4.0000000000000002E-4</v>
      </c>
      <c r="AP15" s="90"/>
      <c r="AQ15" s="86">
        <f>ROUND(AQ10/$G10,4)</f>
        <v>0</v>
      </c>
      <c r="AR15" s="13"/>
      <c r="AS15" s="86">
        <f>ROUND(AS10/$G10,4)</f>
        <v>0</v>
      </c>
      <c r="AU15" s="86">
        <f>ROUND(AU10/$G10,4)</f>
        <v>0</v>
      </c>
      <c r="AV15" s="90"/>
      <c r="AW15" s="86">
        <f>ROUND(AW10/$G10,4)</f>
        <v>0</v>
      </c>
      <c r="AX15" s="86"/>
      <c r="AY15" s="86">
        <f>ROUND(AY10/$G10,4)</f>
        <v>0</v>
      </c>
      <c r="BA15" s="90"/>
      <c r="BB15" s="86">
        <f>ROUND(BB10/$G10,4)</f>
        <v>1E-4</v>
      </c>
      <c r="BC15" s="13"/>
      <c r="BD15" s="86">
        <f>ROUND(BD10/$G10,4)</f>
        <v>0</v>
      </c>
      <c r="BF15" s="86">
        <f>ROUND(BF10/$G10,4)</f>
        <v>0</v>
      </c>
    </row>
    <row r="16" spans="1:58" s="14" customFormat="1" x14ac:dyDescent="0.2">
      <c r="A16" s="19"/>
      <c r="C16" s="3" t="s">
        <v>4</v>
      </c>
      <c r="D16" s="10"/>
      <c r="E16" s="14" t="s">
        <v>6</v>
      </c>
      <c r="G16" s="89">
        <f>SUM(I16:AG16)</f>
        <v>1</v>
      </c>
      <c r="H16" s="87"/>
      <c r="I16" s="88">
        <f>1-SUM(K16:AG16)</f>
        <v>9.7899999999999987E-2</v>
      </c>
      <c r="J16" s="87"/>
      <c r="K16" s="86">
        <f>ROUND(K11/$G$11,4)</f>
        <v>7.9399999999999998E-2</v>
      </c>
      <c r="L16" s="87"/>
      <c r="M16" s="86">
        <f>ROUND(M11/$G11,4)</f>
        <v>2.4400000000000002E-2</v>
      </c>
      <c r="N16" s="90"/>
      <c r="O16" s="86">
        <f>ROUND(O11/$G11,4)</f>
        <v>8.8900000000000007E-2</v>
      </c>
      <c r="P16" s="90"/>
      <c r="Q16" s="86">
        <f>ROUND(Q11/$G11,4)</f>
        <v>0.1086</v>
      </c>
      <c r="R16" s="90"/>
      <c r="S16" s="86">
        <f>ROUND(S11/$G11,4)</f>
        <v>8.1699999999999995E-2</v>
      </c>
      <c r="T16" s="90"/>
      <c r="U16" s="86">
        <f>ROUND(U11/$G11,4)</f>
        <v>0.51870000000000005</v>
      </c>
      <c r="V16" s="90"/>
      <c r="W16" s="86">
        <f>ROUND(W11/$G11,4)</f>
        <v>1E-4</v>
      </c>
      <c r="X16" s="90"/>
      <c r="Y16" s="86">
        <f>ROUND(Y11/$G11,4)</f>
        <v>2.9999999999999997E-4</v>
      </c>
      <c r="AA16" s="86">
        <f>ROUND(AA11/$G11,4)</f>
        <v>0</v>
      </c>
      <c r="AB16" s="86"/>
      <c r="AC16" s="86">
        <f>ROUND(AC11/$G11,4)</f>
        <v>0</v>
      </c>
      <c r="AD16" s="86"/>
      <c r="AE16" s="86">
        <f>ROUND(AE11/$G11,4)</f>
        <v>0</v>
      </c>
      <c r="AF16" s="90"/>
      <c r="AG16" s="86">
        <f>ROUND(AG11/$G11,4)</f>
        <v>0</v>
      </c>
      <c r="AI16" s="86">
        <f>ROUND(AI11/$G11,4)</f>
        <v>0</v>
      </c>
      <c r="AJ16" s="86"/>
      <c r="AK16" s="86">
        <f>ROUND(AK11/$G11,4)</f>
        <v>0</v>
      </c>
      <c r="AL16" s="86"/>
      <c r="AM16" s="86">
        <f>ROUND(AM11/$G11,4)</f>
        <v>0</v>
      </c>
      <c r="AO16" s="86">
        <f>ROUND(AO11/$G11,4)</f>
        <v>0</v>
      </c>
      <c r="AP16" s="90"/>
      <c r="AQ16" s="86">
        <f>ROUND(AQ11/$G11,4)</f>
        <v>0</v>
      </c>
      <c r="AR16" s="13"/>
      <c r="AS16" s="86">
        <f>ROUND(AS11/$G11,4)</f>
        <v>0</v>
      </c>
      <c r="AU16" s="86">
        <f>ROUND(AU11/$G11,4)</f>
        <v>0</v>
      </c>
      <c r="AV16" s="90"/>
      <c r="AW16" s="86">
        <f>ROUND(AW11/$G11,4)</f>
        <v>0</v>
      </c>
      <c r="AX16" s="86"/>
      <c r="AY16" s="86">
        <f>ROUND(AY11/$G11,4)</f>
        <v>0</v>
      </c>
      <c r="BA16" s="90"/>
      <c r="BB16" s="86">
        <f>ROUND(BB11/$G11,4)</f>
        <v>0</v>
      </c>
      <c r="BC16" s="13"/>
      <c r="BD16" s="86">
        <f>ROUND(BD11/$G11,4)</f>
        <v>0</v>
      </c>
      <c r="BF16" s="86">
        <f>ROUND(BF11/$G11,4)</f>
        <v>0</v>
      </c>
    </row>
    <row r="17" spans="1:58" s="14" customFormat="1" x14ac:dyDescent="0.2">
      <c r="A17" s="19"/>
      <c r="C17" s="2" t="s">
        <v>7</v>
      </c>
      <c r="D17" s="10"/>
      <c r="E17" s="14" t="s">
        <v>6</v>
      </c>
      <c r="G17" s="89">
        <f>SUM(I17:AG17)</f>
        <v>1</v>
      </c>
      <c r="H17" s="87"/>
      <c r="I17" s="88">
        <f>1-SUM(K17:AG17)</f>
        <v>8.0500000000000238E-2</v>
      </c>
      <c r="J17" s="87"/>
      <c r="K17" s="86">
        <f>ROUND(K12/$G12,4)</f>
        <v>6.6799999999999998E-2</v>
      </c>
      <c r="L17" s="87"/>
      <c r="M17" s="86">
        <f>ROUND(M12/$G12,4)</f>
        <v>2.3400000000000001E-2</v>
      </c>
      <c r="N17" s="90"/>
      <c r="O17" s="86">
        <f>ROUND(O12/$G12,4)</f>
        <v>6.0400000000000002E-2</v>
      </c>
      <c r="P17" s="90"/>
      <c r="Q17" s="86">
        <f>ROUND(Q12/$G12,4)</f>
        <v>0.1017</v>
      </c>
      <c r="R17" s="90"/>
      <c r="S17" s="86">
        <f>ROUND(S12/$G12,4)</f>
        <v>8.9499999999999996E-2</v>
      </c>
      <c r="T17" s="90"/>
      <c r="U17" s="86">
        <f>ROUND(U12/$G12,4)</f>
        <v>0.29389999999999999</v>
      </c>
      <c r="V17" s="90"/>
      <c r="W17" s="86">
        <f>ROUND(W12/$G12,4)</f>
        <v>0.21829999999999999</v>
      </c>
      <c r="X17" s="90"/>
      <c r="Y17" s="86">
        <f>ROUND(Y12/$G12,4)</f>
        <v>6.4899999999999999E-2</v>
      </c>
      <c r="AA17" s="86">
        <f>ROUND(AA12/$G12,4)</f>
        <v>1.4E-3</v>
      </c>
      <c r="AB17" s="86"/>
      <c r="AC17" s="86">
        <f>ROUND(AC12/$G12,4)</f>
        <v>2E-3</v>
      </c>
      <c r="AD17" s="86"/>
      <c r="AE17" s="86">
        <f>ROUND(AE12/$G12,4)</f>
        <v>3.0000000000000001E-3</v>
      </c>
      <c r="AF17" s="90"/>
      <c r="AG17" s="86">
        <f>ROUND(AG12/$G12,4)</f>
        <v>-5.7999999999999996E-3</v>
      </c>
      <c r="AI17" s="86">
        <f>ROUND(AI12/$G12,4)</f>
        <v>0</v>
      </c>
      <c r="AJ17" s="86"/>
      <c r="AK17" s="86">
        <f>ROUND(AK12/$G12,4)</f>
        <v>8.0000000000000004E-4</v>
      </c>
      <c r="AL17" s="86"/>
      <c r="AM17" s="86">
        <f>ROUND(AM12/$G12,4)</f>
        <v>1E-4</v>
      </c>
      <c r="AO17" s="86">
        <f>ROUND(AO12/$G12,4)</f>
        <v>-6.7999999999999996E-3</v>
      </c>
      <c r="AP17" s="90"/>
      <c r="AQ17" s="86">
        <f>ROUND(AQ12/$G12,4)</f>
        <v>0</v>
      </c>
      <c r="AR17" s="13"/>
      <c r="AS17" s="86">
        <f>ROUND(AS12/$G12,4)</f>
        <v>0</v>
      </c>
      <c r="AU17" s="86">
        <f>ROUND(AU12/$G12,4)</f>
        <v>0</v>
      </c>
      <c r="AV17" s="90"/>
      <c r="AW17" s="86">
        <f>ROUND(AW12/$G12,4)</f>
        <v>1E-4</v>
      </c>
      <c r="AX17" s="86"/>
      <c r="AY17" s="86">
        <f>ROUND(AY12/$G12,4)</f>
        <v>0</v>
      </c>
      <c r="BA17" s="90"/>
      <c r="BB17" s="86">
        <f>ROUND(BB12/$G12,4)</f>
        <v>0</v>
      </c>
      <c r="BC17" s="13"/>
      <c r="BD17" s="86">
        <f>ROUND(BD12/$G12,4)</f>
        <v>0</v>
      </c>
      <c r="BF17" s="86">
        <f>ROUND(BF12/$G12,4)</f>
        <v>0</v>
      </c>
    </row>
    <row r="18" spans="1:58" s="14" customFormat="1" x14ac:dyDescent="0.2">
      <c r="A18" s="19"/>
      <c r="C18" s="54"/>
      <c r="D18" s="10"/>
      <c r="G18" s="90"/>
      <c r="H18" s="90"/>
      <c r="I18" s="91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16"/>
      <c r="AA18" s="90"/>
      <c r="AB18" s="90"/>
      <c r="AC18" s="90"/>
      <c r="AD18" s="90"/>
      <c r="AE18" s="90"/>
      <c r="AF18" s="90"/>
      <c r="AG18" s="90"/>
      <c r="AH18" s="16"/>
      <c r="AI18" s="90"/>
      <c r="AJ18" s="90"/>
      <c r="AK18" s="90"/>
      <c r="AL18" s="90"/>
      <c r="AM18" s="90"/>
      <c r="AN18" s="16"/>
      <c r="AO18" s="90"/>
      <c r="AP18" s="90"/>
      <c r="AQ18" s="90"/>
      <c r="AR18" s="15"/>
      <c r="AS18" s="90"/>
      <c r="AT18" s="16"/>
      <c r="AU18" s="90"/>
      <c r="AV18" s="90"/>
      <c r="AW18" s="90"/>
      <c r="AX18" s="90"/>
      <c r="AY18" s="90"/>
      <c r="AZ18" s="16"/>
      <c r="BA18" s="90"/>
      <c r="BB18" s="90"/>
      <c r="BC18" s="15"/>
      <c r="BD18" s="90"/>
      <c r="BE18" s="16"/>
      <c r="BF18" s="90"/>
    </row>
    <row r="19" spans="1:58" s="14" customFormat="1" x14ac:dyDescent="0.2">
      <c r="A19" s="19"/>
      <c r="C19" s="54" t="s">
        <v>412</v>
      </c>
      <c r="D19" s="10"/>
      <c r="E19" s="14" t="s">
        <v>6</v>
      </c>
      <c r="G19" s="86">
        <f>SUM(I19:AG19)</f>
        <v>0.99999999999999989</v>
      </c>
      <c r="H19" s="87"/>
      <c r="I19" s="102">
        <f>1-SUM(K19:AG19)</f>
        <v>8.2500000000000018E-2</v>
      </c>
      <c r="J19" s="103"/>
      <c r="K19" s="102">
        <f>ROUND(AVERAGE(K15:K17),4)</f>
        <v>6.9199999999999998E-2</v>
      </c>
      <c r="L19" s="103"/>
      <c r="M19" s="102">
        <f>ROUND(AVERAGE(M15:M17),4)</f>
        <v>2.3599999999999999E-2</v>
      </c>
      <c r="N19" s="104"/>
      <c r="O19" s="102">
        <f>ROUND(AVERAGE(O15:O17),4)</f>
        <v>7.0599999999999996E-2</v>
      </c>
      <c r="P19" s="104"/>
      <c r="Q19" s="102">
        <f>ROUND(AVERAGE(Q15:Q17),4)</f>
        <v>0.1071</v>
      </c>
      <c r="R19" s="104"/>
      <c r="S19" s="102">
        <f>ROUND(AVERAGE(S15:S17),4)</f>
        <v>7.6399999999999996E-2</v>
      </c>
      <c r="T19" s="104"/>
      <c r="U19" s="102">
        <f>ROUND(AVERAGE(U15:U17),4)</f>
        <v>0.40350000000000003</v>
      </c>
      <c r="V19" s="111"/>
      <c r="W19" s="102">
        <f>ROUND(AVERAGE(W15:W17),4)</f>
        <v>0.14149999999999999</v>
      </c>
      <c r="X19" s="88"/>
      <c r="Y19" s="102">
        <f>ROUND(AVERAGE(Y15:Y17),4)</f>
        <v>2.3099999999999999E-2</v>
      </c>
      <c r="Z19" s="88"/>
      <c r="AA19" s="102">
        <f>ROUND(AVERAGE(AA15:AA17),4)</f>
        <v>8.0000000000000004E-4</v>
      </c>
      <c r="AB19" s="102"/>
      <c r="AC19" s="102">
        <f>ROUND(AVERAGE(AC15:AC17),4)</f>
        <v>1.1999999999999999E-3</v>
      </c>
      <c r="AD19" s="102"/>
      <c r="AE19" s="102">
        <f>ROUND(AVERAGE(AE15:AE17),4)</f>
        <v>2E-3</v>
      </c>
      <c r="AF19" s="102"/>
      <c r="AG19" s="102">
        <f>ROUND(AVERAGE(AG15:AG17),4)</f>
        <v>-1.5E-3</v>
      </c>
      <c r="AH19" s="88"/>
      <c r="AI19" s="102">
        <f>ROUND(AVERAGE(AI15:AI17),4)</f>
        <v>0</v>
      </c>
      <c r="AJ19" s="102"/>
      <c r="AK19" s="102">
        <f>ROUND(AVERAGE(AK15:AK17),4)</f>
        <v>2.9999999999999997E-4</v>
      </c>
      <c r="AL19" s="102"/>
      <c r="AM19" s="102">
        <f>ROUND(AVERAGE(AM15:AM17),4)</f>
        <v>2.9999999999999997E-4</v>
      </c>
      <c r="AN19" s="88"/>
      <c r="AO19" s="102">
        <f>ROUND(AVERAGE(AO15:AO17),4)</f>
        <v>-2.0999999999999999E-3</v>
      </c>
      <c r="AP19" s="88"/>
      <c r="AQ19" s="102">
        <f>ROUND(AVERAGE(AQ15:AQ17),4)</f>
        <v>0</v>
      </c>
      <c r="AR19" s="34"/>
      <c r="AS19" s="102">
        <f>ROUND(AVERAGE(AS15:AS17),4)</f>
        <v>0</v>
      </c>
      <c r="AT19" s="88"/>
      <c r="AU19" s="102">
        <f>ROUND(AVERAGE(AU15:AU17),4)</f>
        <v>0</v>
      </c>
      <c r="AV19" s="88"/>
      <c r="AW19" s="102">
        <f>ROUND(AVERAGE(AW15:AW17),4)</f>
        <v>0</v>
      </c>
      <c r="AX19" s="102"/>
      <c r="AY19" s="102">
        <f>ROUND(AVERAGE(AY15:AY17),4)</f>
        <v>0</v>
      </c>
      <c r="AZ19" s="88"/>
      <c r="BA19" s="88"/>
      <c r="BB19" s="102">
        <f>ROUND(AVERAGE(BB15:BB17),4)</f>
        <v>0</v>
      </c>
      <c r="BC19" s="34"/>
      <c r="BD19" s="102">
        <f>ROUND(AVERAGE(BD15:BD17),4)</f>
        <v>0</v>
      </c>
      <c r="BE19" s="88"/>
      <c r="BF19" s="102">
        <f>ROUND(AVERAGE(BF15:BF17),4)</f>
        <v>0</v>
      </c>
    </row>
    <row r="20" spans="1:58" s="14" customFormat="1" x14ac:dyDescent="0.2">
      <c r="A20" s="19"/>
      <c r="C20" s="54"/>
      <c r="D20" s="10"/>
      <c r="G20" s="90"/>
      <c r="H20" s="87"/>
      <c r="I20" s="91"/>
      <c r="J20" s="87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G20" s="90"/>
      <c r="AH20" s="90"/>
      <c r="AI20" s="90"/>
      <c r="AJ20" s="90"/>
      <c r="AK20" s="90"/>
      <c r="AL20" s="90"/>
      <c r="AM20" s="16"/>
    </row>
    <row r="21" spans="1:58" s="14" customFormat="1" x14ac:dyDescent="0.2">
      <c r="A21" s="19"/>
      <c r="C21" s="54"/>
      <c r="D21" s="10"/>
      <c r="G21" s="55"/>
      <c r="H21" s="15"/>
      <c r="I21" s="56"/>
      <c r="J21" s="15"/>
      <c r="K21" s="15"/>
      <c r="L21" s="15"/>
      <c r="M21" s="15"/>
      <c r="N21" s="15"/>
      <c r="O21" s="15"/>
      <c r="P21" s="15"/>
      <c r="Q21" s="15"/>
      <c r="R21" s="15"/>
      <c r="T21" s="15"/>
      <c r="V21" s="16"/>
      <c r="W21" s="16"/>
      <c r="X21" s="15"/>
      <c r="Y21" s="15"/>
      <c r="Z21" s="16"/>
      <c r="AA21" s="15"/>
      <c r="AB21" s="15"/>
      <c r="AC21" s="15"/>
      <c r="AD21" s="15"/>
      <c r="AG21" s="16"/>
      <c r="AH21" s="16"/>
      <c r="AI21" s="15"/>
      <c r="AJ21" s="15"/>
      <c r="AK21" s="15"/>
      <c r="AL21" s="15"/>
    </row>
    <row r="22" spans="1:58" s="14" customFormat="1" ht="15.75" x14ac:dyDescent="0.25">
      <c r="A22" s="19"/>
      <c r="C22" s="99" t="s">
        <v>79</v>
      </c>
      <c r="D22" s="10"/>
      <c r="G22" s="15"/>
      <c r="H22" s="15"/>
      <c r="I22" s="295" t="s">
        <v>203</v>
      </c>
      <c r="J22" s="241"/>
      <c r="K22" s="297" t="s">
        <v>204</v>
      </c>
      <c r="L22" s="241"/>
      <c r="M22" s="297" t="s">
        <v>205</v>
      </c>
      <c r="N22" s="297"/>
      <c r="O22" s="297" t="s">
        <v>205</v>
      </c>
      <c r="P22" s="241"/>
      <c r="Q22" s="297" t="s">
        <v>206</v>
      </c>
      <c r="R22" s="241"/>
      <c r="S22" s="298" t="s">
        <v>207</v>
      </c>
      <c r="T22" s="241"/>
      <c r="U22" s="298" t="s">
        <v>208</v>
      </c>
      <c r="V22" s="16"/>
      <c r="W22" s="16"/>
      <c r="X22" s="15"/>
      <c r="Y22" s="15"/>
      <c r="Z22" s="16"/>
      <c r="AA22" s="15"/>
      <c r="AB22" s="15"/>
      <c r="AC22" s="15"/>
      <c r="AD22" s="15"/>
      <c r="AG22" s="16"/>
      <c r="AH22" s="16"/>
      <c r="AI22" s="15"/>
      <c r="AJ22" s="15"/>
      <c r="AK22" s="15"/>
      <c r="AL22" s="15"/>
    </row>
    <row r="23" spans="1:58" s="17" customFormat="1" x14ac:dyDescent="0.2">
      <c r="A23" s="57"/>
      <c r="I23" s="58"/>
      <c r="M23" s="94"/>
      <c r="N23" s="92"/>
      <c r="P23" s="92"/>
      <c r="R23" s="92"/>
      <c r="T23" s="92"/>
      <c r="V23" s="92"/>
      <c r="X23" s="92"/>
      <c r="Z23" s="38"/>
      <c r="AA23" s="38"/>
      <c r="AB23" s="38"/>
      <c r="AG23" s="38"/>
      <c r="AH23" s="38"/>
    </row>
    <row r="24" spans="1:58" s="17" customFormat="1" x14ac:dyDescent="0.2">
      <c r="A24" s="57"/>
      <c r="C24" s="2" t="s">
        <v>2</v>
      </c>
      <c r="D24" s="10"/>
      <c r="E24" s="3" t="s">
        <v>3</v>
      </c>
      <c r="G24" s="84">
        <f>SUM(I24:AG24)</f>
        <v>6675138918.1999998</v>
      </c>
      <c r="I24" s="113">
        <f>I10</f>
        <v>588658574.24000001</v>
      </c>
      <c r="J24" s="8"/>
      <c r="K24" s="113">
        <f>K10</f>
        <v>522666021.57000005</v>
      </c>
      <c r="L24" s="8"/>
      <c r="M24" s="113">
        <f>M10</f>
        <v>196802776</v>
      </c>
      <c r="N24" s="49"/>
      <c r="O24" s="113">
        <f>O10</f>
        <v>532048476.17000002</v>
      </c>
      <c r="P24" s="49"/>
      <c r="Q24" s="113">
        <f>Q10</f>
        <v>946876781.34000003</v>
      </c>
      <c r="R24" s="49"/>
      <c r="S24" s="113">
        <f>S10</f>
        <v>494873746.19999999</v>
      </c>
      <c r="T24" s="49"/>
      <c r="U24" s="113">
        <f>U10</f>
        <v>3393212542.6799998</v>
      </c>
      <c r="V24" s="1"/>
      <c r="W24" s="1"/>
      <c r="X24" s="92"/>
      <c r="Z24" s="38"/>
      <c r="AA24" s="38"/>
      <c r="AB24" s="38"/>
      <c r="AG24" s="38"/>
      <c r="AH24" s="38"/>
    </row>
    <row r="25" spans="1:58" s="17" customFormat="1" x14ac:dyDescent="0.2">
      <c r="A25" s="57"/>
      <c r="C25" s="3" t="s">
        <v>4</v>
      </c>
      <c r="D25" s="10"/>
      <c r="E25" s="3" t="s">
        <v>5</v>
      </c>
      <c r="G25" s="85">
        <f>SUM(I25:AG25)</f>
        <v>3060515.166666667</v>
      </c>
      <c r="I25" s="114">
        <f>I11</f>
        <v>299552.75</v>
      </c>
      <c r="J25" s="8"/>
      <c r="K25" s="113">
        <f>K11</f>
        <v>243083.75</v>
      </c>
      <c r="L25" s="8"/>
      <c r="M25" s="113">
        <f>M11</f>
        <v>74692.75</v>
      </c>
      <c r="N25" s="49"/>
      <c r="O25" s="113">
        <f>O11</f>
        <v>272260.41666666669</v>
      </c>
      <c r="P25" s="49"/>
      <c r="Q25" s="113">
        <f>Q11</f>
        <v>332626.25</v>
      </c>
      <c r="R25" s="49"/>
      <c r="S25" s="113">
        <f>S11</f>
        <v>250173.33333333334</v>
      </c>
      <c r="T25" s="49"/>
      <c r="U25" s="113">
        <f>U11</f>
        <v>1588125.9166666667</v>
      </c>
      <c r="V25" s="1"/>
      <c r="W25" s="1"/>
      <c r="X25" s="92"/>
      <c r="Z25" s="38"/>
      <c r="AA25" s="38"/>
      <c r="AB25" s="38"/>
      <c r="AG25" s="38"/>
      <c r="AH25" s="38"/>
    </row>
    <row r="26" spans="1:58" s="17" customFormat="1" x14ac:dyDescent="0.2">
      <c r="A26" s="57"/>
      <c r="C26" s="2" t="s">
        <v>15</v>
      </c>
      <c r="D26" s="10"/>
      <c r="E26" s="3" t="s">
        <v>3</v>
      </c>
      <c r="G26" s="84">
        <f>SUM(I26:AG26)</f>
        <v>267589973.06999999</v>
      </c>
      <c r="I26" s="114">
        <f>I12</f>
        <v>30013523.280000005</v>
      </c>
      <c r="J26" s="8"/>
      <c r="K26" s="113">
        <f>K12</f>
        <v>24974685.020000003</v>
      </c>
      <c r="L26" s="8"/>
      <c r="M26" s="114">
        <f>M12</f>
        <v>8753909.0500000007</v>
      </c>
      <c r="N26" s="49"/>
      <c r="O26" s="114">
        <f>O12</f>
        <v>22587102.66</v>
      </c>
      <c r="P26" s="49"/>
      <c r="Q26" s="113">
        <f>Q12</f>
        <v>38004205.259999998</v>
      </c>
      <c r="R26" s="49"/>
      <c r="S26" s="113">
        <f>S12</f>
        <v>33429741.43</v>
      </c>
      <c r="T26" s="49"/>
      <c r="U26" s="113">
        <f>U12</f>
        <v>109826806.36999999</v>
      </c>
      <c r="V26" s="1"/>
      <c r="W26" s="1"/>
      <c r="X26" s="92"/>
      <c r="Z26" s="38"/>
      <c r="AA26" s="38"/>
      <c r="AB26" s="38"/>
      <c r="AG26" s="38"/>
      <c r="AH26" s="38"/>
    </row>
    <row r="27" spans="1:58" s="17" customFormat="1" x14ac:dyDescent="0.2">
      <c r="A27" s="57"/>
      <c r="C27" s="50" t="s">
        <v>16</v>
      </c>
      <c r="D27" s="10"/>
      <c r="E27" s="3"/>
      <c r="I27" s="1"/>
      <c r="J27" s="4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92"/>
      <c r="Z27" s="38"/>
      <c r="AA27" s="38"/>
      <c r="AB27" s="38"/>
      <c r="AG27" s="38"/>
      <c r="AH27" s="38"/>
    </row>
    <row r="28" spans="1:58" s="17" customFormat="1" x14ac:dyDescent="0.2">
      <c r="A28" s="57"/>
      <c r="I28" s="58"/>
      <c r="M28" s="94"/>
      <c r="N28" s="92"/>
      <c r="P28" s="92"/>
      <c r="R28" s="92"/>
      <c r="T28" s="92"/>
      <c r="V28" s="92"/>
      <c r="W28" s="92"/>
      <c r="X28" s="92"/>
      <c r="Z28" s="38"/>
      <c r="AA28" s="38"/>
      <c r="AB28" s="38"/>
      <c r="AG28" s="38"/>
      <c r="AH28" s="38"/>
    </row>
    <row r="29" spans="1:58" s="17" customFormat="1" x14ac:dyDescent="0.2">
      <c r="A29" s="57"/>
      <c r="C29" s="2" t="s">
        <v>2</v>
      </c>
      <c r="D29" s="10"/>
      <c r="E29" s="14" t="s">
        <v>6</v>
      </c>
      <c r="F29" s="97"/>
      <c r="G29" s="102">
        <f>SUM(I29:AG29)</f>
        <v>1</v>
      </c>
      <c r="I29" s="102">
        <f>1-SUM(K29:BF29)</f>
        <v>8.8200000000000056E-2</v>
      </c>
      <c r="J29" s="103"/>
      <c r="K29" s="102">
        <f>ROUND(K24/$G$24,4)</f>
        <v>7.8299999999999995E-2</v>
      </c>
      <c r="L29" s="103"/>
      <c r="M29" s="102">
        <f>ROUND(M24/$G$24,4)</f>
        <v>2.9499999999999998E-2</v>
      </c>
      <c r="N29" s="104"/>
      <c r="O29" s="102">
        <f>ROUND(O24/$G$24,4)</f>
        <v>7.9699999999999993E-2</v>
      </c>
      <c r="P29" s="104"/>
      <c r="Q29" s="102">
        <f>ROUND(Q24/$G$24,4)</f>
        <v>0.1419</v>
      </c>
      <c r="R29" s="104"/>
      <c r="S29" s="102">
        <f>ROUND(S24/$G$24,4)</f>
        <v>7.4099999999999999E-2</v>
      </c>
      <c r="T29" s="104"/>
      <c r="U29" s="102">
        <f>ROUND(U24/$G$24,4)</f>
        <v>0.50829999999999997</v>
      </c>
      <c r="V29" s="104"/>
      <c r="W29" s="104"/>
      <c r="X29" s="92"/>
      <c r="Y29" s="105"/>
      <c r="Z29" s="106"/>
      <c r="AA29" s="106"/>
      <c r="AB29" s="106"/>
      <c r="AG29" s="106"/>
      <c r="AH29" s="106"/>
      <c r="AI29" s="105"/>
      <c r="AJ29" s="105"/>
      <c r="AK29" s="105"/>
      <c r="AL29" s="105"/>
    </row>
    <row r="30" spans="1:58" s="17" customFormat="1" x14ac:dyDescent="0.2">
      <c r="A30" s="57"/>
      <c r="C30" s="3" t="s">
        <v>4</v>
      </c>
      <c r="D30" s="10"/>
      <c r="E30" s="14" t="s">
        <v>6</v>
      </c>
      <c r="F30" s="97"/>
      <c r="G30" s="102">
        <f>SUM(I30:AG30)</f>
        <v>1</v>
      </c>
      <c r="I30" s="102">
        <f>1-SUM(K30:BF30)</f>
        <v>9.7899999999999987E-2</v>
      </c>
      <c r="J30" s="103"/>
      <c r="K30" s="102">
        <f>ROUND(K25/$G$25,4)</f>
        <v>7.9399999999999998E-2</v>
      </c>
      <c r="L30" s="103"/>
      <c r="M30" s="102">
        <f>ROUND(M25/$G$25,4)</f>
        <v>2.4400000000000002E-2</v>
      </c>
      <c r="N30" s="104"/>
      <c r="O30" s="102">
        <f>ROUND(O25/$G$25,4)</f>
        <v>8.8999999999999996E-2</v>
      </c>
      <c r="P30" s="104"/>
      <c r="Q30" s="102">
        <f>ROUND(Q25/$G$25,4)</f>
        <v>0.1087</v>
      </c>
      <c r="R30" s="104"/>
      <c r="S30" s="102">
        <f>ROUND(S25/$G$25,4)</f>
        <v>8.1699999999999995E-2</v>
      </c>
      <c r="T30" s="104"/>
      <c r="U30" s="102">
        <f>ROUND(U25/$G$25,4)</f>
        <v>0.51890000000000003</v>
      </c>
      <c r="V30" s="104"/>
      <c r="W30" s="104"/>
      <c r="X30" s="92"/>
      <c r="Z30" s="38"/>
      <c r="AA30" s="38"/>
      <c r="AB30" s="38"/>
      <c r="AG30" s="38"/>
      <c r="AH30" s="38"/>
    </row>
    <row r="31" spans="1:58" s="17" customFormat="1" x14ac:dyDescent="0.2">
      <c r="A31" s="57"/>
      <c r="C31" s="2" t="s">
        <v>7</v>
      </c>
      <c r="D31" s="10"/>
      <c r="E31" s="14" t="s">
        <v>6</v>
      </c>
      <c r="F31" s="97"/>
      <c r="G31" s="102">
        <f>SUM(I31:AG31)</f>
        <v>1</v>
      </c>
      <c r="I31" s="102">
        <f>1-SUM(K31:BF31)</f>
        <v>0.11230000000000007</v>
      </c>
      <c r="J31" s="103"/>
      <c r="K31" s="102">
        <f>ROUND(K26/$G$26,4)</f>
        <v>9.3299999999999994E-2</v>
      </c>
      <c r="L31" s="103"/>
      <c r="M31" s="102">
        <f>ROUND(M26/$G$26,4)</f>
        <v>3.27E-2</v>
      </c>
      <c r="N31" s="104"/>
      <c r="O31" s="102">
        <f>ROUND(O26/$G$26,4)</f>
        <v>8.4400000000000003E-2</v>
      </c>
      <c r="P31" s="104"/>
      <c r="Q31" s="102">
        <f>ROUND(Q26/$G$26,4)</f>
        <v>0.14199999999999999</v>
      </c>
      <c r="R31" s="104"/>
      <c r="S31" s="102">
        <f>ROUND(S26/$G$26,4)</f>
        <v>0.1249</v>
      </c>
      <c r="T31" s="104"/>
      <c r="U31" s="102">
        <f>ROUND(U26/$G$26,4)</f>
        <v>0.41039999999999999</v>
      </c>
      <c r="V31" s="104"/>
      <c r="W31" s="104"/>
      <c r="X31" s="92"/>
      <c r="Z31" s="38"/>
      <c r="AA31" s="38"/>
      <c r="AB31" s="38"/>
      <c r="AG31" s="38"/>
      <c r="AH31" s="38"/>
    </row>
    <row r="32" spans="1:58" s="17" customFormat="1" x14ac:dyDescent="0.2">
      <c r="A32" s="57"/>
      <c r="C32" s="54"/>
      <c r="D32" s="10"/>
      <c r="E32" s="14"/>
      <c r="G32" s="93"/>
      <c r="I32" s="103"/>
      <c r="J32" s="103"/>
      <c r="K32" s="103"/>
      <c r="L32" s="103"/>
      <c r="M32" s="103"/>
      <c r="N32" s="104"/>
      <c r="O32" s="103"/>
      <c r="P32" s="104"/>
      <c r="Q32" s="103"/>
      <c r="R32" s="104"/>
      <c r="S32" s="103"/>
      <c r="T32" s="104"/>
      <c r="U32" s="103"/>
      <c r="V32" s="104"/>
      <c r="W32" s="104"/>
      <c r="X32" s="92"/>
      <c r="Z32" s="38"/>
      <c r="AA32" s="38"/>
      <c r="AB32" s="38"/>
      <c r="AG32" s="38"/>
      <c r="AH32" s="38"/>
    </row>
    <row r="33" spans="1:34" s="17" customFormat="1" x14ac:dyDescent="0.2">
      <c r="A33" s="57"/>
      <c r="C33" s="54" t="str">
        <f>C19</f>
        <v>Total Composite Factor for FY 2015</v>
      </c>
      <c r="D33" s="10"/>
      <c r="E33" s="14" t="s">
        <v>6</v>
      </c>
      <c r="G33" s="102">
        <f>SUM(I33:AG33)</f>
        <v>1</v>
      </c>
      <c r="I33" s="102">
        <f>1-SUM(K33:BF33)</f>
        <v>9.9299999999999944E-2</v>
      </c>
      <c r="J33" s="103"/>
      <c r="K33" s="102">
        <f>ROUND(AVERAGE(K29:K31),4)</f>
        <v>8.3699999999999997E-2</v>
      </c>
      <c r="L33" s="103"/>
      <c r="M33" s="102">
        <f>ROUND(AVERAGE(M29:M31),4)</f>
        <v>2.8899999999999999E-2</v>
      </c>
      <c r="N33" s="104"/>
      <c r="O33" s="102">
        <f>ROUND(AVERAGE(O29:O31),4)</f>
        <v>8.4400000000000003E-2</v>
      </c>
      <c r="P33" s="104"/>
      <c r="Q33" s="102">
        <f>ROUND(AVERAGE(Q29:Q31),4)</f>
        <v>0.13089999999999999</v>
      </c>
      <c r="R33" s="104"/>
      <c r="S33" s="102">
        <f>ROUND(AVERAGE(S29:S31),4)</f>
        <v>9.3600000000000003E-2</v>
      </c>
      <c r="T33" s="104"/>
      <c r="U33" s="102">
        <f>ROUND(AVERAGE(U29:U31),4)</f>
        <v>0.47920000000000001</v>
      </c>
      <c r="V33" s="111"/>
      <c r="W33" s="104"/>
      <c r="X33" s="92"/>
      <c r="Z33" s="38"/>
      <c r="AA33" s="38"/>
      <c r="AB33" s="38"/>
      <c r="AG33" s="38"/>
      <c r="AH33" s="38"/>
    </row>
    <row r="34" spans="1:34" s="17" customFormat="1" x14ac:dyDescent="0.2">
      <c r="A34" s="57"/>
      <c r="C34" s="54"/>
      <c r="D34" s="10"/>
      <c r="E34" s="14"/>
      <c r="G34" s="104"/>
      <c r="I34" s="104"/>
      <c r="J34" s="103"/>
      <c r="K34" s="104"/>
      <c r="L34" s="103"/>
      <c r="M34" s="104"/>
      <c r="N34" s="104"/>
      <c r="O34" s="104"/>
      <c r="P34" s="104"/>
      <c r="Q34" s="104"/>
      <c r="R34" s="104"/>
      <c r="S34" s="104"/>
      <c r="T34" s="104"/>
      <c r="U34" s="104"/>
      <c r="V34" s="111"/>
      <c r="W34" s="104"/>
      <c r="X34" s="92"/>
      <c r="Z34" s="38"/>
      <c r="AA34" s="38"/>
      <c r="AB34" s="38"/>
      <c r="AG34" s="38"/>
      <c r="AH34" s="38"/>
    </row>
    <row r="35" spans="1:34" s="17" customFormat="1" x14ac:dyDescent="0.2">
      <c r="A35" s="57"/>
      <c r="C35" s="54"/>
      <c r="D35" s="10"/>
      <c r="E35" s="14"/>
      <c r="I35" s="312" t="s">
        <v>322</v>
      </c>
      <c r="J35" s="313"/>
      <c r="K35" s="313" t="s">
        <v>323</v>
      </c>
      <c r="L35" s="313"/>
      <c r="M35" s="313" t="s">
        <v>324</v>
      </c>
      <c r="N35" s="314"/>
      <c r="O35" s="315" t="s">
        <v>324</v>
      </c>
      <c r="P35" s="314"/>
      <c r="Q35" s="313" t="s">
        <v>325</v>
      </c>
      <c r="R35" s="314"/>
      <c r="S35" s="313" t="s">
        <v>326</v>
      </c>
      <c r="T35" s="314"/>
      <c r="U35" s="313" t="s">
        <v>327</v>
      </c>
      <c r="V35" s="314"/>
      <c r="W35" s="313" t="s">
        <v>328</v>
      </c>
      <c r="X35" s="314"/>
      <c r="Z35" s="38"/>
      <c r="AA35" s="38"/>
      <c r="AB35" s="38"/>
      <c r="AG35" s="38"/>
      <c r="AH35" s="38"/>
    </row>
    <row r="36" spans="1:34" ht="15.75" x14ac:dyDescent="0.25">
      <c r="C36" s="358" t="s">
        <v>252</v>
      </c>
      <c r="I36" s="295" t="s">
        <v>253</v>
      </c>
      <c r="J36" s="239"/>
      <c r="K36" s="296" t="s">
        <v>254</v>
      </c>
      <c r="L36" s="239"/>
      <c r="M36" s="296" t="s">
        <v>255</v>
      </c>
      <c r="N36" s="300"/>
      <c r="O36" s="301" t="s">
        <v>255</v>
      </c>
      <c r="P36" s="240"/>
      <c r="Q36" s="296" t="s">
        <v>256</v>
      </c>
      <c r="R36" s="240"/>
      <c r="S36" s="296" t="s">
        <v>257</v>
      </c>
      <c r="T36" s="240"/>
      <c r="U36" s="296" t="s">
        <v>258</v>
      </c>
    </row>
    <row r="38" spans="1:34" x14ac:dyDescent="0.2">
      <c r="C38" s="3" t="s">
        <v>4</v>
      </c>
      <c r="D38" s="10"/>
      <c r="E38" s="14" t="s">
        <v>6</v>
      </c>
      <c r="F38" s="97"/>
      <c r="G38" s="102">
        <f>SUM(I38:AG38)</f>
        <v>1</v>
      </c>
      <c r="H38" s="17"/>
      <c r="I38" s="102">
        <f>1-SUM(K38:BF38)</f>
        <v>9.7999999999999976E-2</v>
      </c>
      <c r="J38" s="103"/>
      <c r="K38" s="102">
        <f>ROUND(K45/$G$45,4)</f>
        <v>7.9399999999999998E-2</v>
      </c>
      <c r="L38" s="103"/>
      <c r="M38" s="102">
        <f>ROUND(M45/$G$45,4)</f>
        <v>2.4400000000000002E-2</v>
      </c>
      <c r="N38" s="104"/>
      <c r="O38" s="102">
        <f>ROUND(O45/$G$45,4)</f>
        <v>8.8900000000000007E-2</v>
      </c>
      <c r="P38" s="104"/>
      <c r="Q38" s="102">
        <f>ROUND(Q45/$G$45,4)</f>
        <v>0.1087</v>
      </c>
      <c r="R38" s="104"/>
      <c r="S38" s="102">
        <f>ROUND(S45/$G$45,4)</f>
        <v>8.1699999999999995E-2</v>
      </c>
      <c r="T38" s="104"/>
      <c r="U38" s="102">
        <f>ROUND(U45/$G$45,4)</f>
        <v>0.51880000000000004</v>
      </c>
      <c r="V38" s="102">
        <f t="shared" ref="V38:W38" si="1">ROUND(V45/$G$45,4)</f>
        <v>0</v>
      </c>
      <c r="W38" s="102">
        <f t="shared" si="1"/>
        <v>1E-4</v>
      </c>
    </row>
    <row r="39" spans="1:34" s="17" customFormat="1" x14ac:dyDescent="0.2">
      <c r="A39" s="57"/>
      <c r="C39" s="54"/>
      <c r="D39" s="10"/>
      <c r="E39" s="14"/>
      <c r="I39" s="59"/>
      <c r="N39" s="92"/>
      <c r="O39" s="93"/>
      <c r="P39" s="92"/>
      <c r="R39" s="92"/>
      <c r="T39" s="92"/>
      <c r="V39" s="92"/>
      <c r="X39" s="92"/>
      <c r="Z39" s="38"/>
      <c r="AA39" s="38"/>
      <c r="AB39" s="38"/>
      <c r="AG39" s="38"/>
      <c r="AH39" s="38"/>
    </row>
    <row r="40" spans="1:34" s="17" customFormat="1" x14ac:dyDescent="0.2">
      <c r="A40" s="57"/>
      <c r="C40" s="54"/>
      <c r="D40" s="10"/>
      <c r="E40" s="14"/>
      <c r="I40" s="59"/>
      <c r="N40" s="92"/>
      <c r="O40" s="93"/>
      <c r="P40" s="92"/>
      <c r="R40" s="92"/>
      <c r="T40" s="92"/>
      <c r="V40" s="92"/>
      <c r="X40" s="92"/>
      <c r="Z40" s="38"/>
      <c r="AA40" s="38"/>
      <c r="AB40" s="38"/>
      <c r="AG40" s="38"/>
      <c r="AH40" s="38"/>
    </row>
    <row r="41" spans="1:34" x14ac:dyDescent="0.2">
      <c r="O41" s="93"/>
    </row>
    <row r="42" spans="1:34" ht="15.75" x14ac:dyDescent="0.25">
      <c r="C42" s="99" t="s">
        <v>81</v>
      </c>
      <c r="D42" s="10"/>
      <c r="E42" s="14"/>
      <c r="F42" s="14"/>
      <c r="G42" s="15"/>
      <c r="H42" s="15"/>
      <c r="I42" s="299" t="s">
        <v>245</v>
      </c>
      <c r="J42" s="241"/>
      <c r="K42" s="297" t="s">
        <v>246</v>
      </c>
      <c r="L42" s="241"/>
      <c r="M42" s="297" t="s">
        <v>247</v>
      </c>
      <c r="N42" s="297"/>
      <c r="O42" s="297" t="s">
        <v>247</v>
      </c>
      <c r="P42" s="241"/>
      <c r="Q42" s="297" t="s">
        <v>248</v>
      </c>
      <c r="R42" s="241"/>
      <c r="S42" s="298" t="s">
        <v>249</v>
      </c>
      <c r="T42" s="241"/>
      <c r="U42" s="298" t="s">
        <v>250</v>
      </c>
      <c r="V42" s="244"/>
      <c r="W42" s="296" t="s">
        <v>251</v>
      </c>
    </row>
    <row r="43" spans="1:34" x14ac:dyDescent="0.2">
      <c r="C43" s="17"/>
      <c r="D43" s="17"/>
      <c r="E43" s="17"/>
      <c r="F43" s="17"/>
      <c r="G43" s="17"/>
      <c r="H43" s="17"/>
      <c r="I43" s="58"/>
      <c r="J43" s="17"/>
      <c r="K43" s="17"/>
      <c r="L43" s="17"/>
      <c r="M43" s="94"/>
      <c r="N43" s="92"/>
      <c r="O43" s="17"/>
      <c r="P43" s="92"/>
      <c r="Q43" s="17"/>
      <c r="R43" s="92"/>
      <c r="S43" s="17"/>
      <c r="T43" s="92"/>
      <c r="U43" s="17"/>
    </row>
    <row r="44" spans="1:34" x14ac:dyDescent="0.2">
      <c r="C44" s="2" t="s">
        <v>2</v>
      </c>
      <c r="D44" s="10"/>
      <c r="E44" s="3" t="s">
        <v>3</v>
      </c>
      <c r="F44" s="17"/>
      <c r="G44" s="84">
        <f>SUM(I44:AG44)</f>
        <v>8432239559.3299999</v>
      </c>
      <c r="H44" s="17"/>
      <c r="I44" s="113">
        <f>I10</f>
        <v>588658574.24000001</v>
      </c>
      <c r="J44" s="8"/>
      <c r="K44" s="113">
        <f>K10</f>
        <v>522666021.57000005</v>
      </c>
      <c r="L44" s="8"/>
      <c r="M44" s="113">
        <f>M10</f>
        <v>196802776</v>
      </c>
      <c r="N44" s="49"/>
      <c r="O44" s="113">
        <f>O10</f>
        <v>532048476.17000002</v>
      </c>
      <c r="P44" s="49"/>
      <c r="Q44" s="113">
        <f>Q10</f>
        <v>946876781.34000003</v>
      </c>
      <c r="R44" s="49"/>
      <c r="S44" s="113">
        <f>S10</f>
        <v>494873746.19999999</v>
      </c>
      <c r="T44" s="49"/>
      <c r="U44" s="113">
        <f>U10</f>
        <v>3393212542.6799998</v>
      </c>
      <c r="W44" s="113">
        <f>W10</f>
        <v>1757100641.1300001</v>
      </c>
    </row>
    <row r="45" spans="1:34" x14ac:dyDescent="0.2">
      <c r="C45" s="3" t="s">
        <v>4</v>
      </c>
      <c r="D45" s="10"/>
      <c r="E45" s="3" t="s">
        <v>5</v>
      </c>
      <c r="F45" s="17"/>
      <c r="G45" s="85">
        <f>SUM(I45:AG45)</f>
        <v>3060861.916666667</v>
      </c>
      <c r="H45" s="17"/>
      <c r="I45" s="113">
        <f>I11</f>
        <v>299552.75</v>
      </c>
      <c r="J45" s="8"/>
      <c r="K45" s="113">
        <f>K11</f>
        <v>243083.75</v>
      </c>
      <c r="L45" s="8"/>
      <c r="M45" s="113">
        <f>M11</f>
        <v>74692.75</v>
      </c>
      <c r="N45" s="49"/>
      <c r="O45" s="113">
        <f>O11</f>
        <v>272260.41666666669</v>
      </c>
      <c r="P45" s="49"/>
      <c r="Q45" s="113">
        <f>Q11</f>
        <v>332626.25</v>
      </c>
      <c r="R45" s="49"/>
      <c r="S45" s="113">
        <f>S11</f>
        <v>250173.33333333334</v>
      </c>
      <c r="T45" s="49"/>
      <c r="U45" s="113">
        <f>U11</f>
        <v>1588125.9166666667</v>
      </c>
      <c r="W45" s="113">
        <f>W11</f>
        <v>346.75</v>
      </c>
    </row>
    <row r="46" spans="1:34" x14ac:dyDescent="0.2">
      <c r="C46" s="2" t="s">
        <v>15</v>
      </c>
      <c r="D46" s="10"/>
      <c r="E46" s="3" t="s">
        <v>3</v>
      </c>
      <c r="F46" s="17"/>
      <c r="G46" s="84">
        <f>SUM(I46:AG46)</f>
        <v>349166625.57999998</v>
      </c>
      <c r="H46" s="17"/>
      <c r="I46" s="113">
        <f>I12</f>
        <v>30013523.280000005</v>
      </c>
      <c r="J46" s="8"/>
      <c r="K46" s="113">
        <f>K12</f>
        <v>24974685.020000003</v>
      </c>
      <c r="L46" s="8"/>
      <c r="M46" s="113">
        <f>M12</f>
        <v>8753909.0500000007</v>
      </c>
      <c r="N46" s="49"/>
      <c r="O46" s="113">
        <f>O12</f>
        <v>22587102.66</v>
      </c>
      <c r="P46" s="49"/>
      <c r="Q46" s="113">
        <f>Q12</f>
        <v>38004205.259999998</v>
      </c>
      <c r="R46" s="49"/>
      <c r="S46" s="113">
        <f>S12</f>
        <v>33429741.43</v>
      </c>
      <c r="T46" s="49"/>
      <c r="U46" s="113">
        <f>U12</f>
        <v>109826806.36999999</v>
      </c>
      <c r="W46" s="113">
        <f>W12</f>
        <v>81576652.510000005</v>
      </c>
    </row>
    <row r="47" spans="1:34" x14ac:dyDescent="0.2">
      <c r="C47" s="50" t="s">
        <v>16</v>
      </c>
      <c r="D47" s="10"/>
      <c r="E47" s="3"/>
      <c r="F47" s="17"/>
      <c r="G47" s="17"/>
      <c r="H47" s="17"/>
      <c r="I47" s="1"/>
      <c r="J47" s="4"/>
      <c r="K47" s="1"/>
      <c r="L47" s="4"/>
      <c r="M47" s="1"/>
      <c r="N47" s="1"/>
      <c r="O47" s="1"/>
      <c r="P47" s="1"/>
      <c r="Q47" s="1"/>
      <c r="R47" s="1"/>
      <c r="S47" s="1"/>
      <c r="T47" s="1"/>
      <c r="U47" s="1"/>
      <c r="W47" s="18"/>
    </row>
    <row r="48" spans="1:34" x14ac:dyDescent="0.2">
      <c r="C48" s="17"/>
      <c r="D48" s="17"/>
      <c r="E48" s="17"/>
      <c r="F48" s="17"/>
      <c r="G48" s="17"/>
      <c r="H48" s="17"/>
      <c r="I48" s="58"/>
      <c r="J48" s="17"/>
      <c r="K48" s="17"/>
      <c r="L48" s="17"/>
      <c r="M48" s="94"/>
      <c r="N48" s="92"/>
      <c r="O48" s="17"/>
      <c r="P48" s="92"/>
      <c r="Q48" s="17"/>
      <c r="R48" s="92"/>
      <c r="S48" s="17"/>
      <c r="T48" s="92"/>
      <c r="U48" s="17"/>
    </row>
    <row r="49" spans="3:33" x14ac:dyDescent="0.2">
      <c r="C49" s="2" t="s">
        <v>2</v>
      </c>
      <c r="D49" s="10"/>
      <c r="E49" s="14" t="s">
        <v>6</v>
      </c>
      <c r="F49" s="97"/>
      <c r="G49" s="102">
        <f>SUM(I49:AG49)</f>
        <v>1</v>
      </c>
      <c r="H49" s="17"/>
      <c r="I49" s="102">
        <f>1-SUM(K49:BF49)</f>
        <v>6.9799999999999973E-2</v>
      </c>
      <c r="J49" s="103"/>
      <c r="K49" s="102">
        <f>ROUND(K44/$G$44,4)</f>
        <v>6.2E-2</v>
      </c>
      <c r="L49" s="103"/>
      <c r="M49" s="102">
        <f>ROUND(M44/$G$44,4)</f>
        <v>2.3300000000000001E-2</v>
      </c>
      <c r="N49" s="104"/>
      <c r="O49" s="102">
        <f>ROUND(O44/$G$44,4)</f>
        <v>6.3100000000000003E-2</v>
      </c>
      <c r="P49" s="104"/>
      <c r="Q49" s="102">
        <f>ROUND(Q44/$G$44,4)</f>
        <v>0.1123</v>
      </c>
      <c r="R49" s="104"/>
      <c r="S49" s="102">
        <f>ROUND(S44/$G$44,4)</f>
        <v>5.8700000000000002E-2</v>
      </c>
      <c r="T49" s="104"/>
      <c r="U49" s="102">
        <f>ROUND(U44/$G$44,4)</f>
        <v>0.40239999999999998</v>
      </c>
      <c r="W49" s="102">
        <f>ROUND(W44/$G$44,4)</f>
        <v>0.2084</v>
      </c>
    </row>
    <row r="50" spans="3:33" x14ac:dyDescent="0.2">
      <c r="C50" s="3" t="s">
        <v>4</v>
      </c>
      <c r="D50" s="10"/>
      <c r="E50" s="14" t="s">
        <v>6</v>
      </c>
      <c r="F50" s="97"/>
      <c r="G50" s="102">
        <f>SUM(I50:AG50)</f>
        <v>1</v>
      </c>
      <c r="H50" s="17"/>
      <c r="I50" s="102">
        <f>1-SUM(K50:BF50)</f>
        <v>9.7986714915785034E-2</v>
      </c>
      <c r="J50" s="103"/>
      <c r="K50" s="102">
        <f>ROUND(K45/$G$45,4)</f>
        <v>7.9399999999999998E-2</v>
      </c>
      <c r="L50" s="103"/>
      <c r="M50" s="102">
        <f>ROUND(M45/$G$45,4)</f>
        <v>2.4400000000000002E-2</v>
      </c>
      <c r="N50" s="104"/>
      <c r="O50" s="102">
        <f>ROUND(O45/$G$45,4)</f>
        <v>8.8900000000000007E-2</v>
      </c>
      <c r="P50" s="104"/>
      <c r="Q50" s="102">
        <f>ROUND(Q45/$G$45,4)</f>
        <v>0.1087</v>
      </c>
      <c r="R50" s="104"/>
      <c r="S50" s="102">
        <f>ROUND(S45/$G$45,4)</f>
        <v>8.1699999999999995E-2</v>
      </c>
      <c r="T50" s="104"/>
      <c r="U50" s="102">
        <f>ROUND(U45/$G$45,4)</f>
        <v>0.51880000000000004</v>
      </c>
      <c r="W50" s="102">
        <f>(W45/$G$45)</f>
        <v>1.1328508421497723E-4</v>
      </c>
    </row>
    <row r="51" spans="3:33" x14ac:dyDescent="0.2">
      <c r="C51" s="2" t="s">
        <v>7</v>
      </c>
      <c r="D51" s="10"/>
      <c r="E51" s="14" t="s">
        <v>6</v>
      </c>
      <c r="F51" s="97"/>
      <c r="G51" s="102">
        <f>SUM(I51:AG51)</f>
        <v>1</v>
      </c>
      <c r="H51" s="17"/>
      <c r="I51" s="102">
        <f>1-SUM(K51:BF51)</f>
        <v>8.6099999999999954E-2</v>
      </c>
      <c r="J51" s="103"/>
      <c r="K51" s="102">
        <f>ROUND(K46/$G$46,4)</f>
        <v>7.1499999999999994E-2</v>
      </c>
      <c r="L51" s="103"/>
      <c r="M51" s="102">
        <f>ROUND(M46/$G$46,4)</f>
        <v>2.5100000000000001E-2</v>
      </c>
      <c r="N51" s="104"/>
      <c r="O51" s="102">
        <f>ROUND(O46/$G$46,4)</f>
        <v>6.4699999999999994E-2</v>
      </c>
      <c r="P51" s="104"/>
      <c r="Q51" s="102">
        <f>ROUND(Q46/$G$46,4)</f>
        <v>0.10879999999999999</v>
      </c>
      <c r="R51" s="104"/>
      <c r="S51" s="102">
        <f>ROUND(S46/$G$46,4)</f>
        <v>9.5699999999999993E-2</v>
      </c>
      <c r="T51" s="104"/>
      <c r="U51" s="102">
        <f>ROUND(U46/$G$46,4)</f>
        <v>0.3145</v>
      </c>
      <c r="W51" s="102">
        <f>ROUND(W46/$G$46,4)</f>
        <v>0.2336</v>
      </c>
    </row>
    <row r="52" spans="3:33" x14ac:dyDescent="0.2">
      <c r="C52" s="54"/>
      <c r="D52" s="10"/>
      <c r="E52" s="14"/>
      <c r="F52" s="17"/>
      <c r="G52" s="93"/>
      <c r="H52" s="17"/>
      <c r="I52" s="103"/>
      <c r="J52" s="103"/>
      <c r="K52" s="103"/>
      <c r="L52" s="103"/>
      <c r="M52" s="103"/>
      <c r="N52" s="104"/>
      <c r="O52" s="103"/>
      <c r="P52" s="104"/>
      <c r="Q52" s="103"/>
      <c r="R52" s="104"/>
      <c r="S52" s="103"/>
      <c r="T52" s="104"/>
      <c r="U52" s="103"/>
      <c r="W52" s="90"/>
    </row>
    <row r="53" spans="3:33" x14ac:dyDescent="0.2">
      <c r="C53" s="123" t="str">
        <f>C19</f>
        <v>Total Composite Factor for FY 2015</v>
      </c>
      <c r="D53" s="10"/>
      <c r="E53" s="14" t="s">
        <v>6</v>
      </c>
      <c r="F53" s="17"/>
      <c r="G53" s="102">
        <f>SUM(I53:AG53)</f>
        <v>1</v>
      </c>
      <c r="H53" s="17"/>
      <c r="I53" s="102">
        <f>1-SUM(K53:BF53)</f>
        <v>8.4600000000000009E-2</v>
      </c>
      <c r="J53" s="103"/>
      <c r="K53" s="102">
        <f>ROUND(AVERAGE(K49:K51),4)</f>
        <v>7.0999999999999994E-2</v>
      </c>
      <c r="L53" s="103"/>
      <c r="M53" s="102">
        <f>ROUND(AVERAGE(M49:M51),4)</f>
        <v>2.4299999999999999E-2</v>
      </c>
      <c r="N53" s="104"/>
      <c r="O53" s="102">
        <f>ROUND(AVERAGE(O49:O51),4)</f>
        <v>7.22E-2</v>
      </c>
      <c r="P53" s="104"/>
      <c r="Q53" s="102">
        <f>ROUND(AVERAGE(Q49:Q51),4)</f>
        <v>0.1099</v>
      </c>
      <c r="R53" s="104"/>
      <c r="S53" s="102">
        <f>ROUND(AVERAGE(S49:S51),4)</f>
        <v>7.8700000000000006E-2</v>
      </c>
      <c r="T53" s="104"/>
      <c r="U53" s="102">
        <f>ROUND(AVERAGE(U49:U51),4)</f>
        <v>0.41189999999999999</v>
      </c>
      <c r="V53" s="111"/>
      <c r="W53" s="102">
        <f>ROUND(AVERAGE(W49:W51),4)</f>
        <v>0.1474</v>
      </c>
    </row>
    <row r="55" spans="3:33" ht="15.75" x14ac:dyDescent="0.25">
      <c r="I55" s="245"/>
      <c r="K55" s="238"/>
      <c r="L55" s="239"/>
      <c r="M55" s="239"/>
      <c r="N55" s="239"/>
      <c r="O55" s="239"/>
      <c r="P55" s="240"/>
      <c r="Q55" s="246"/>
      <c r="R55" s="240"/>
      <c r="S55" s="239"/>
      <c r="T55" s="240"/>
      <c r="U55" s="239"/>
      <c r="V55" s="240"/>
      <c r="W55" s="239"/>
    </row>
    <row r="56" spans="3:33" ht="15.75" x14ac:dyDescent="0.25">
      <c r="C56" s="99" t="s">
        <v>209</v>
      </c>
      <c r="D56" s="10"/>
      <c r="E56" s="14"/>
      <c r="F56" s="14"/>
      <c r="G56" s="15"/>
      <c r="H56" s="15"/>
      <c r="I56" s="299" t="s">
        <v>210</v>
      </c>
      <c r="J56" s="241"/>
      <c r="K56" s="297" t="s">
        <v>211</v>
      </c>
      <c r="L56" s="241"/>
      <c r="M56" s="297" t="s">
        <v>212</v>
      </c>
      <c r="N56" s="297"/>
      <c r="O56" s="297" t="s">
        <v>212</v>
      </c>
      <c r="P56" s="241"/>
      <c r="Q56" s="297" t="s">
        <v>213</v>
      </c>
      <c r="R56" s="241"/>
      <c r="S56" s="298" t="s">
        <v>214</v>
      </c>
      <c r="T56" s="241"/>
      <c r="U56" s="298" t="s">
        <v>215</v>
      </c>
      <c r="V56" s="240"/>
      <c r="W56" s="296" t="s">
        <v>216</v>
      </c>
      <c r="X56" s="240"/>
      <c r="Y56" s="239"/>
      <c r="Z56" s="239"/>
      <c r="AA56" s="239"/>
      <c r="AB56" s="239"/>
      <c r="AC56" s="239"/>
      <c r="AD56" s="239"/>
      <c r="AE56" s="296" t="s">
        <v>217</v>
      </c>
      <c r="AG56" s="5"/>
    </row>
    <row r="57" spans="3:33" x14ac:dyDescent="0.2">
      <c r="C57" s="17"/>
      <c r="D57" s="17"/>
      <c r="E57" s="17"/>
      <c r="F57" s="17"/>
      <c r="G57" s="17"/>
      <c r="H57" s="17"/>
      <c r="I57" s="58"/>
      <c r="J57" s="17"/>
      <c r="K57" s="17"/>
      <c r="L57" s="17"/>
      <c r="M57" s="94"/>
      <c r="N57" s="92"/>
      <c r="O57" s="17"/>
      <c r="P57" s="92"/>
      <c r="Q57" s="17"/>
      <c r="R57" s="92"/>
      <c r="S57" s="17"/>
      <c r="T57" s="92"/>
      <c r="U57" s="17"/>
    </row>
    <row r="58" spans="3:33" x14ac:dyDescent="0.2">
      <c r="C58" s="2" t="s">
        <v>2</v>
      </c>
      <c r="D58" s="10"/>
      <c r="E58" s="3" t="s">
        <v>3</v>
      </c>
      <c r="F58" s="17"/>
      <c r="G58" s="84">
        <f>SUM(I58:AG58)</f>
        <v>8456771698.2399998</v>
      </c>
      <c r="H58" s="17"/>
      <c r="I58" s="113">
        <f>I10</f>
        <v>588658574.24000001</v>
      </c>
      <c r="J58" s="8"/>
      <c r="K58" s="113">
        <f>K10</f>
        <v>522666021.57000005</v>
      </c>
      <c r="L58" s="8"/>
      <c r="M58" s="113">
        <f>M10</f>
        <v>196802776</v>
      </c>
      <c r="N58" s="49"/>
      <c r="O58" s="113">
        <f>O10</f>
        <v>532048476.17000002</v>
      </c>
      <c r="P58" s="49"/>
      <c r="Q58" s="113">
        <f>Q10</f>
        <v>946876781.34000003</v>
      </c>
      <c r="R58" s="49"/>
      <c r="S58" s="113">
        <f>S10</f>
        <v>494873746.19999999</v>
      </c>
      <c r="T58" s="49"/>
      <c r="U58" s="113">
        <f>U10</f>
        <v>3393212542.6799998</v>
      </c>
      <c r="W58" s="113">
        <f>W10</f>
        <v>1757100641.1300001</v>
      </c>
      <c r="AA58" s="117"/>
      <c r="AB58" s="117"/>
      <c r="AC58" s="49"/>
      <c r="AD58" s="49"/>
      <c r="AE58" s="113">
        <f>AE10</f>
        <v>24532138.91</v>
      </c>
      <c r="AF58" s="49"/>
    </row>
    <row r="59" spans="3:33" x14ac:dyDescent="0.2">
      <c r="C59" s="3" t="s">
        <v>4</v>
      </c>
      <c r="D59" s="10"/>
      <c r="E59" s="3" t="s">
        <v>5</v>
      </c>
      <c r="F59" s="17"/>
      <c r="G59" s="84">
        <f>SUM(I59:AG59)</f>
        <v>3060876.916666667</v>
      </c>
      <c r="H59" s="17"/>
      <c r="I59" s="113">
        <f>I11</f>
        <v>299552.75</v>
      </c>
      <c r="J59" s="8"/>
      <c r="K59" s="113">
        <f>K11</f>
        <v>243083.75</v>
      </c>
      <c r="L59" s="8"/>
      <c r="M59" s="113">
        <f>M11</f>
        <v>74692.75</v>
      </c>
      <c r="N59" s="49"/>
      <c r="O59" s="113">
        <f>O11</f>
        <v>272260.41666666669</v>
      </c>
      <c r="P59" s="49"/>
      <c r="Q59" s="113">
        <f>Q11</f>
        <v>332626.25</v>
      </c>
      <c r="R59" s="49"/>
      <c r="S59" s="113">
        <f>S11</f>
        <v>250173.33333333334</v>
      </c>
      <c r="T59" s="49"/>
      <c r="U59" s="113">
        <f>U11</f>
        <v>1588125.9166666667</v>
      </c>
      <c r="W59" s="113">
        <f>W11</f>
        <v>346.75</v>
      </c>
      <c r="AA59" s="117"/>
      <c r="AB59" s="117"/>
      <c r="AC59" s="49"/>
      <c r="AD59" s="49"/>
      <c r="AE59" s="113">
        <f>AE11</f>
        <v>15</v>
      </c>
      <c r="AF59" s="49"/>
    </row>
    <row r="60" spans="3:33" x14ac:dyDescent="0.2">
      <c r="C60" s="2" t="s">
        <v>15</v>
      </c>
      <c r="D60" s="10"/>
      <c r="E60" s="3" t="s">
        <v>3</v>
      </c>
      <c r="F60" s="17"/>
      <c r="G60" s="84">
        <f>SUM(I60:AG60)</f>
        <v>350299507.52999997</v>
      </c>
      <c r="H60" s="17"/>
      <c r="I60" s="113">
        <f>I12</f>
        <v>30013523.280000005</v>
      </c>
      <c r="J60" s="8"/>
      <c r="K60" s="113">
        <f>K12</f>
        <v>24974685.020000003</v>
      </c>
      <c r="L60" s="8"/>
      <c r="M60" s="113">
        <f>M12</f>
        <v>8753909.0500000007</v>
      </c>
      <c r="N60" s="49"/>
      <c r="O60" s="113">
        <f>O12</f>
        <v>22587102.66</v>
      </c>
      <c r="P60" s="49"/>
      <c r="Q60" s="113">
        <f>Q12</f>
        <v>38004205.259999998</v>
      </c>
      <c r="R60" s="49"/>
      <c r="S60" s="113">
        <f>S12</f>
        <v>33429741.43</v>
      </c>
      <c r="T60" s="49"/>
      <c r="U60" s="113">
        <f>U12</f>
        <v>109826806.36999999</v>
      </c>
      <c r="W60" s="113">
        <f>W12</f>
        <v>81576652.510000005</v>
      </c>
      <c r="AA60" s="117"/>
      <c r="AB60" s="117"/>
      <c r="AC60" s="49"/>
      <c r="AD60" s="49"/>
      <c r="AE60" s="113">
        <f>AE12</f>
        <v>1132881.9500000002</v>
      </c>
      <c r="AF60" s="49"/>
    </row>
    <row r="61" spans="3:33" x14ac:dyDescent="0.2">
      <c r="C61" s="50" t="s">
        <v>16</v>
      </c>
      <c r="D61" s="10"/>
      <c r="E61" s="3"/>
      <c r="F61" s="17"/>
      <c r="G61" s="17"/>
      <c r="H61" s="17"/>
      <c r="I61" s="1"/>
      <c r="J61" s="4"/>
      <c r="K61" s="1"/>
      <c r="L61" s="4"/>
      <c r="M61" s="1"/>
      <c r="N61" s="1"/>
      <c r="O61" s="1"/>
      <c r="P61" s="1"/>
      <c r="Q61" s="1"/>
      <c r="R61" s="1"/>
      <c r="S61" s="1"/>
      <c r="T61" s="1"/>
      <c r="U61" s="1"/>
      <c r="W61" s="18"/>
      <c r="AA61" s="117"/>
      <c r="AB61" s="117"/>
      <c r="AC61" s="18"/>
      <c r="AD61" s="18"/>
      <c r="AE61" s="18"/>
      <c r="AF61" s="18"/>
    </row>
    <row r="62" spans="3:33" x14ac:dyDescent="0.2">
      <c r="C62" s="17"/>
      <c r="D62" s="17"/>
      <c r="E62" s="17"/>
      <c r="F62" s="17"/>
      <c r="G62" s="17"/>
      <c r="H62" s="17"/>
      <c r="I62" s="58"/>
      <c r="J62" s="17"/>
      <c r="K62" s="17"/>
      <c r="L62" s="17"/>
      <c r="M62" s="94"/>
      <c r="N62" s="92"/>
      <c r="O62" s="17"/>
      <c r="P62" s="92"/>
      <c r="Q62" s="17"/>
      <c r="R62" s="92"/>
      <c r="S62" s="17"/>
      <c r="T62" s="92"/>
      <c r="U62" s="17"/>
      <c r="AA62" s="117"/>
      <c r="AB62" s="117"/>
      <c r="AC62" s="48"/>
      <c r="AD62" s="48"/>
    </row>
    <row r="63" spans="3:33" x14ac:dyDescent="0.2">
      <c r="C63" s="2" t="s">
        <v>2</v>
      </c>
      <c r="D63" s="10"/>
      <c r="E63" s="14" t="s">
        <v>6</v>
      </c>
      <c r="F63" s="97"/>
      <c r="G63" s="102">
        <f>SUM(I63:AG63)</f>
        <v>1</v>
      </c>
      <c r="H63" s="17"/>
      <c r="I63" s="102">
        <f>1-SUM(K63:BF63)</f>
        <v>6.9599999999999995E-2</v>
      </c>
      <c r="J63" s="103"/>
      <c r="K63" s="102">
        <f>ROUND(K58/$G$58,4)</f>
        <v>6.1800000000000001E-2</v>
      </c>
      <c r="L63" s="103"/>
      <c r="M63" s="102">
        <f>ROUND(M58/$G$58,4)</f>
        <v>2.3300000000000001E-2</v>
      </c>
      <c r="N63" s="104"/>
      <c r="O63" s="102">
        <f>ROUND(O58/$G$58,4)</f>
        <v>6.2899999999999998E-2</v>
      </c>
      <c r="P63" s="104"/>
      <c r="Q63" s="102">
        <f>ROUND(Q58/$G$58,4)</f>
        <v>0.112</v>
      </c>
      <c r="R63" s="104"/>
      <c r="S63" s="102">
        <f>ROUND(S58/$G$58,4)</f>
        <v>5.8500000000000003E-2</v>
      </c>
      <c r="T63" s="104"/>
      <c r="U63" s="102">
        <f>ROUND(U58/$G$58,4)</f>
        <v>0.4012</v>
      </c>
      <c r="W63" s="102">
        <f>ROUND(W58/$G$58,4)</f>
        <v>0.20780000000000001</v>
      </c>
      <c r="AA63" s="117"/>
      <c r="AB63" s="117"/>
      <c r="AC63" s="104"/>
      <c r="AD63" s="104"/>
      <c r="AE63" s="102">
        <f>ROUND(AE58/$G$58,4)</f>
        <v>2.8999999999999998E-3</v>
      </c>
      <c r="AF63" s="104"/>
    </row>
    <row r="64" spans="3:33" x14ac:dyDescent="0.2">
      <c r="C64" s="3" t="s">
        <v>4</v>
      </c>
      <c r="D64" s="10"/>
      <c r="E64" s="14" t="s">
        <v>6</v>
      </c>
      <c r="F64" s="97"/>
      <c r="G64" s="102">
        <f>SUM(I64:AG64)</f>
        <v>1</v>
      </c>
      <c r="H64" s="17"/>
      <c r="I64" s="102">
        <f>1-SUM(K64:BF64)</f>
        <v>9.7999999999999976E-2</v>
      </c>
      <c r="J64" s="103"/>
      <c r="K64" s="102">
        <f>ROUND(K59/$G$59,4)</f>
        <v>7.9399999999999998E-2</v>
      </c>
      <c r="L64" s="103"/>
      <c r="M64" s="102">
        <f>ROUND(M59/$G$59,4)</f>
        <v>2.4400000000000002E-2</v>
      </c>
      <c r="N64" s="104"/>
      <c r="O64" s="102">
        <f>ROUND(O59/$G$59,4)</f>
        <v>8.8900000000000007E-2</v>
      </c>
      <c r="P64" s="104"/>
      <c r="Q64" s="102">
        <f>ROUND(Q59/$G$59,4)</f>
        <v>0.1087</v>
      </c>
      <c r="R64" s="104"/>
      <c r="S64" s="102">
        <f>ROUND(S59/$G$59,4)</f>
        <v>8.1699999999999995E-2</v>
      </c>
      <c r="T64" s="104"/>
      <c r="U64" s="102">
        <f>ROUND(U59/$G$59,4)</f>
        <v>0.51880000000000004</v>
      </c>
      <c r="W64" s="102">
        <f>ROUND(W59/$G$59,4)</f>
        <v>1E-4</v>
      </c>
      <c r="AA64" s="117"/>
      <c r="AB64" s="117"/>
      <c r="AC64" s="104"/>
      <c r="AD64" s="104"/>
      <c r="AE64" s="102">
        <f>ROUND(AE59/$G$59,4)</f>
        <v>0</v>
      </c>
      <c r="AF64" s="104"/>
    </row>
    <row r="65" spans="3:32" x14ac:dyDescent="0.2">
      <c r="C65" s="2" t="s">
        <v>7</v>
      </c>
      <c r="D65" s="10"/>
      <c r="E65" s="14" t="s">
        <v>6</v>
      </c>
      <c r="F65" s="97"/>
      <c r="G65" s="102">
        <f>SUM(I65:AG65)</f>
        <v>1</v>
      </c>
      <c r="H65" s="17"/>
      <c r="I65" s="102">
        <f>1-SUM(K65:BF65)</f>
        <v>8.5700000000000109E-2</v>
      </c>
      <c r="J65" s="103"/>
      <c r="K65" s="102">
        <f>ROUND(K60/$G$60,4)</f>
        <v>7.1300000000000002E-2</v>
      </c>
      <c r="L65" s="103"/>
      <c r="M65" s="102">
        <f>ROUND(M60/$G$60,4)</f>
        <v>2.5000000000000001E-2</v>
      </c>
      <c r="N65" s="104"/>
      <c r="O65" s="102">
        <f>ROUND(O60/$G$60,4)</f>
        <v>6.4500000000000002E-2</v>
      </c>
      <c r="P65" s="104"/>
      <c r="Q65" s="102">
        <f>ROUND(Q60/$G$60,4)</f>
        <v>0.1085</v>
      </c>
      <c r="R65" s="104"/>
      <c r="S65" s="102">
        <f>ROUND(S60/$G$60,4)</f>
        <v>9.5399999999999999E-2</v>
      </c>
      <c r="T65" s="104"/>
      <c r="U65" s="102">
        <f>ROUND(U60/$G$60,4)</f>
        <v>0.3135</v>
      </c>
      <c r="W65" s="102">
        <f>ROUND(W60/$G$60,4)</f>
        <v>0.2329</v>
      </c>
      <c r="AA65" s="117"/>
      <c r="AB65" s="117"/>
      <c r="AC65" s="104"/>
      <c r="AD65" s="104"/>
      <c r="AE65" s="102">
        <f>ROUND(AE60/$G$60,4)</f>
        <v>3.2000000000000002E-3</v>
      </c>
      <c r="AF65" s="104"/>
    </row>
    <row r="66" spans="3:32" x14ac:dyDescent="0.2">
      <c r="C66" s="54"/>
      <c r="D66" s="10"/>
      <c r="E66" s="14"/>
      <c r="F66" s="17"/>
      <c r="G66" s="93"/>
      <c r="H66" s="17"/>
      <c r="I66" s="103"/>
      <c r="J66" s="103"/>
      <c r="K66" s="103"/>
      <c r="L66" s="103"/>
      <c r="M66" s="103"/>
      <c r="N66" s="104"/>
      <c r="O66" s="103"/>
      <c r="P66" s="104"/>
      <c r="Q66" s="103"/>
      <c r="R66" s="104"/>
      <c r="S66" s="103"/>
      <c r="T66" s="104"/>
      <c r="U66" s="103"/>
      <c r="W66" s="90"/>
      <c r="AA66" s="117"/>
      <c r="AB66" s="117"/>
      <c r="AC66" s="90"/>
      <c r="AD66" s="90"/>
      <c r="AE66" s="90"/>
      <c r="AF66" s="90"/>
    </row>
    <row r="67" spans="3:32" x14ac:dyDescent="0.2">
      <c r="C67" s="123" t="str">
        <f>C19</f>
        <v>Total Composite Factor for FY 2015</v>
      </c>
      <c r="D67" s="10"/>
      <c r="E67" s="14" t="s">
        <v>6</v>
      </c>
      <c r="F67" s="17"/>
      <c r="G67" s="102">
        <f>SUM(I67:AG67)</f>
        <v>1</v>
      </c>
      <c r="H67" s="17"/>
      <c r="I67" s="102">
        <f>1-SUM(K67:BF67)</f>
        <v>8.4600000000000009E-2</v>
      </c>
      <c r="J67" s="103"/>
      <c r="K67" s="102">
        <f>ROUND(AVERAGE(K63:K65),4)</f>
        <v>7.0800000000000002E-2</v>
      </c>
      <c r="L67" s="103"/>
      <c r="M67" s="102">
        <f>ROUND(AVERAGE(M63:M65),4)</f>
        <v>2.4199999999999999E-2</v>
      </c>
      <c r="N67" s="104"/>
      <c r="O67" s="102">
        <f>ROUND(AVERAGE(O63:O65),4)</f>
        <v>7.2099999999999997E-2</v>
      </c>
      <c r="P67" s="104"/>
      <c r="Q67" s="102">
        <f>ROUND(AVERAGE(Q63:Q65),4)</f>
        <v>0.10970000000000001</v>
      </c>
      <c r="R67" s="104"/>
      <c r="S67" s="102">
        <f>ROUND(AVERAGE(S63:S65),4)</f>
        <v>7.85E-2</v>
      </c>
      <c r="T67" s="104"/>
      <c r="U67" s="102">
        <f>ROUND(AVERAGE(U63:U65),4)</f>
        <v>0.41120000000000001</v>
      </c>
      <c r="V67" s="111"/>
      <c r="W67" s="102">
        <f>ROUND(AVERAGE(W63:W65),4)</f>
        <v>0.1469</v>
      </c>
      <c r="AA67" s="117"/>
      <c r="AB67" s="117"/>
      <c r="AC67" s="104"/>
      <c r="AD67" s="104"/>
      <c r="AE67" s="102">
        <f>ROUND(AVERAGE(AE63:AE65),4)</f>
        <v>2E-3</v>
      </c>
      <c r="AF67" s="104"/>
    </row>
    <row r="68" spans="3:32" x14ac:dyDescent="0.2">
      <c r="C68" s="123"/>
      <c r="D68" s="10"/>
      <c r="E68" s="14"/>
      <c r="F68" s="17"/>
      <c r="G68" s="104"/>
      <c r="H68" s="17"/>
      <c r="I68" s="104"/>
      <c r="J68" s="103"/>
      <c r="K68" s="104"/>
      <c r="L68" s="103"/>
      <c r="M68" s="104"/>
      <c r="N68" s="104"/>
      <c r="O68" s="104"/>
      <c r="P68" s="104"/>
      <c r="Q68" s="104"/>
      <c r="R68" s="104"/>
      <c r="S68" s="104"/>
      <c r="T68" s="104"/>
      <c r="U68" s="104"/>
      <c r="V68" s="111"/>
      <c r="W68" s="104"/>
      <c r="AA68" s="117"/>
      <c r="AB68" s="117"/>
      <c r="AC68" s="104"/>
      <c r="AD68" s="104"/>
    </row>
    <row r="70" spans="3:32" ht="15.75" x14ac:dyDescent="0.25">
      <c r="C70" s="121" t="s">
        <v>99</v>
      </c>
      <c r="D70" s="10"/>
      <c r="E70" s="14"/>
      <c r="F70" s="14"/>
      <c r="G70" s="15"/>
      <c r="H70" s="15"/>
      <c r="I70" s="299" t="s">
        <v>218</v>
      </c>
      <c r="J70" s="241"/>
      <c r="K70" s="297" t="s">
        <v>219</v>
      </c>
      <c r="L70" s="241"/>
      <c r="M70" s="241"/>
      <c r="N70" s="241"/>
      <c r="O70" s="241"/>
      <c r="P70" s="241"/>
      <c r="Q70" s="241"/>
      <c r="R70" s="241"/>
      <c r="S70" s="298" t="s">
        <v>220</v>
      </c>
      <c r="T70" s="15"/>
      <c r="U70" s="14"/>
    </row>
    <row r="71" spans="3:32" x14ac:dyDescent="0.2">
      <c r="C71" s="17"/>
      <c r="D71" s="17"/>
      <c r="E71" s="17"/>
      <c r="F71" s="17"/>
      <c r="G71" s="17"/>
      <c r="H71" s="17"/>
      <c r="I71" s="58"/>
      <c r="J71" s="17"/>
      <c r="K71" s="17"/>
      <c r="L71" s="17"/>
      <c r="M71" s="94"/>
      <c r="N71" s="92"/>
      <c r="O71" s="17"/>
      <c r="P71" s="92"/>
      <c r="Q71" s="17"/>
      <c r="R71" s="92"/>
      <c r="S71" s="17"/>
      <c r="T71" s="92"/>
      <c r="U71" s="17"/>
    </row>
    <row r="72" spans="3:32" x14ac:dyDescent="0.2">
      <c r="C72" s="2" t="s">
        <v>2</v>
      </c>
      <c r="D72" s="10"/>
      <c r="E72" s="3" t="s">
        <v>3</v>
      </c>
      <c r="F72" s="17"/>
      <c r="G72" s="84">
        <f>SUM(I72:AG72)</f>
        <v>1606198342.01</v>
      </c>
      <c r="H72" s="17"/>
      <c r="I72" s="113">
        <f>I10</f>
        <v>588658574.24000001</v>
      </c>
      <c r="J72" s="8"/>
      <c r="K72" s="113">
        <f>K10</f>
        <v>522666021.57000005</v>
      </c>
      <c r="L72" s="8"/>
      <c r="M72" s="113"/>
      <c r="N72" s="8"/>
      <c r="O72" s="113"/>
      <c r="P72" s="8"/>
      <c r="Q72" s="113"/>
      <c r="R72" s="8"/>
      <c r="S72" s="113">
        <f>S10</f>
        <v>494873746.19999999</v>
      </c>
      <c r="T72" s="8"/>
      <c r="U72" s="113"/>
      <c r="V72" s="8"/>
      <c r="W72" s="113"/>
    </row>
    <row r="73" spans="3:32" x14ac:dyDescent="0.2">
      <c r="C73" s="3" t="s">
        <v>4</v>
      </c>
      <c r="D73" s="10"/>
      <c r="E73" s="3" t="s">
        <v>5</v>
      </c>
      <c r="F73" s="17"/>
      <c r="G73" s="84">
        <f>SUM(I73:AG73)</f>
        <v>792809.83333333337</v>
      </c>
      <c r="H73" s="17"/>
      <c r="I73" s="113">
        <f>I11</f>
        <v>299552.75</v>
      </c>
      <c r="J73" s="8"/>
      <c r="K73" s="113">
        <f>K11</f>
        <v>243083.75</v>
      </c>
      <c r="L73" s="8"/>
      <c r="M73" s="113"/>
      <c r="N73" s="8"/>
      <c r="O73" s="113"/>
      <c r="P73" s="8"/>
      <c r="Q73" s="113"/>
      <c r="R73" s="8"/>
      <c r="S73" s="113">
        <f>S11</f>
        <v>250173.33333333334</v>
      </c>
      <c r="T73" s="8"/>
      <c r="U73" s="113"/>
      <c r="V73" s="8"/>
      <c r="W73" s="113"/>
    </row>
    <row r="74" spans="3:32" x14ac:dyDescent="0.2">
      <c r="C74" s="2" t="s">
        <v>15</v>
      </c>
      <c r="D74" s="10"/>
      <c r="E74" s="3" t="s">
        <v>3</v>
      </c>
      <c r="F74" s="17"/>
      <c r="G74" s="84">
        <f>SUM(I74:AG74)</f>
        <v>88417949.730000019</v>
      </c>
      <c r="H74" s="17"/>
      <c r="I74" s="113">
        <f>I12</f>
        <v>30013523.280000005</v>
      </c>
      <c r="J74" s="8"/>
      <c r="K74" s="113">
        <f>K12</f>
        <v>24974685.020000003</v>
      </c>
      <c r="L74" s="8"/>
      <c r="M74" s="113"/>
      <c r="N74" s="8"/>
      <c r="O74" s="113"/>
      <c r="P74" s="8"/>
      <c r="Q74" s="113"/>
      <c r="R74" s="8"/>
      <c r="S74" s="113">
        <f>S12</f>
        <v>33429741.43</v>
      </c>
      <c r="T74" s="8"/>
      <c r="U74" s="113"/>
      <c r="V74" s="8"/>
      <c r="W74" s="113"/>
    </row>
    <row r="75" spans="3:32" x14ac:dyDescent="0.2">
      <c r="C75" s="50" t="s">
        <v>16</v>
      </c>
      <c r="D75" s="10"/>
      <c r="E75" s="3"/>
      <c r="F75" s="17"/>
      <c r="G75" s="17"/>
      <c r="H75" s="17"/>
      <c r="I75" s="1"/>
      <c r="J75" s="4"/>
      <c r="K75" s="1"/>
      <c r="L75" s="4"/>
      <c r="M75" s="1"/>
      <c r="N75" s="1"/>
      <c r="O75" s="1"/>
      <c r="P75" s="1"/>
      <c r="Q75" s="1"/>
      <c r="R75" s="1"/>
      <c r="S75" s="1"/>
      <c r="T75" s="1"/>
      <c r="U75" s="1"/>
      <c r="W75" s="18"/>
    </row>
    <row r="76" spans="3:32" x14ac:dyDescent="0.2">
      <c r="C76" s="17"/>
      <c r="D76" s="17"/>
      <c r="E76" s="17"/>
      <c r="F76" s="17"/>
      <c r="G76" s="17"/>
      <c r="H76" s="17"/>
      <c r="I76" s="58"/>
      <c r="J76" s="17"/>
      <c r="K76" s="17"/>
      <c r="L76" s="17"/>
      <c r="M76" s="94"/>
      <c r="N76" s="92"/>
      <c r="O76" s="17"/>
      <c r="P76" s="92"/>
      <c r="Q76" s="17"/>
      <c r="R76" s="92"/>
      <c r="S76" s="17"/>
      <c r="T76" s="92"/>
      <c r="U76" s="17"/>
    </row>
    <row r="77" spans="3:32" x14ac:dyDescent="0.2">
      <c r="C77" s="2" t="s">
        <v>2</v>
      </c>
      <c r="D77" s="10"/>
      <c r="E77" s="14" t="s">
        <v>6</v>
      </c>
      <c r="F77" s="97"/>
      <c r="G77" s="102">
        <f>SUM(I77:AG77)</f>
        <v>1</v>
      </c>
      <c r="H77" s="17"/>
      <c r="I77" s="102">
        <f>1-SUM(K77:BF77)</f>
        <v>0.36650000000000005</v>
      </c>
      <c r="J77" s="103"/>
      <c r="K77" s="102">
        <f>ROUND(K72/$G$72,4)</f>
        <v>0.32540000000000002</v>
      </c>
      <c r="L77" s="103"/>
      <c r="M77" s="102">
        <f>ROUND(M72/$G$58,4)</f>
        <v>0</v>
      </c>
      <c r="N77" s="104"/>
      <c r="O77" s="102">
        <f>ROUND(O72/$G$58,4)</f>
        <v>0</v>
      </c>
      <c r="P77" s="104"/>
      <c r="Q77" s="102">
        <f>ROUND(Q72/$G$58,4)</f>
        <v>0</v>
      </c>
      <c r="R77" s="104"/>
      <c r="S77" s="102">
        <f>ROUND(S72/$G$72,4)</f>
        <v>0.30809999999999998</v>
      </c>
      <c r="T77" s="104"/>
      <c r="U77" s="102">
        <f>ROUND(U72/$G$58,4)</f>
        <v>0</v>
      </c>
      <c r="W77" s="102">
        <f>ROUND(W72/$G$58,4)</f>
        <v>0</v>
      </c>
    </row>
    <row r="78" spans="3:32" x14ac:dyDescent="0.2">
      <c r="C78" s="3" t="s">
        <v>4</v>
      </c>
      <c r="D78" s="10"/>
      <c r="E78" s="14" t="s">
        <v>6</v>
      </c>
      <c r="F78" s="97"/>
      <c r="G78" s="102">
        <f>SUM(I78:AG78)</f>
        <v>1</v>
      </c>
      <c r="H78" s="17"/>
      <c r="I78" s="102">
        <f>1-SUM(K78:BF78)</f>
        <v>0.37780000000000002</v>
      </c>
      <c r="J78" s="103"/>
      <c r="K78" s="102">
        <f>ROUND(K73/$G$73,4)</f>
        <v>0.30659999999999998</v>
      </c>
      <c r="L78" s="103"/>
      <c r="M78" s="102">
        <f>ROUND(M73/$G$59,4)</f>
        <v>0</v>
      </c>
      <c r="N78" s="104"/>
      <c r="O78" s="102">
        <f>ROUND(O73/$G$59,4)</f>
        <v>0</v>
      </c>
      <c r="P78" s="104"/>
      <c r="Q78" s="102">
        <f>ROUND(Q73/$G$59,4)</f>
        <v>0</v>
      </c>
      <c r="R78" s="104"/>
      <c r="S78" s="102">
        <f>ROUND(S73/$G$73,4)</f>
        <v>0.31559999999999999</v>
      </c>
      <c r="T78" s="104"/>
      <c r="U78" s="102">
        <f>ROUND(U73/$G$59,4)</f>
        <v>0</v>
      </c>
      <c r="W78" s="102">
        <f>ROUND(W73/$G$59,4)</f>
        <v>0</v>
      </c>
    </row>
    <row r="79" spans="3:32" x14ac:dyDescent="0.2">
      <c r="C79" s="2" t="s">
        <v>7</v>
      </c>
      <c r="D79" s="10"/>
      <c r="E79" s="14" t="s">
        <v>6</v>
      </c>
      <c r="F79" s="97"/>
      <c r="G79" s="102">
        <f>SUM(I79:AG79)</f>
        <v>1</v>
      </c>
      <c r="H79" s="17"/>
      <c r="I79" s="102">
        <f>1-SUM(K79:BF79)</f>
        <v>0.33940000000000003</v>
      </c>
      <c r="J79" s="103"/>
      <c r="K79" s="102">
        <f>ROUND(K74/$G$74,4)</f>
        <v>0.28249999999999997</v>
      </c>
      <c r="L79" s="103"/>
      <c r="M79" s="102">
        <f>ROUND(M74/$G$60,4)</f>
        <v>0</v>
      </c>
      <c r="N79" s="104"/>
      <c r="O79" s="102">
        <f>ROUND(O74/$G$60,4)</f>
        <v>0</v>
      </c>
      <c r="P79" s="104"/>
      <c r="Q79" s="102">
        <f>ROUND(Q74/$G$60,4)</f>
        <v>0</v>
      </c>
      <c r="R79" s="104"/>
      <c r="S79" s="102">
        <f>ROUND(S74/$G$74,4)</f>
        <v>0.37809999999999999</v>
      </c>
      <c r="T79" s="104"/>
      <c r="U79" s="102">
        <f>ROUND(U74/$G$60,4)</f>
        <v>0</v>
      </c>
      <c r="W79" s="102">
        <f>ROUND(W74/$G$60,4)</f>
        <v>0</v>
      </c>
    </row>
    <row r="80" spans="3:32" x14ac:dyDescent="0.2">
      <c r="C80" s="54"/>
      <c r="D80" s="10"/>
      <c r="E80" s="14"/>
      <c r="F80" s="17"/>
      <c r="G80" s="93"/>
      <c r="H80" s="17"/>
      <c r="I80" s="103"/>
      <c r="J80" s="103"/>
      <c r="K80" s="103"/>
      <c r="L80" s="103"/>
      <c r="M80" s="103"/>
      <c r="N80" s="104"/>
      <c r="O80" s="103"/>
      <c r="P80" s="104"/>
      <c r="Q80" s="103"/>
      <c r="R80" s="104"/>
      <c r="S80" s="103"/>
      <c r="T80" s="104"/>
      <c r="U80" s="103"/>
      <c r="W80" s="90"/>
    </row>
    <row r="81" spans="3:23" x14ac:dyDescent="0.2">
      <c r="C81" s="123" t="str">
        <f>C19</f>
        <v>Total Composite Factor for FY 2015</v>
      </c>
      <c r="D81" s="10"/>
      <c r="E81" s="14" t="s">
        <v>6</v>
      </c>
      <c r="F81" s="17"/>
      <c r="G81" s="102">
        <f>SUM(I81:AG81)</f>
        <v>0.99999999999999989</v>
      </c>
      <c r="H81" s="17"/>
      <c r="I81" s="102">
        <f>1-SUM(K81:BF81)</f>
        <v>0.36129999999999995</v>
      </c>
      <c r="J81" s="103"/>
      <c r="K81" s="102">
        <f>ROUND(AVERAGE(K77:K79),4)</f>
        <v>0.30480000000000002</v>
      </c>
      <c r="L81" s="103"/>
      <c r="M81" s="102">
        <f>ROUND(AVERAGE(M77:M79),4)</f>
        <v>0</v>
      </c>
      <c r="N81" s="104"/>
      <c r="O81" s="102">
        <f>ROUND(AVERAGE(O77:O79),4)</f>
        <v>0</v>
      </c>
      <c r="P81" s="104"/>
      <c r="Q81" s="102">
        <f>ROUND(AVERAGE(Q77:Q79),4)</f>
        <v>0</v>
      </c>
      <c r="R81" s="104"/>
      <c r="S81" s="102">
        <f>ROUND(AVERAGE(S77:S79),4)</f>
        <v>0.33389999999999997</v>
      </c>
      <c r="T81" s="104"/>
      <c r="U81" s="102">
        <f>ROUND(AVERAGE(U77:U79),4)</f>
        <v>0</v>
      </c>
      <c r="V81" s="111"/>
      <c r="W81" s="102">
        <f>ROUND(AVERAGE(W77:W79),4)</f>
        <v>0</v>
      </c>
    </row>
    <row r="84" spans="3:23" ht="15.75" x14ac:dyDescent="0.25">
      <c r="C84" s="99" t="s">
        <v>100</v>
      </c>
      <c r="D84" s="10"/>
      <c r="E84" s="14"/>
      <c r="F84" s="14"/>
      <c r="G84" s="15"/>
      <c r="H84" s="15"/>
      <c r="I84" s="56"/>
      <c r="J84" s="15"/>
      <c r="K84" s="15"/>
      <c r="L84" s="15"/>
      <c r="M84" s="297" t="s">
        <v>221</v>
      </c>
      <c r="N84" s="241"/>
      <c r="O84" s="297" t="s">
        <v>222</v>
      </c>
      <c r="P84" s="15"/>
      <c r="Q84" s="15"/>
      <c r="R84" s="15"/>
      <c r="S84" s="14"/>
      <c r="T84" s="15"/>
      <c r="U84" s="14"/>
    </row>
    <row r="85" spans="3:23" x14ac:dyDescent="0.2">
      <c r="C85" s="17"/>
      <c r="D85" s="17"/>
      <c r="E85" s="17"/>
      <c r="F85" s="17"/>
      <c r="G85" s="17"/>
      <c r="H85" s="17"/>
      <c r="I85" s="58"/>
      <c r="J85" s="17"/>
      <c r="K85" s="17"/>
      <c r="L85" s="17"/>
      <c r="M85" s="94"/>
      <c r="N85" s="92"/>
      <c r="O85" s="17"/>
      <c r="P85" s="92"/>
      <c r="Q85" s="17"/>
      <c r="R85" s="92"/>
      <c r="S85" s="17"/>
      <c r="T85" s="92"/>
      <c r="U85" s="17"/>
    </row>
    <row r="86" spans="3:23" x14ac:dyDescent="0.2">
      <c r="C86" s="2" t="s">
        <v>2</v>
      </c>
      <c r="D86" s="10"/>
      <c r="E86" s="3" t="s">
        <v>3</v>
      </c>
      <c r="F86" s="17"/>
      <c r="G86" s="84">
        <f>SUM(I86:AG86)</f>
        <v>728851252.17000008</v>
      </c>
      <c r="H86" s="17"/>
      <c r="I86" s="113"/>
      <c r="J86" s="8"/>
      <c r="K86" s="113"/>
      <c r="L86" s="8"/>
      <c r="M86" s="113">
        <f>M10</f>
        <v>196802776</v>
      </c>
      <c r="N86" s="8"/>
      <c r="O86" s="113">
        <f>O10</f>
        <v>532048476.17000002</v>
      </c>
      <c r="P86" s="8"/>
      <c r="Q86" s="113"/>
      <c r="R86" s="8"/>
      <c r="S86" s="113"/>
      <c r="T86" s="8"/>
      <c r="U86" s="113"/>
      <c r="V86" s="8"/>
      <c r="W86" s="113"/>
    </row>
    <row r="87" spans="3:23" x14ac:dyDescent="0.2">
      <c r="C87" s="3" t="s">
        <v>4</v>
      </c>
      <c r="D87" s="10"/>
      <c r="E87" s="3" t="s">
        <v>5</v>
      </c>
      <c r="F87" s="17"/>
      <c r="G87" s="84">
        <f>SUM(I87:AG87)</f>
        <v>346953.16666666669</v>
      </c>
      <c r="H87" s="17"/>
      <c r="I87" s="113"/>
      <c r="J87" s="8"/>
      <c r="K87" s="113"/>
      <c r="L87" s="8"/>
      <c r="M87" s="113">
        <f>M11</f>
        <v>74692.75</v>
      </c>
      <c r="N87" s="8"/>
      <c r="O87" s="113">
        <f>O11</f>
        <v>272260.41666666669</v>
      </c>
      <c r="P87" s="8"/>
      <c r="Q87" s="113"/>
      <c r="R87" s="8"/>
      <c r="S87" s="113"/>
      <c r="T87" s="8"/>
      <c r="U87" s="113"/>
      <c r="V87" s="8"/>
      <c r="W87" s="113"/>
    </row>
    <row r="88" spans="3:23" x14ac:dyDescent="0.2">
      <c r="C88" s="2" t="s">
        <v>15</v>
      </c>
      <c r="D88" s="10"/>
      <c r="E88" s="3" t="s">
        <v>3</v>
      </c>
      <c r="F88" s="17"/>
      <c r="G88" s="84">
        <f>SUM(I88:AG88)</f>
        <v>31341011.710000001</v>
      </c>
      <c r="H88" s="17"/>
      <c r="I88" s="113"/>
      <c r="J88" s="8"/>
      <c r="K88" s="113"/>
      <c r="L88" s="8"/>
      <c r="M88" s="113">
        <f>M12</f>
        <v>8753909.0500000007</v>
      </c>
      <c r="N88" s="8"/>
      <c r="O88" s="113">
        <f>O12</f>
        <v>22587102.66</v>
      </c>
      <c r="P88" s="8"/>
      <c r="Q88" s="113"/>
      <c r="R88" s="8"/>
      <c r="S88" s="113"/>
      <c r="T88" s="8"/>
      <c r="U88" s="113"/>
      <c r="V88" s="8"/>
      <c r="W88" s="113"/>
    </row>
    <row r="89" spans="3:23" x14ac:dyDescent="0.2">
      <c r="C89" s="50" t="s">
        <v>16</v>
      </c>
      <c r="D89" s="10"/>
      <c r="E89" s="3"/>
      <c r="F89" s="17"/>
      <c r="G89" s="17"/>
      <c r="H89" s="17"/>
      <c r="I89" s="1"/>
      <c r="J89" s="4"/>
      <c r="K89" s="1"/>
      <c r="L89" s="4"/>
      <c r="M89" s="1"/>
      <c r="N89" s="1"/>
      <c r="O89" s="1"/>
      <c r="P89" s="1"/>
      <c r="Q89" s="1"/>
      <c r="R89" s="1"/>
      <c r="S89" s="1"/>
      <c r="T89" s="1"/>
      <c r="U89" s="1"/>
      <c r="W89" s="18"/>
    </row>
    <row r="90" spans="3:23" x14ac:dyDescent="0.2">
      <c r="C90" s="17"/>
      <c r="D90" s="17"/>
      <c r="E90" s="17"/>
      <c r="F90" s="17"/>
      <c r="G90" s="17"/>
      <c r="H90" s="17"/>
      <c r="I90" s="58"/>
      <c r="J90" s="17"/>
      <c r="K90" s="17"/>
      <c r="L90" s="17"/>
      <c r="M90" s="94"/>
      <c r="N90" s="92"/>
      <c r="O90" s="17"/>
      <c r="P90" s="92"/>
      <c r="Q90" s="17"/>
      <c r="R90" s="92"/>
      <c r="S90" s="17"/>
      <c r="T90" s="92"/>
      <c r="U90" s="17"/>
    </row>
    <row r="91" spans="3:23" x14ac:dyDescent="0.2">
      <c r="C91" s="2" t="s">
        <v>2</v>
      </c>
      <c r="D91" s="10"/>
      <c r="E91" s="14" t="s">
        <v>6</v>
      </c>
      <c r="F91" s="97"/>
      <c r="G91" s="102">
        <f>SUM(I91:AG91)</f>
        <v>1</v>
      </c>
      <c r="H91" s="17"/>
      <c r="I91" s="102">
        <f>ROUND(I86/$G$58,4)</f>
        <v>0</v>
      </c>
      <c r="J91" s="103"/>
      <c r="K91" s="102">
        <f>ROUND(K86/$G$72,4)</f>
        <v>0</v>
      </c>
      <c r="L91" s="103"/>
      <c r="M91" s="102">
        <f>ROUND(M86/$G$86,4)</f>
        <v>0.27</v>
      </c>
      <c r="N91" s="104"/>
      <c r="O91" s="102">
        <f>ROUND(O86/$G$86,4)</f>
        <v>0.73</v>
      </c>
      <c r="P91" s="104"/>
      <c r="Q91" s="102">
        <f>ROUND(Q86/$G$58,4)</f>
        <v>0</v>
      </c>
      <c r="R91" s="104"/>
      <c r="S91" s="102">
        <f>ROUND(S86/$G$72,4)</f>
        <v>0</v>
      </c>
      <c r="T91" s="104"/>
      <c r="U91" s="102">
        <f>ROUND(U86/$G$58,4)</f>
        <v>0</v>
      </c>
      <c r="W91" s="102">
        <f>ROUND(W86/$G$58,4)</f>
        <v>0</v>
      </c>
    </row>
    <row r="92" spans="3:23" x14ac:dyDescent="0.2">
      <c r="C92" s="3" t="s">
        <v>4</v>
      </c>
      <c r="D92" s="10"/>
      <c r="E92" s="14" t="s">
        <v>6</v>
      </c>
      <c r="F92" s="97"/>
      <c r="G92" s="102">
        <f>SUM(I92:AG92)</f>
        <v>1</v>
      </c>
      <c r="H92" s="17"/>
      <c r="I92" s="102">
        <f>ROUND(I87/$G$59,4)</f>
        <v>0</v>
      </c>
      <c r="J92" s="103"/>
      <c r="K92" s="102">
        <f>ROUND(K87/$G$73,4)</f>
        <v>0</v>
      </c>
      <c r="L92" s="103"/>
      <c r="M92" s="102">
        <f>ROUND(M87/$G$87,4)</f>
        <v>0.21529999999999999</v>
      </c>
      <c r="N92" s="104"/>
      <c r="O92" s="102">
        <f>ROUND(O87/$G$87,4)</f>
        <v>0.78469999999999995</v>
      </c>
      <c r="P92" s="104"/>
      <c r="Q92" s="102">
        <f>ROUND(Q87/$G$59,4)</f>
        <v>0</v>
      </c>
      <c r="R92" s="104"/>
      <c r="S92" s="102">
        <f>ROUND(S87/$G$73,4)</f>
        <v>0</v>
      </c>
      <c r="T92" s="104"/>
      <c r="U92" s="102">
        <f>ROUND(U87/$G$59,4)</f>
        <v>0</v>
      </c>
      <c r="W92" s="102">
        <f>ROUND(W87/$G$59,4)</f>
        <v>0</v>
      </c>
    </row>
    <row r="93" spans="3:23" x14ac:dyDescent="0.2">
      <c r="C93" s="2" t="s">
        <v>7</v>
      </c>
      <c r="D93" s="10"/>
      <c r="E93" s="14" t="s">
        <v>6</v>
      </c>
      <c r="F93" s="97"/>
      <c r="G93" s="102">
        <f>SUM(I93:AG93)</f>
        <v>1</v>
      </c>
      <c r="H93" s="17"/>
      <c r="I93" s="102">
        <f>ROUND(I88/$G$60,4)</f>
        <v>0</v>
      </c>
      <c r="J93" s="103"/>
      <c r="K93" s="102">
        <f>ROUND(K88/$G$74,4)</f>
        <v>0</v>
      </c>
      <c r="L93" s="103"/>
      <c r="M93" s="102">
        <f>ROUND(M88/$G$88,4)</f>
        <v>0.27929999999999999</v>
      </c>
      <c r="N93" s="104"/>
      <c r="O93" s="102">
        <f>ROUND(O88/$G$88,4)</f>
        <v>0.72070000000000001</v>
      </c>
      <c r="P93" s="104"/>
      <c r="Q93" s="102">
        <f>ROUND(Q88/$G$60,4)</f>
        <v>0</v>
      </c>
      <c r="R93" s="104"/>
      <c r="S93" s="102">
        <f>ROUND(S88/$G$74,4)</f>
        <v>0</v>
      </c>
      <c r="T93" s="104"/>
      <c r="U93" s="102">
        <f>ROUND(U88/$G$60,4)</f>
        <v>0</v>
      </c>
      <c r="W93" s="102">
        <f>ROUND(W88/$G$60,4)</f>
        <v>0</v>
      </c>
    </row>
    <row r="94" spans="3:23" x14ac:dyDescent="0.2">
      <c r="C94" s="54"/>
      <c r="D94" s="10"/>
      <c r="E94" s="14"/>
      <c r="F94" s="17"/>
      <c r="G94" s="93"/>
      <c r="H94" s="17"/>
      <c r="I94" s="103"/>
      <c r="J94" s="103"/>
      <c r="K94" s="103"/>
      <c r="L94" s="103"/>
      <c r="M94" s="103"/>
      <c r="N94" s="104"/>
      <c r="O94" s="103"/>
      <c r="P94" s="104"/>
      <c r="Q94" s="103"/>
      <c r="R94" s="104"/>
      <c r="S94" s="103"/>
      <c r="T94" s="104"/>
      <c r="U94" s="103"/>
      <c r="W94" s="90"/>
    </row>
    <row r="95" spans="3:23" x14ac:dyDescent="0.2">
      <c r="C95" s="123" t="str">
        <f>C19</f>
        <v>Total Composite Factor for FY 2015</v>
      </c>
      <c r="D95" s="10"/>
      <c r="E95" s="14" t="s">
        <v>6</v>
      </c>
      <c r="F95" s="17"/>
      <c r="G95" s="102">
        <f>SUM(I95:AG95)</f>
        <v>1</v>
      </c>
      <c r="H95" s="17"/>
      <c r="I95" s="102">
        <f>ROUND(AVERAGE(I91:I93),4)</f>
        <v>0</v>
      </c>
      <c r="J95" s="103"/>
      <c r="K95" s="102">
        <f>ROUND(AVERAGE(K91:K93),4)</f>
        <v>0</v>
      </c>
      <c r="L95" s="103"/>
      <c r="M95" s="102">
        <f>ROUND(AVERAGE(M91:M93),4)</f>
        <v>0.25490000000000002</v>
      </c>
      <c r="N95" s="104"/>
      <c r="O95" s="102">
        <f>ROUND(AVERAGE(O91:O93),4)</f>
        <v>0.74509999999999998</v>
      </c>
      <c r="P95" s="104"/>
      <c r="Q95" s="102">
        <f>ROUND(AVERAGE(Q91:Q93),4)</f>
        <v>0</v>
      </c>
      <c r="R95" s="104"/>
      <c r="S95" s="102">
        <f>ROUND(AVERAGE(S91:S93),4)</f>
        <v>0</v>
      </c>
      <c r="T95" s="104"/>
      <c r="U95" s="102">
        <f>ROUND(AVERAGE(U91:U93),4)</f>
        <v>0</v>
      </c>
      <c r="V95" s="111"/>
      <c r="W95" s="102">
        <f>ROUND(AVERAGE(W91:W93),4)</f>
        <v>0</v>
      </c>
    </row>
    <row r="97" spans="1:38" ht="15.75" x14ac:dyDescent="0.25">
      <c r="G97" s="239"/>
      <c r="M97" s="239"/>
      <c r="N97" s="240"/>
      <c r="O97" s="239"/>
    </row>
    <row r="98" spans="1:38" ht="15.75" x14ac:dyDescent="0.25">
      <c r="G98" s="239"/>
      <c r="M98" s="239"/>
      <c r="N98" s="240"/>
      <c r="O98" s="239"/>
    </row>
    <row r="99" spans="1:38" s="14" customFormat="1" ht="15.75" x14ac:dyDescent="0.25">
      <c r="A99" s="19"/>
      <c r="C99" s="99" t="s">
        <v>102</v>
      </c>
      <c r="D99" s="10"/>
      <c r="G99" s="15"/>
      <c r="H99" s="15"/>
      <c r="I99" s="299" t="s">
        <v>223</v>
      </c>
      <c r="J99" s="241"/>
      <c r="K99" s="297" t="s">
        <v>224</v>
      </c>
      <c r="L99" s="241"/>
      <c r="M99" s="297" t="s">
        <v>225</v>
      </c>
      <c r="N99" s="297"/>
      <c r="O99" s="297" t="s">
        <v>225</v>
      </c>
      <c r="P99" s="241"/>
      <c r="Q99" s="297" t="s">
        <v>226</v>
      </c>
      <c r="R99" s="241"/>
      <c r="S99" s="298" t="s">
        <v>227</v>
      </c>
      <c r="T99" s="241"/>
      <c r="U99" s="242"/>
      <c r="V99" s="16"/>
      <c r="W99" s="16"/>
      <c r="X99" s="15"/>
      <c r="Y99" s="15"/>
      <c r="Z99" s="16"/>
      <c r="AA99" s="15"/>
      <c r="AB99" s="15"/>
      <c r="AC99" s="15"/>
      <c r="AD99" s="15"/>
      <c r="AG99" s="16"/>
      <c r="AH99" s="16"/>
      <c r="AI99" s="15"/>
      <c r="AJ99" s="15"/>
      <c r="AK99" s="15"/>
      <c r="AL99" s="15"/>
    </row>
    <row r="100" spans="1:38" s="17" customFormat="1" x14ac:dyDescent="0.2">
      <c r="A100" s="57"/>
      <c r="I100" s="58"/>
      <c r="M100" s="94"/>
      <c r="N100" s="92"/>
      <c r="P100" s="92"/>
      <c r="R100" s="92"/>
      <c r="T100" s="92"/>
      <c r="V100" s="92"/>
      <c r="X100" s="92"/>
      <c r="Z100" s="38"/>
      <c r="AA100" s="38"/>
      <c r="AB100" s="38"/>
      <c r="AG100" s="38"/>
      <c r="AH100" s="38"/>
    </row>
    <row r="101" spans="1:38" s="17" customFormat="1" x14ac:dyDescent="0.2">
      <c r="A101" s="57"/>
      <c r="C101" s="2" t="s">
        <v>2</v>
      </c>
      <c r="D101" s="10"/>
      <c r="E101" s="3" t="s">
        <v>3</v>
      </c>
      <c r="G101" s="84">
        <f>SUM(I101:AG101)</f>
        <v>3281926375.52</v>
      </c>
      <c r="I101" s="113">
        <f>I10</f>
        <v>588658574.24000001</v>
      </c>
      <c r="J101" s="8"/>
      <c r="K101" s="113">
        <f>K10</f>
        <v>522666021.57000005</v>
      </c>
      <c r="L101" s="8"/>
      <c r="M101" s="113">
        <f>M10</f>
        <v>196802776</v>
      </c>
      <c r="N101" s="49"/>
      <c r="O101" s="113">
        <f>O10</f>
        <v>532048476.17000002</v>
      </c>
      <c r="P101" s="49"/>
      <c r="Q101" s="113">
        <f>Q10</f>
        <v>946876781.34000003</v>
      </c>
      <c r="R101" s="49"/>
      <c r="S101" s="113">
        <f>S10</f>
        <v>494873746.19999999</v>
      </c>
      <c r="T101" s="49"/>
      <c r="U101" s="113"/>
      <c r="V101" s="1"/>
      <c r="W101" s="1"/>
      <c r="X101" s="92"/>
      <c r="Z101" s="38"/>
      <c r="AA101" s="38"/>
      <c r="AB101" s="38"/>
      <c r="AG101" s="38"/>
      <c r="AH101" s="38"/>
    </row>
    <row r="102" spans="1:38" s="17" customFormat="1" x14ac:dyDescent="0.2">
      <c r="A102" s="57"/>
      <c r="C102" s="3" t="s">
        <v>4</v>
      </c>
      <c r="D102" s="10"/>
      <c r="E102" s="3" t="s">
        <v>5</v>
      </c>
      <c r="G102" s="85">
        <f>SUM(I102:AG102)</f>
        <v>1472389.25</v>
      </c>
      <c r="I102" s="113">
        <f>+I11</f>
        <v>299552.75</v>
      </c>
      <c r="J102" s="8"/>
      <c r="K102" s="113">
        <f>K11</f>
        <v>243083.75</v>
      </c>
      <c r="L102" s="8"/>
      <c r="M102" s="113">
        <f>M11</f>
        <v>74692.75</v>
      </c>
      <c r="N102" s="49"/>
      <c r="O102" s="113">
        <f>O11</f>
        <v>272260.41666666669</v>
      </c>
      <c r="P102" s="49"/>
      <c r="Q102" s="113">
        <f>Q11</f>
        <v>332626.25</v>
      </c>
      <c r="R102" s="49"/>
      <c r="S102" s="113">
        <f>S11</f>
        <v>250173.33333333334</v>
      </c>
      <c r="T102" s="49"/>
      <c r="U102" s="113"/>
      <c r="V102" s="1"/>
      <c r="W102" s="1"/>
      <c r="X102" s="92"/>
      <c r="Z102" s="38"/>
      <c r="AA102" s="38"/>
      <c r="AB102" s="38"/>
      <c r="AG102" s="38"/>
      <c r="AH102" s="38"/>
    </row>
    <row r="103" spans="1:38" s="17" customFormat="1" x14ac:dyDescent="0.2">
      <c r="A103" s="57"/>
      <c r="C103" s="2" t="s">
        <v>15</v>
      </c>
      <c r="D103" s="10"/>
      <c r="E103" s="3" t="s">
        <v>3</v>
      </c>
      <c r="G103" s="84">
        <f>SUM(I103:AG103)</f>
        <v>157763166.70000002</v>
      </c>
      <c r="I103" s="113">
        <f>+I12</f>
        <v>30013523.280000005</v>
      </c>
      <c r="J103" s="8"/>
      <c r="K103" s="113">
        <f>K12</f>
        <v>24974685.020000003</v>
      </c>
      <c r="L103" s="8"/>
      <c r="M103" s="113">
        <f>M12</f>
        <v>8753909.0500000007</v>
      </c>
      <c r="N103" s="49"/>
      <c r="O103" s="113">
        <f>O12</f>
        <v>22587102.66</v>
      </c>
      <c r="P103" s="49"/>
      <c r="Q103" s="113">
        <f>Q12</f>
        <v>38004205.259999998</v>
      </c>
      <c r="R103" s="49"/>
      <c r="S103" s="113">
        <f>S12</f>
        <v>33429741.43</v>
      </c>
      <c r="T103" s="49"/>
      <c r="U103" s="113"/>
      <c r="V103" s="1"/>
      <c r="W103" s="1"/>
      <c r="X103" s="92"/>
      <c r="Z103" s="38"/>
      <c r="AA103" s="38"/>
      <c r="AB103" s="38"/>
      <c r="AG103" s="38"/>
      <c r="AH103" s="38"/>
    </row>
    <row r="104" spans="1:38" s="17" customFormat="1" x14ac:dyDescent="0.2">
      <c r="A104" s="57"/>
      <c r="C104" s="50" t="s">
        <v>16</v>
      </c>
      <c r="D104" s="10"/>
      <c r="E104" s="3"/>
      <c r="I104" s="1"/>
      <c r="J104" s="4"/>
      <c r="K104" s="1"/>
      <c r="L104" s="4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92"/>
      <c r="Z104" s="38"/>
      <c r="AA104" s="38"/>
      <c r="AB104" s="38"/>
      <c r="AG104" s="38"/>
      <c r="AH104" s="38"/>
    </row>
    <row r="105" spans="1:38" s="17" customFormat="1" x14ac:dyDescent="0.2">
      <c r="A105" s="57"/>
      <c r="I105" s="58"/>
      <c r="M105" s="94"/>
      <c r="N105" s="92"/>
      <c r="P105" s="92"/>
      <c r="R105" s="92"/>
      <c r="T105" s="92"/>
      <c r="V105" s="92"/>
      <c r="W105" s="92"/>
      <c r="X105" s="92"/>
      <c r="Z105" s="38"/>
      <c r="AA105" s="38"/>
      <c r="AB105" s="38"/>
      <c r="AG105" s="38"/>
      <c r="AH105" s="38"/>
    </row>
    <row r="106" spans="1:38" s="17" customFormat="1" x14ac:dyDescent="0.2">
      <c r="A106" s="57"/>
      <c r="C106" s="2" t="s">
        <v>2</v>
      </c>
      <c r="D106" s="10"/>
      <c r="E106" s="14" t="s">
        <v>6</v>
      </c>
      <c r="F106" s="97"/>
      <c r="G106" s="102">
        <f>SUM(I106:AG106)</f>
        <v>1</v>
      </c>
      <c r="I106" s="102">
        <f>1-SUM(K106:BF106)</f>
        <v>0.17930000000000001</v>
      </c>
      <c r="J106" s="103"/>
      <c r="K106" s="102">
        <f>ROUND(K101/$G$101,4)</f>
        <v>0.1593</v>
      </c>
      <c r="L106" s="103"/>
      <c r="M106" s="102">
        <f>ROUND(M101/$G$101,4)</f>
        <v>0.06</v>
      </c>
      <c r="N106" s="104"/>
      <c r="O106" s="102">
        <f>ROUND(O101/$G$101,4)</f>
        <v>0.16209999999999999</v>
      </c>
      <c r="P106" s="104"/>
      <c r="Q106" s="102">
        <f>ROUND(Q101/$G$101,4)</f>
        <v>0.28849999999999998</v>
      </c>
      <c r="R106" s="104"/>
      <c r="S106" s="102">
        <f>ROUND(S101/$G$101,4)</f>
        <v>0.15079999999999999</v>
      </c>
      <c r="T106" s="104"/>
      <c r="U106" s="102"/>
      <c r="V106" s="48"/>
      <c r="W106" s="102"/>
      <c r="X106" s="92"/>
      <c r="Y106" s="105"/>
      <c r="Z106" s="106"/>
      <c r="AA106" s="106"/>
      <c r="AB106" s="106"/>
      <c r="AG106" s="106"/>
      <c r="AH106" s="106"/>
      <c r="AI106" s="105"/>
      <c r="AJ106" s="105"/>
      <c r="AK106" s="105"/>
      <c r="AL106" s="105"/>
    </row>
    <row r="107" spans="1:38" s="17" customFormat="1" x14ac:dyDescent="0.2">
      <c r="A107" s="57"/>
      <c r="C107" s="3" t="s">
        <v>4</v>
      </c>
      <c r="D107" s="10"/>
      <c r="E107" s="14" t="s">
        <v>6</v>
      </c>
      <c r="F107" s="97"/>
      <c r="G107" s="102">
        <f>SUM(I107:AG107)</f>
        <v>1</v>
      </c>
      <c r="I107" s="102">
        <f>1-SUM(K107:BF107)</f>
        <v>0.20350000000000001</v>
      </c>
      <c r="J107" s="103"/>
      <c r="K107" s="102">
        <f>ROUND(K102/$G$102,4)</f>
        <v>0.1651</v>
      </c>
      <c r="L107" s="103"/>
      <c r="M107" s="102">
        <f>ROUND(M102/$G$102,4)</f>
        <v>5.0700000000000002E-2</v>
      </c>
      <c r="N107" s="104"/>
      <c r="O107" s="102">
        <f>ROUND(O102/$G$102,4)</f>
        <v>0.18490000000000001</v>
      </c>
      <c r="P107" s="104"/>
      <c r="Q107" s="102">
        <f>ROUND(Q102/$G$102,4)</f>
        <v>0.22589999999999999</v>
      </c>
      <c r="R107" s="104"/>
      <c r="S107" s="102">
        <f>ROUND(S102/$G$102,4)</f>
        <v>0.1699</v>
      </c>
      <c r="T107" s="104"/>
      <c r="U107" s="102"/>
      <c r="V107" s="48"/>
      <c r="W107" s="102"/>
      <c r="X107" s="92"/>
      <c r="Z107" s="38"/>
      <c r="AA107" s="38"/>
      <c r="AB107" s="38"/>
      <c r="AG107" s="38"/>
      <c r="AH107" s="38"/>
    </row>
    <row r="108" spans="1:38" s="17" customFormat="1" x14ac:dyDescent="0.2">
      <c r="A108" s="57"/>
      <c r="C108" s="2" t="s">
        <v>7</v>
      </c>
      <c r="D108" s="10"/>
      <c r="E108" s="14" t="s">
        <v>6</v>
      </c>
      <c r="F108" s="97"/>
      <c r="G108" s="102">
        <f>SUM(I108:AG108)</f>
        <v>1</v>
      </c>
      <c r="I108" s="102">
        <f>1-SUM(K108:BF108)</f>
        <v>0.19020000000000004</v>
      </c>
      <c r="J108" s="103"/>
      <c r="K108" s="102">
        <f>ROUND(K103/$G$103,4)</f>
        <v>0.1583</v>
      </c>
      <c r="L108" s="103"/>
      <c r="M108" s="102">
        <f>ROUND(M103/$G$103,4)</f>
        <v>5.5500000000000001E-2</v>
      </c>
      <c r="N108" s="104"/>
      <c r="O108" s="102">
        <f>ROUND(O103/$G$103,4)</f>
        <v>0.14319999999999999</v>
      </c>
      <c r="P108" s="104"/>
      <c r="Q108" s="102">
        <f>ROUND(Q103/$G$103,4)</f>
        <v>0.2409</v>
      </c>
      <c r="R108" s="104"/>
      <c r="S108" s="102">
        <f>ROUND(S103/$G$103,4)</f>
        <v>0.21190000000000001</v>
      </c>
      <c r="T108" s="104"/>
      <c r="U108" s="102"/>
      <c r="V108" s="48"/>
      <c r="W108" s="102"/>
      <c r="X108" s="92"/>
      <c r="Z108" s="38"/>
      <c r="AA108" s="38"/>
      <c r="AB108" s="38"/>
      <c r="AG108" s="38"/>
      <c r="AH108" s="38"/>
    </row>
    <row r="109" spans="1:38" s="17" customFormat="1" x14ac:dyDescent="0.2">
      <c r="A109" s="57"/>
      <c r="C109" s="54"/>
      <c r="D109" s="10"/>
      <c r="E109" s="14"/>
      <c r="G109" s="93"/>
      <c r="I109" s="103"/>
      <c r="J109" s="103"/>
      <c r="K109" s="103"/>
      <c r="L109" s="103"/>
      <c r="M109" s="103"/>
      <c r="N109" s="104"/>
      <c r="O109" s="103"/>
      <c r="P109" s="104"/>
      <c r="Q109" s="103"/>
      <c r="R109" s="104"/>
      <c r="S109" s="103"/>
      <c r="T109" s="104"/>
      <c r="U109" s="103"/>
      <c r="V109" s="48"/>
      <c r="W109" s="90"/>
      <c r="X109" s="92"/>
      <c r="Z109" s="38"/>
      <c r="AA109" s="38"/>
      <c r="AB109" s="38"/>
      <c r="AG109" s="38"/>
      <c r="AH109" s="38"/>
    </row>
    <row r="110" spans="1:38" s="17" customFormat="1" x14ac:dyDescent="0.2">
      <c r="A110" s="57"/>
      <c r="C110" s="123" t="str">
        <f>C19</f>
        <v>Total Composite Factor for FY 2015</v>
      </c>
      <c r="D110" s="10"/>
      <c r="E110" s="14" t="s">
        <v>6</v>
      </c>
      <c r="G110" s="102">
        <f>SUM(I110:AG110)</f>
        <v>1</v>
      </c>
      <c r="I110" s="102">
        <f>1-SUM(K110:AK110)</f>
        <v>0.19100000000000006</v>
      </c>
      <c r="J110" s="103"/>
      <c r="K110" s="102">
        <f>ROUND(AVERAGE(K106:K108),4)</f>
        <v>0.16089999999999999</v>
      </c>
      <c r="L110" s="103"/>
      <c r="M110" s="102">
        <f>ROUND(AVERAGE(M106:M108),4)</f>
        <v>5.5399999999999998E-2</v>
      </c>
      <c r="N110" s="104"/>
      <c r="O110" s="102">
        <f>ROUND(AVERAGE(O106:O108),4)</f>
        <v>0.16339999999999999</v>
      </c>
      <c r="P110" s="104"/>
      <c r="Q110" s="102">
        <f>ROUND(AVERAGE(Q106:Q108),4)</f>
        <v>0.25180000000000002</v>
      </c>
      <c r="R110" s="104"/>
      <c r="S110" s="102">
        <f>ROUND(AVERAGE(S106:S108),4)</f>
        <v>0.17749999999999999</v>
      </c>
      <c r="T110" s="104"/>
      <c r="U110" s="102"/>
      <c r="V110" s="111"/>
      <c r="W110" s="102"/>
      <c r="X110" s="92"/>
      <c r="Z110" s="38"/>
      <c r="AA110" s="38"/>
      <c r="AB110" s="38"/>
      <c r="AG110" s="38"/>
      <c r="AH110" s="38"/>
    </row>
    <row r="111" spans="1:38" s="17" customFormat="1" x14ac:dyDescent="0.2">
      <c r="A111" s="57"/>
      <c r="C111" s="54"/>
      <c r="D111" s="10"/>
      <c r="E111" s="14"/>
      <c r="I111" s="59"/>
      <c r="N111" s="92"/>
      <c r="O111" s="93"/>
      <c r="P111" s="92"/>
      <c r="R111" s="92"/>
      <c r="T111" s="92"/>
      <c r="V111" s="92"/>
      <c r="X111" s="92"/>
      <c r="Z111" s="38"/>
      <c r="AA111" s="38"/>
      <c r="AB111" s="38"/>
      <c r="AG111" s="38"/>
      <c r="AH111" s="38"/>
    </row>
    <row r="112" spans="1:38" s="17" customFormat="1" x14ac:dyDescent="0.2">
      <c r="A112" s="57"/>
      <c r="C112" s="54"/>
      <c r="D112" s="10"/>
      <c r="E112" s="14"/>
      <c r="I112" s="59"/>
      <c r="N112" s="92"/>
      <c r="O112" s="93"/>
      <c r="P112" s="92"/>
      <c r="R112" s="92"/>
      <c r="T112" s="92"/>
      <c r="V112" s="92"/>
      <c r="X112" s="92"/>
      <c r="Z112" s="38"/>
      <c r="AA112" s="38"/>
      <c r="AB112" s="38"/>
      <c r="AG112" s="38"/>
      <c r="AH112" s="38"/>
    </row>
    <row r="114" spans="1:38" s="14" customFormat="1" ht="15.75" x14ac:dyDescent="0.25">
      <c r="A114" s="19"/>
      <c r="C114" s="99" t="s">
        <v>101</v>
      </c>
      <c r="D114" s="10"/>
      <c r="G114" s="15"/>
      <c r="H114" s="15"/>
      <c r="I114" s="299" t="s">
        <v>228</v>
      </c>
      <c r="J114" s="241"/>
      <c r="K114" s="241"/>
      <c r="L114" s="241"/>
      <c r="M114" s="241"/>
      <c r="N114" s="241"/>
      <c r="O114" s="241"/>
      <c r="P114" s="241"/>
      <c r="Q114" s="241"/>
      <c r="R114" s="241"/>
      <c r="S114" s="242"/>
      <c r="T114" s="241"/>
      <c r="U114" s="298" t="s">
        <v>229</v>
      </c>
      <c r="V114" s="243"/>
      <c r="W114" s="303" t="s">
        <v>230</v>
      </c>
      <c r="X114" s="15"/>
      <c r="Y114" s="15"/>
      <c r="Z114" s="16"/>
      <c r="AA114" s="15"/>
      <c r="AB114" s="15"/>
      <c r="AC114" s="15"/>
      <c r="AD114" s="15"/>
      <c r="AG114" s="16"/>
      <c r="AH114" s="16"/>
      <c r="AI114" s="15"/>
      <c r="AJ114" s="15"/>
      <c r="AK114" s="15"/>
      <c r="AL114" s="15"/>
    </row>
    <row r="115" spans="1:38" s="17" customFormat="1" x14ac:dyDescent="0.2">
      <c r="A115" s="57"/>
      <c r="I115" s="58"/>
      <c r="M115" s="94"/>
      <c r="N115" s="92"/>
      <c r="P115" s="92"/>
      <c r="R115" s="92"/>
      <c r="T115" s="92"/>
      <c r="V115" s="92"/>
      <c r="X115" s="92"/>
      <c r="Z115" s="38"/>
      <c r="AA115" s="38"/>
      <c r="AB115" s="38"/>
      <c r="AG115" s="38"/>
      <c r="AH115" s="38"/>
    </row>
    <row r="116" spans="1:38" s="17" customFormat="1" x14ac:dyDescent="0.2">
      <c r="A116" s="57"/>
      <c r="C116" s="2" t="s">
        <v>2</v>
      </c>
      <c r="D116" s="10"/>
      <c r="E116" s="3" t="s">
        <v>3</v>
      </c>
      <c r="G116" s="84">
        <f>SUM(I116:AG116)</f>
        <v>5738971758.0500002</v>
      </c>
      <c r="I116" s="113">
        <f>I10</f>
        <v>588658574.24000001</v>
      </c>
      <c r="J116" s="8"/>
      <c r="K116" s="113"/>
      <c r="L116" s="8"/>
      <c r="M116" s="113"/>
      <c r="N116" s="49"/>
      <c r="O116" s="113"/>
      <c r="P116" s="49"/>
      <c r="Q116" s="113"/>
      <c r="R116" s="49"/>
      <c r="S116" s="113"/>
      <c r="T116" s="49"/>
      <c r="U116" s="113">
        <f>U10</f>
        <v>3393212542.6799998</v>
      </c>
      <c r="V116" s="48"/>
      <c r="W116" s="113">
        <f>W10</f>
        <v>1757100641.1300001</v>
      </c>
      <c r="X116" s="92"/>
      <c r="Z116" s="38"/>
      <c r="AA116" s="38"/>
      <c r="AB116" s="38"/>
      <c r="AG116" s="38"/>
      <c r="AH116" s="38"/>
    </row>
    <row r="117" spans="1:38" s="17" customFormat="1" x14ac:dyDescent="0.2">
      <c r="A117" s="57"/>
      <c r="C117" s="3" t="s">
        <v>4</v>
      </c>
      <c r="D117" s="10"/>
      <c r="E117" s="3" t="s">
        <v>5</v>
      </c>
      <c r="G117" s="85">
        <f>SUM(I117:AG117)</f>
        <v>1888025.4166666667</v>
      </c>
      <c r="I117" s="113">
        <f>I11</f>
        <v>299552.75</v>
      </c>
      <c r="J117" s="8"/>
      <c r="K117" s="113"/>
      <c r="L117" s="8"/>
      <c r="M117" s="113"/>
      <c r="N117" s="49"/>
      <c r="O117" s="113"/>
      <c r="P117" s="49"/>
      <c r="Q117" s="113"/>
      <c r="R117" s="49"/>
      <c r="S117" s="113"/>
      <c r="T117" s="49"/>
      <c r="U117" s="113">
        <f>U11</f>
        <v>1588125.9166666667</v>
      </c>
      <c r="V117" s="48"/>
      <c r="W117" s="113">
        <f>W11</f>
        <v>346.75</v>
      </c>
      <c r="X117" s="92"/>
      <c r="Z117" s="38"/>
      <c r="AA117" s="38"/>
      <c r="AB117" s="38"/>
      <c r="AG117" s="38"/>
      <c r="AH117" s="38"/>
    </row>
    <row r="118" spans="1:38" s="17" customFormat="1" x14ac:dyDescent="0.2">
      <c r="A118" s="57"/>
      <c r="C118" s="2" t="s">
        <v>15</v>
      </c>
      <c r="D118" s="10"/>
      <c r="E118" s="3" t="s">
        <v>3</v>
      </c>
      <c r="G118" s="84">
        <f>SUM(I118:AG118)</f>
        <v>221416982.16000003</v>
      </c>
      <c r="I118" s="113">
        <f>I12</f>
        <v>30013523.280000005</v>
      </c>
      <c r="J118" s="8"/>
      <c r="K118" s="113"/>
      <c r="L118" s="8"/>
      <c r="M118" s="113"/>
      <c r="N118" s="49"/>
      <c r="O118" s="113"/>
      <c r="P118" s="49"/>
      <c r="Q118" s="113"/>
      <c r="R118" s="49"/>
      <c r="S118" s="113"/>
      <c r="T118" s="49"/>
      <c r="U118" s="113">
        <f>U12</f>
        <v>109826806.36999999</v>
      </c>
      <c r="V118" s="48"/>
      <c r="W118" s="113">
        <f>W12</f>
        <v>81576652.510000005</v>
      </c>
      <c r="X118" s="92"/>
      <c r="Z118" s="38"/>
      <c r="AA118" s="38"/>
      <c r="AB118" s="38"/>
      <c r="AG118" s="38"/>
      <c r="AH118" s="38"/>
    </row>
    <row r="119" spans="1:38" s="17" customFormat="1" x14ac:dyDescent="0.2">
      <c r="A119" s="57"/>
      <c r="C119" s="50" t="s">
        <v>16</v>
      </c>
      <c r="D119" s="10"/>
      <c r="E119" s="3"/>
      <c r="I119" s="1"/>
      <c r="J119" s="4"/>
      <c r="K119" s="1"/>
      <c r="L119" s="4"/>
      <c r="M119" s="1"/>
      <c r="N119" s="1"/>
      <c r="O119" s="1"/>
      <c r="P119" s="1"/>
      <c r="Q119" s="1"/>
      <c r="R119" s="1"/>
      <c r="S119" s="1"/>
      <c r="T119" s="1"/>
      <c r="U119" s="1"/>
      <c r="V119" s="48"/>
      <c r="W119" s="18"/>
      <c r="X119" s="92"/>
      <c r="Z119" s="38"/>
      <c r="AA119" s="38"/>
      <c r="AB119" s="38"/>
      <c r="AG119" s="38"/>
      <c r="AH119" s="38"/>
    </row>
    <row r="120" spans="1:38" s="17" customFormat="1" x14ac:dyDescent="0.2">
      <c r="A120" s="57"/>
      <c r="I120" s="58"/>
      <c r="M120" s="94"/>
      <c r="N120" s="92"/>
      <c r="P120" s="92"/>
      <c r="R120" s="92"/>
      <c r="T120" s="92"/>
      <c r="V120" s="48"/>
      <c r="W120" s="5"/>
      <c r="X120" s="92"/>
      <c r="Z120" s="38"/>
      <c r="AA120" s="38"/>
      <c r="AB120" s="38"/>
      <c r="AG120" s="38"/>
      <c r="AH120" s="38"/>
    </row>
    <row r="121" spans="1:38" s="17" customFormat="1" x14ac:dyDescent="0.2">
      <c r="A121" s="57"/>
      <c r="C121" s="2" t="s">
        <v>2</v>
      </c>
      <c r="D121" s="10"/>
      <c r="E121" s="14" t="s">
        <v>6</v>
      </c>
      <c r="F121" s="97"/>
      <c r="G121" s="102">
        <f>SUM(I121:AG121)</f>
        <v>1</v>
      </c>
      <c r="I121" s="102">
        <f>1-SUM(K121:BF121)</f>
        <v>0.10249999999999992</v>
      </c>
      <c r="J121" s="103"/>
      <c r="K121" s="102"/>
      <c r="L121" s="103"/>
      <c r="M121" s="102"/>
      <c r="N121" s="104"/>
      <c r="O121" s="102"/>
      <c r="P121" s="104"/>
      <c r="Q121" s="102"/>
      <c r="R121" s="104"/>
      <c r="S121" s="102"/>
      <c r="T121" s="104"/>
      <c r="U121" s="102">
        <f>ROUND(U116/$G$116,4)</f>
        <v>0.59130000000000005</v>
      </c>
      <c r="V121" s="48"/>
      <c r="W121" s="102">
        <f>ROUND(W116/$G$116,4)</f>
        <v>0.30620000000000003</v>
      </c>
      <c r="X121" s="92"/>
      <c r="Y121" s="105"/>
      <c r="Z121" s="106"/>
      <c r="AA121" s="106"/>
      <c r="AB121" s="106"/>
      <c r="AG121" s="106"/>
      <c r="AH121" s="106"/>
      <c r="AI121" s="105"/>
      <c r="AJ121" s="105"/>
      <c r="AK121" s="105"/>
      <c r="AL121" s="105"/>
    </row>
    <row r="122" spans="1:38" s="17" customFormat="1" x14ac:dyDescent="0.2">
      <c r="A122" s="57"/>
      <c r="C122" s="3" t="s">
        <v>4</v>
      </c>
      <c r="D122" s="10"/>
      <c r="E122" s="14" t="s">
        <v>6</v>
      </c>
      <c r="F122" s="97"/>
      <c r="G122" s="102">
        <f>SUM(I122:AG122)</f>
        <v>1</v>
      </c>
      <c r="I122" s="102">
        <f>1-SUM(K122:BF122)</f>
        <v>0.15860000000000007</v>
      </c>
      <c r="J122" s="103"/>
      <c r="K122" s="102"/>
      <c r="L122" s="103"/>
      <c r="M122" s="102"/>
      <c r="N122" s="104"/>
      <c r="O122" s="102"/>
      <c r="P122" s="104"/>
      <c r="Q122" s="102"/>
      <c r="R122" s="104"/>
      <c r="S122" s="102"/>
      <c r="T122" s="104"/>
      <c r="U122" s="102">
        <f>ROUND(U117/$G$117,4)</f>
        <v>0.84119999999999995</v>
      </c>
      <c r="V122" s="48"/>
      <c r="W122" s="102">
        <f>ROUND(W117/$G$117,4)</f>
        <v>2.0000000000000001E-4</v>
      </c>
      <c r="X122" s="92"/>
      <c r="Z122" s="38"/>
      <c r="AA122" s="38"/>
      <c r="AB122" s="38"/>
      <c r="AG122" s="38"/>
      <c r="AH122" s="38"/>
    </row>
    <row r="123" spans="1:38" s="17" customFormat="1" x14ac:dyDescent="0.2">
      <c r="A123" s="57"/>
      <c r="C123" s="2" t="s">
        <v>7</v>
      </c>
      <c r="D123" s="10"/>
      <c r="E123" s="14" t="s">
        <v>6</v>
      </c>
      <c r="F123" s="97"/>
      <c r="G123" s="102">
        <f>SUM(I123:AG123)</f>
        <v>1</v>
      </c>
      <c r="I123" s="102">
        <f>1-SUM(K123:BF123)</f>
        <v>0.13559999999999994</v>
      </c>
      <c r="J123" s="103"/>
      <c r="K123" s="102"/>
      <c r="L123" s="103"/>
      <c r="M123" s="102"/>
      <c r="N123" s="104"/>
      <c r="O123" s="102"/>
      <c r="P123" s="104"/>
      <c r="Q123" s="102"/>
      <c r="R123" s="104"/>
      <c r="S123" s="102"/>
      <c r="T123" s="104"/>
      <c r="U123" s="102">
        <f>ROUND(U118/$G$118,4)</f>
        <v>0.496</v>
      </c>
      <c r="V123" s="48"/>
      <c r="W123" s="102">
        <f>ROUND(W118/$G$118,4)</f>
        <v>0.36840000000000001</v>
      </c>
      <c r="X123" s="92"/>
      <c r="Z123" s="38"/>
      <c r="AA123" s="38"/>
      <c r="AB123" s="38"/>
      <c r="AG123" s="38"/>
      <c r="AH123" s="38"/>
    </row>
    <row r="124" spans="1:38" s="17" customFormat="1" x14ac:dyDescent="0.2">
      <c r="A124" s="57"/>
      <c r="C124" s="54"/>
      <c r="D124" s="10"/>
      <c r="E124" s="14"/>
      <c r="G124" s="93"/>
      <c r="I124" s="103"/>
      <c r="J124" s="103"/>
      <c r="K124" s="103"/>
      <c r="L124" s="103"/>
      <c r="M124" s="103"/>
      <c r="N124" s="104"/>
      <c r="O124" s="103"/>
      <c r="P124" s="104"/>
      <c r="Q124" s="103"/>
      <c r="R124" s="104"/>
      <c r="S124" s="103"/>
      <c r="T124" s="104"/>
      <c r="U124" s="103"/>
      <c r="V124" s="48"/>
      <c r="W124" s="90"/>
      <c r="X124" s="92"/>
      <c r="Z124" s="38"/>
      <c r="AA124" s="38"/>
      <c r="AB124" s="38"/>
      <c r="AG124" s="38"/>
      <c r="AH124" s="38"/>
    </row>
    <row r="125" spans="1:38" s="17" customFormat="1" x14ac:dyDescent="0.2">
      <c r="A125" s="57"/>
      <c r="C125" s="123" t="str">
        <f>C19</f>
        <v>Total Composite Factor for FY 2015</v>
      </c>
      <c r="D125" s="10"/>
      <c r="E125" s="14" t="s">
        <v>6</v>
      </c>
      <c r="G125" s="102">
        <f>SUM(I125:AG125)</f>
        <v>1</v>
      </c>
      <c r="I125" s="102">
        <f>1-SUM(K125:BF125)</f>
        <v>0.13229999999999997</v>
      </c>
      <c r="J125" s="103"/>
      <c r="K125" s="102"/>
      <c r="L125" s="103"/>
      <c r="M125" s="102"/>
      <c r="N125" s="104"/>
      <c r="O125" s="102"/>
      <c r="P125" s="104"/>
      <c r="Q125" s="102"/>
      <c r="R125" s="104"/>
      <c r="S125" s="102"/>
      <c r="T125" s="104"/>
      <c r="U125" s="102">
        <f>ROUND(AVERAGE(U121:U123),4)</f>
        <v>0.64280000000000004</v>
      </c>
      <c r="V125" s="111"/>
      <c r="W125" s="102">
        <f>ROUND(AVERAGE(W121:W123),4)</f>
        <v>0.22489999999999999</v>
      </c>
      <c r="X125" s="92"/>
      <c r="Z125" s="38"/>
      <c r="AA125" s="38"/>
      <c r="AB125" s="38"/>
      <c r="AG125" s="38"/>
      <c r="AH125" s="38"/>
    </row>
    <row r="126" spans="1:38" s="17" customFormat="1" x14ac:dyDescent="0.2">
      <c r="A126" s="57"/>
      <c r="C126" s="54"/>
      <c r="D126" s="10"/>
      <c r="E126" s="14"/>
      <c r="I126" s="59"/>
      <c r="N126" s="92"/>
      <c r="O126" s="93"/>
      <c r="P126" s="92"/>
      <c r="R126" s="92"/>
      <c r="T126" s="92"/>
      <c r="V126" s="92"/>
      <c r="X126" s="92"/>
      <c r="Z126" s="38"/>
      <c r="AA126" s="38"/>
      <c r="AB126" s="38"/>
      <c r="AG126" s="38"/>
      <c r="AH126" s="38"/>
    </row>
    <row r="129" spans="1:61" s="6" customFormat="1" ht="15.75" x14ac:dyDescent="0.25">
      <c r="A129" s="43"/>
      <c r="C129" s="136" t="s">
        <v>231</v>
      </c>
      <c r="I129" s="295" t="s">
        <v>232</v>
      </c>
      <c r="J129" s="239"/>
      <c r="K129" s="239"/>
      <c r="L129" s="239"/>
      <c r="M129" s="239"/>
      <c r="N129" s="240"/>
      <c r="O129" s="239"/>
      <c r="P129" s="240"/>
      <c r="Q129" s="239"/>
      <c r="R129" s="240"/>
      <c r="S129" s="239"/>
      <c r="T129" s="240"/>
      <c r="U129" s="296" t="s">
        <v>233</v>
      </c>
      <c r="V129" s="20"/>
      <c r="X129" s="20"/>
    </row>
    <row r="130" spans="1:61" s="6" customFormat="1" ht="25.5" x14ac:dyDescent="0.2">
      <c r="A130" s="45"/>
      <c r="B130" s="46"/>
      <c r="C130" s="47"/>
      <c r="E130" s="20"/>
      <c r="G130" s="7" t="s">
        <v>1</v>
      </c>
      <c r="I130" s="83" t="s">
        <v>13</v>
      </c>
      <c r="K130" s="7" t="s">
        <v>10</v>
      </c>
      <c r="M130" s="7" t="s">
        <v>11</v>
      </c>
      <c r="N130" s="20"/>
      <c r="O130" s="7" t="s">
        <v>12</v>
      </c>
      <c r="P130" s="20"/>
      <c r="Q130" s="112" t="s">
        <v>83</v>
      </c>
      <c r="R130" s="20"/>
      <c r="S130" s="7" t="s">
        <v>82</v>
      </c>
      <c r="T130" s="20"/>
      <c r="U130" s="7" t="s">
        <v>14</v>
      </c>
      <c r="V130" s="20"/>
      <c r="W130" s="139"/>
      <c r="X130" s="20"/>
      <c r="Y130" s="20"/>
      <c r="Z130" s="20"/>
      <c r="AA130" s="139"/>
      <c r="AB130" s="139"/>
      <c r="AC130" s="139"/>
      <c r="AD130" s="139"/>
      <c r="AE130" s="20"/>
      <c r="AF130" s="20"/>
      <c r="AG130" s="20"/>
      <c r="AH130" s="20"/>
      <c r="AI130" s="139"/>
      <c r="AJ130" s="139"/>
      <c r="AK130" s="139"/>
      <c r="AL130" s="139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</row>
    <row r="131" spans="1:61" x14ac:dyDescent="0.2">
      <c r="G131" s="48"/>
      <c r="H131" s="48"/>
      <c r="I131" s="49"/>
      <c r="W131" s="48"/>
      <c r="Y131" s="48"/>
      <c r="Z131" s="117"/>
      <c r="AA131" s="117"/>
      <c r="AB131" s="117"/>
      <c r="AC131" s="48"/>
      <c r="AD131" s="48"/>
      <c r="AE131" s="48"/>
      <c r="AF131" s="48"/>
      <c r="AG131" s="117"/>
      <c r="AH131" s="117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  <c r="BF131" s="48"/>
      <c r="BG131" s="48"/>
      <c r="BH131" s="48"/>
      <c r="BI131" s="48"/>
    </row>
    <row r="132" spans="1:61" s="3" customFormat="1" x14ac:dyDescent="0.2">
      <c r="A132" s="19"/>
      <c r="C132" s="2" t="s">
        <v>2</v>
      </c>
      <c r="D132" s="10"/>
      <c r="E132" s="3" t="s">
        <v>3</v>
      </c>
      <c r="G132" s="84">
        <f>SUM(I132:AG132)</f>
        <v>3981871116.9200001</v>
      </c>
      <c r="H132" s="49"/>
      <c r="I132" s="113">
        <f>I10</f>
        <v>588658574.24000001</v>
      </c>
      <c r="J132" s="8"/>
      <c r="K132" s="113"/>
      <c r="L132" s="8"/>
      <c r="M132" s="113"/>
      <c r="N132" s="49"/>
      <c r="O132" s="113"/>
      <c r="P132" s="49"/>
      <c r="Q132" s="113"/>
      <c r="R132" s="49"/>
      <c r="S132" s="113"/>
      <c r="T132" s="49"/>
      <c r="U132" s="113">
        <f>U10</f>
        <v>3393212542.6799998</v>
      </c>
      <c r="V132" s="49"/>
      <c r="W132" s="49"/>
      <c r="X132" s="49"/>
      <c r="Y132" s="49"/>
      <c r="Z132" s="49"/>
      <c r="AA132" s="49"/>
      <c r="AB132" s="49"/>
      <c r="AC132" s="49"/>
      <c r="AD132" s="49"/>
      <c r="AE132" s="96"/>
      <c r="AF132" s="96"/>
      <c r="AG132" s="49"/>
      <c r="AH132" s="49"/>
      <c r="AI132" s="49"/>
      <c r="AJ132" s="49"/>
      <c r="AK132" s="49"/>
      <c r="AL132" s="49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</row>
    <row r="133" spans="1:61" s="3" customFormat="1" x14ac:dyDescent="0.2">
      <c r="A133" s="19"/>
      <c r="C133" s="3" t="s">
        <v>4</v>
      </c>
      <c r="D133" s="10"/>
      <c r="E133" s="3" t="s">
        <v>5</v>
      </c>
      <c r="G133" s="85">
        <f>SUM(I133:AG133)</f>
        <v>1887678.6666666667</v>
      </c>
      <c r="H133" s="49"/>
      <c r="I133" s="114">
        <f>I11</f>
        <v>299552.75</v>
      </c>
      <c r="J133" s="8"/>
      <c r="K133" s="113"/>
      <c r="L133" s="8"/>
      <c r="M133" s="113"/>
      <c r="N133" s="49"/>
      <c r="O133" s="113"/>
      <c r="P133" s="49"/>
      <c r="Q133" s="113"/>
      <c r="R133" s="49"/>
      <c r="S133" s="113"/>
      <c r="T133" s="49"/>
      <c r="U133" s="113">
        <f>U11</f>
        <v>1588125.9166666667</v>
      </c>
      <c r="V133" s="49"/>
      <c r="W133" s="49"/>
      <c r="X133" s="49"/>
      <c r="Y133" s="49"/>
      <c r="Z133" s="49"/>
      <c r="AA133" s="49"/>
      <c r="AB133" s="49"/>
      <c r="AC133" s="49"/>
      <c r="AD133" s="49"/>
      <c r="AE133" s="96"/>
      <c r="AF133" s="96"/>
      <c r="AG133" s="49"/>
      <c r="AH133" s="49"/>
      <c r="AI133" s="49"/>
      <c r="AJ133" s="49"/>
      <c r="AK133" s="49"/>
      <c r="AL133" s="49"/>
      <c r="AM133" s="96"/>
      <c r="AN133" s="96"/>
      <c r="AO133" s="96"/>
      <c r="AP133" s="96"/>
      <c r="AQ133" s="96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96"/>
      <c r="BD133" s="96"/>
      <c r="BE133" s="96"/>
      <c r="BF133" s="96"/>
      <c r="BG133" s="96"/>
      <c r="BH133" s="96"/>
      <c r="BI133" s="96"/>
    </row>
    <row r="134" spans="1:61" s="3" customFormat="1" x14ac:dyDescent="0.2">
      <c r="A134" s="19"/>
      <c r="C134" s="2" t="s">
        <v>15</v>
      </c>
      <c r="D134" s="10"/>
      <c r="E134" s="3" t="s">
        <v>3</v>
      </c>
      <c r="G134" s="84">
        <f>SUM(I134:AG134)</f>
        <v>139840329.65000001</v>
      </c>
      <c r="H134" s="49"/>
      <c r="I134" s="114">
        <f>I12</f>
        <v>30013523.280000005</v>
      </c>
      <c r="J134" s="8"/>
      <c r="K134" s="113"/>
      <c r="L134" s="8"/>
      <c r="M134" s="114"/>
      <c r="N134" s="49"/>
      <c r="O134" s="114"/>
      <c r="P134" s="49"/>
      <c r="Q134" s="113"/>
      <c r="R134" s="49"/>
      <c r="S134" s="113"/>
      <c r="T134" s="49"/>
      <c r="U134" s="113">
        <f>U12</f>
        <v>109826806.36999999</v>
      </c>
      <c r="V134" s="49"/>
      <c r="W134" s="49"/>
      <c r="X134" s="49"/>
      <c r="Y134" s="49"/>
      <c r="Z134" s="49"/>
      <c r="AA134" s="49"/>
      <c r="AB134" s="49"/>
      <c r="AC134" s="49"/>
      <c r="AD134" s="49"/>
      <c r="AE134" s="96"/>
      <c r="AF134" s="96"/>
      <c r="AG134" s="49"/>
      <c r="AH134" s="49"/>
      <c r="AI134" s="49"/>
      <c r="AJ134" s="49"/>
      <c r="AK134" s="49"/>
      <c r="AL134" s="49"/>
      <c r="AM134" s="96"/>
      <c r="AN134" s="96"/>
      <c r="AO134" s="96"/>
      <c r="AP134" s="96"/>
      <c r="AQ134" s="96"/>
      <c r="AR134" s="96"/>
      <c r="AS134" s="96"/>
      <c r="AT134" s="96"/>
      <c r="AU134" s="96"/>
      <c r="AV134" s="96"/>
      <c r="AW134" s="96"/>
      <c r="AX134" s="96"/>
      <c r="AY134" s="96"/>
      <c r="AZ134" s="96"/>
      <c r="BA134" s="96"/>
      <c r="BB134" s="96"/>
      <c r="BC134" s="96"/>
      <c r="BD134" s="96"/>
      <c r="BE134" s="96"/>
      <c r="BF134" s="96"/>
      <c r="BG134" s="96"/>
      <c r="BH134" s="96"/>
      <c r="BI134" s="96"/>
    </row>
    <row r="135" spans="1:61" s="3" customFormat="1" x14ac:dyDescent="0.2">
      <c r="A135" s="19"/>
      <c r="C135" s="50" t="s">
        <v>16</v>
      </c>
      <c r="D135" s="10"/>
      <c r="G135" s="51"/>
      <c r="H135" s="8"/>
      <c r="I135" s="1"/>
      <c r="J135" s="4"/>
      <c r="K135" s="1"/>
      <c r="L135" s="4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8"/>
      <c r="X135" s="1"/>
      <c r="Y135" s="18"/>
      <c r="Z135" s="96"/>
      <c r="AA135" s="18"/>
      <c r="AB135" s="18"/>
      <c r="AC135" s="18"/>
      <c r="AD135" s="18"/>
      <c r="AE135" s="96"/>
      <c r="AF135" s="96"/>
      <c r="AG135" s="96"/>
      <c r="AH135" s="96"/>
      <c r="AI135" s="1"/>
      <c r="AJ135" s="1"/>
      <c r="AK135" s="1"/>
      <c r="AL135" s="1"/>
      <c r="AM135" s="96"/>
      <c r="AN135" s="96"/>
      <c r="AO135" s="96"/>
      <c r="AP135" s="96"/>
      <c r="AQ135" s="96"/>
      <c r="AR135" s="96"/>
      <c r="AS135" s="96"/>
      <c r="AT135" s="96"/>
      <c r="AU135" s="96"/>
      <c r="AV135" s="96"/>
      <c r="AW135" s="96"/>
      <c r="AX135" s="96"/>
      <c r="AY135" s="96"/>
      <c r="AZ135" s="96"/>
      <c r="BA135" s="96"/>
      <c r="BB135" s="96"/>
      <c r="BC135" s="96"/>
      <c r="BD135" s="96"/>
      <c r="BE135" s="96"/>
      <c r="BF135" s="96"/>
      <c r="BG135" s="96"/>
      <c r="BH135" s="96"/>
      <c r="BI135" s="96"/>
    </row>
    <row r="136" spans="1:61" x14ac:dyDescent="0.2">
      <c r="A136" s="52" t="s">
        <v>9</v>
      </c>
      <c r="B136" s="47"/>
      <c r="D136" s="10"/>
      <c r="G136" s="53"/>
      <c r="I136" s="110"/>
      <c r="W136" s="48"/>
      <c r="Y136" s="48"/>
      <c r="Z136" s="117"/>
      <c r="AA136" s="117"/>
      <c r="AB136" s="117"/>
      <c r="AC136" s="48"/>
      <c r="AD136" s="48"/>
      <c r="AE136" s="48"/>
      <c r="AF136" s="48"/>
      <c r="AG136" s="117"/>
      <c r="AH136" s="117"/>
      <c r="AI136" s="53"/>
      <c r="AJ136" s="53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  <c r="BF136" s="48"/>
      <c r="BG136" s="48"/>
      <c r="BH136" s="48"/>
      <c r="BI136" s="48"/>
    </row>
    <row r="137" spans="1:61" s="14" customFormat="1" x14ac:dyDescent="0.2">
      <c r="A137" s="19"/>
      <c r="C137" s="2" t="s">
        <v>2</v>
      </c>
      <c r="D137" s="10"/>
      <c r="E137" s="14" t="s">
        <v>6</v>
      </c>
      <c r="G137" s="86">
        <f>SUM(I137:AG137)</f>
        <v>1</v>
      </c>
      <c r="H137" s="87"/>
      <c r="I137" s="88">
        <f>1-SUM(K137:BF137)</f>
        <v>0.14780000000000004</v>
      </c>
      <c r="J137" s="87"/>
      <c r="K137" s="86">
        <f>ROUND(K132/$G$10,4)</f>
        <v>0</v>
      </c>
      <c r="L137" s="87"/>
      <c r="M137" s="86">
        <f>ROUND(M132/$G132,4)</f>
        <v>0</v>
      </c>
      <c r="N137" s="90"/>
      <c r="O137" s="86">
        <f>ROUND(O132/$G132,4)</f>
        <v>0</v>
      </c>
      <c r="P137" s="90"/>
      <c r="Q137" s="86">
        <f>ROUND(Q132/$G132,4)</f>
        <v>0</v>
      </c>
      <c r="R137" s="90"/>
      <c r="S137" s="86">
        <f>ROUND(S132/$G132,4)</f>
        <v>0</v>
      </c>
      <c r="T137" s="90"/>
      <c r="U137" s="86">
        <f>ROUND(U132/$G132,4)</f>
        <v>0.85219999999999996</v>
      </c>
      <c r="V137" s="90"/>
      <c r="W137" s="90"/>
      <c r="X137" s="90"/>
      <c r="Y137" s="90"/>
      <c r="Z137" s="16"/>
      <c r="AA137" s="90"/>
      <c r="AB137" s="90"/>
      <c r="AC137" s="90"/>
      <c r="AD137" s="90"/>
      <c r="AE137" s="16"/>
      <c r="AF137" s="16"/>
      <c r="AG137" s="16"/>
      <c r="AH137" s="16"/>
      <c r="AI137" s="90"/>
      <c r="AJ137" s="90"/>
      <c r="AK137" s="90"/>
      <c r="AL137" s="90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</row>
    <row r="138" spans="1:61" s="14" customFormat="1" x14ac:dyDescent="0.2">
      <c r="A138" s="19"/>
      <c r="C138" s="3" t="s">
        <v>4</v>
      </c>
      <c r="D138" s="10"/>
      <c r="E138" s="14" t="s">
        <v>6</v>
      </c>
      <c r="G138" s="89">
        <f>SUM(I138:AG138)</f>
        <v>1</v>
      </c>
      <c r="H138" s="87"/>
      <c r="I138" s="88">
        <f>1-SUM(K138:BF138)</f>
        <v>0.15869999999999995</v>
      </c>
      <c r="J138" s="87"/>
      <c r="K138" s="86">
        <f>ROUND(K133/$G$11,4)</f>
        <v>0</v>
      </c>
      <c r="L138" s="87"/>
      <c r="M138" s="86">
        <f>ROUND(M133/$G133,4)</f>
        <v>0</v>
      </c>
      <c r="N138" s="90"/>
      <c r="O138" s="86">
        <f>ROUND(O133/$G133,4)</f>
        <v>0</v>
      </c>
      <c r="P138" s="90"/>
      <c r="Q138" s="86">
        <f>ROUND(Q133/$G133,4)</f>
        <v>0</v>
      </c>
      <c r="R138" s="90"/>
      <c r="S138" s="86">
        <f>ROUND(S133/$G133,4)</f>
        <v>0</v>
      </c>
      <c r="T138" s="90"/>
      <c r="U138" s="86">
        <f>ROUND(U133/$G133,4)</f>
        <v>0.84130000000000005</v>
      </c>
      <c r="V138" s="90"/>
      <c r="W138" s="90"/>
      <c r="X138" s="90"/>
      <c r="Y138" s="90"/>
      <c r="Z138" s="16"/>
      <c r="AA138" s="90"/>
      <c r="AB138" s="90"/>
      <c r="AC138" s="90"/>
      <c r="AD138" s="90"/>
      <c r="AE138" s="16"/>
      <c r="AF138" s="16"/>
      <c r="AG138" s="16"/>
      <c r="AH138" s="16"/>
      <c r="AI138" s="90"/>
      <c r="AJ138" s="90"/>
      <c r="AK138" s="90"/>
      <c r="AL138" s="90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</row>
    <row r="139" spans="1:61" s="14" customFormat="1" x14ac:dyDescent="0.2">
      <c r="A139" s="19"/>
      <c r="C139" s="2" t="s">
        <v>7</v>
      </c>
      <c r="D139" s="10"/>
      <c r="E139" s="14" t="s">
        <v>6</v>
      </c>
      <c r="G139" s="89">
        <f>SUM(I139:AG139)</f>
        <v>1</v>
      </c>
      <c r="H139" s="87"/>
      <c r="I139" s="88">
        <f>1-SUM(K139:BF139)</f>
        <v>0.21460000000000001</v>
      </c>
      <c r="J139" s="87"/>
      <c r="K139" s="86">
        <f>ROUND(K134/$G134,4)</f>
        <v>0</v>
      </c>
      <c r="L139" s="87"/>
      <c r="M139" s="86">
        <f>ROUND(M134/$G134,4)</f>
        <v>0</v>
      </c>
      <c r="N139" s="90"/>
      <c r="O139" s="86">
        <f>ROUND(O134/$G134,4)</f>
        <v>0</v>
      </c>
      <c r="P139" s="90"/>
      <c r="Q139" s="86">
        <f>ROUND(Q134/$G134,4)</f>
        <v>0</v>
      </c>
      <c r="R139" s="90"/>
      <c r="S139" s="86">
        <f>ROUND(S134/$G134,4)</f>
        <v>0</v>
      </c>
      <c r="T139" s="90"/>
      <c r="U139" s="86">
        <f>ROUND(U134/$G134,4)</f>
        <v>0.78539999999999999</v>
      </c>
      <c r="V139" s="90"/>
      <c r="W139" s="90"/>
      <c r="X139" s="90"/>
      <c r="Y139" s="90"/>
      <c r="Z139" s="16"/>
      <c r="AA139" s="90"/>
      <c r="AB139" s="90"/>
      <c r="AC139" s="90"/>
      <c r="AD139" s="90"/>
      <c r="AE139" s="16"/>
      <c r="AF139" s="16"/>
      <c r="AG139" s="16"/>
      <c r="AH139" s="16"/>
      <c r="AI139" s="90"/>
      <c r="AJ139" s="90"/>
      <c r="AK139" s="90"/>
      <c r="AL139" s="90"/>
      <c r="AM139" s="16"/>
      <c r="AN139" s="16"/>
      <c r="AO139" s="16"/>
      <c r="AP139" s="16"/>
      <c r="AQ139" s="16"/>
      <c r="AR139" s="16"/>
      <c r="AS139" s="16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  <c r="BF139" s="16"/>
      <c r="BG139" s="16"/>
      <c r="BH139" s="16"/>
      <c r="BI139" s="16"/>
    </row>
    <row r="140" spans="1:61" s="14" customFormat="1" x14ac:dyDescent="0.2">
      <c r="A140" s="19"/>
      <c r="C140" s="54"/>
      <c r="D140" s="10"/>
      <c r="G140" s="90"/>
      <c r="H140" s="90"/>
      <c r="I140" s="91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16"/>
      <c r="AA140" s="90"/>
      <c r="AB140" s="90"/>
      <c r="AC140" s="90"/>
      <c r="AD140" s="90"/>
      <c r="AE140" s="16"/>
      <c r="AF140" s="16"/>
      <c r="AG140" s="16"/>
      <c r="AH140" s="16"/>
      <c r="AI140" s="90"/>
      <c r="AJ140" s="90"/>
      <c r="AK140" s="90"/>
      <c r="AL140" s="90"/>
      <c r="AM140" s="16"/>
      <c r="AN140" s="16"/>
      <c r="AO140" s="16"/>
      <c r="AP140" s="16"/>
      <c r="AQ140" s="16"/>
      <c r="AR140" s="16"/>
      <c r="AS140" s="16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  <c r="BF140" s="16"/>
      <c r="BG140" s="16"/>
      <c r="BH140" s="16"/>
      <c r="BI140" s="16"/>
    </row>
    <row r="141" spans="1:61" s="14" customFormat="1" x14ac:dyDescent="0.2">
      <c r="A141" s="19"/>
      <c r="C141" s="123" t="str">
        <f>C19</f>
        <v>Total Composite Factor for FY 2015</v>
      </c>
      <c r="D141" s="10"/>
      <c r="E141" s="14" t="s">
        <v>6</v>
      </c>
      <c r="G141" s="86">
        <f>SUM(I141:AG141)</f>
        <v>1</v>
      </c>
      <c r="H141" s="87"/>
      <c r="I141" s="102">
        <f>1-SUM(K141:BF141)</f>
        <v>0.17369999999999997</v>
      </c>
      <c r="J141" s="103"/>
      <c r="K141" s="102">
        <f>ROUND(AVERAGE(K137:K139),4)</f>
        <v>0</v>
      </c>
      <c r="L141" s="103"/>
      <c r="M141" s="102">
        <f>ROUND(AVERAGE(M137:M139),4)</f>
        <v>0</v>
      </c>
      <c r="N141" s="104"/>
      <c r="O141" s="102">
        <f>ROUND(AVERAGE(O137:O139),4)</f>
        <v>0</v>
      </c>
      <c r="P141" s="104"/>
      <c r="Q141" s="102">
        <f>ROUND(AVERAGE(Q137:Q139),4)</f>
        <v>0</v>
      </c>
      <c r="R141" s="104"/>
      <c r="S141" s="102">
        <f>ROUND(AVERAGE(S137:S139),4)</f>
        <v>0</v>
      </c>
      <c r="T141" s="104"/>
      <c r="U141" s="102">
        <f>ROUND(AVERAGE(U137:U139),4)</f>
        <v>0.82630000000000003</v>
      </c>
      <c r="V141" s="111"/>
      <c r="W141" s="104"/>
      <c r="X141" s="91"/>
      <c r="Y141" s="104"/>
      <c r="Z141" s="91"/>
      <c r="AA141" s="104"/>
      <c r="AB141" s="104"/>
      <c r="AC141" s="104"/>
      <c r="AD141" s="104"/>
      <c r="AE141" s="16"/>
      <c r="AF141" s="16"/>
      <c r="AG141" s="91"/>
      <c r="AH141" s="91"/>
      <c r="AI141" s="104"/>
      <c r="AJ141" s="104"/>
      <c r="AK141" s="104"/>
      <c r="AL141" s="104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</row>
    <row r="145" spans="1:41" s="6" customFormat="1" ht="15.75" x14ac:dyDescent="0.25">
      <c r="A145" s="43"/>
      <c r="C145" s="236" t="s">
        <v>237</v>
      </c>
      <c r="E145" s="237"/>
      <c r="F145" s="237"/>
      <c r="G145" s="237"/>
      <c r="H145" s="237"/>
      <c r="I145" s="295" t="s">
        <v>238</v>
      </c>
      <c r="J145" s="239"/>
      <c r="K145" s="296" t="s">
        <v>239</v>
      </c>
      <c r="L145" s="239"/>
      <c r="M145" s="296" t="s">
        <v>240</v>
      </c>
      <c r="N145" s="300"/>
      <c r="O145" s="296" t="s">
        <v>240</v>
      </c>
      <c r="P145" s="240"/>
      <c r="Q145" s="296" t="s">
        <v>241</v>
      </c>
      <c r="R145" s="240"/>
      <c r="S145" s="296" t="s">
        <v>242</v>
      </c>
      <c r="T145" s="240"/>
      <c r="U145" s="302" t="s">
        <v>243</v>
      </c>
      <c r="V145" s="240"/>
      <c r="W145" s="239"/>
      <c r="X145" s="240"/>
      <c r="Y145" s="239"/>
      <c r="Z145" s="239"/>
      <c r="AA145" s="239"/>
      <c r="AB145" s="239"/>
      <c r="AC145" s="239"/>
      <c r="AD145" s="239"/>
      <c r="AE145" s="296" t="s">
        <v>244</v>
      </c>
    </row>
    <row r="146" spans="1:41" s="6" customFormat="1" ht="25.5" x14ac:dyDescent="0.2">
      <c r="A146" s="45"/>
      <c r="B146" s="46"/>
      <c r="C146" s="47"/>
      <c r="E146" s="20"/>
      <c r="G146" s="7" t="s">
        <v>1</v>
      </c>
      <c r="I146" s="83" t="s">
        <v>13</v>
      </c>
      <c r="K146" s="7" t="s">
        <v>10</v>
      </c>
      <c r="M146" s="7" t="s">
        <v>11</v>
      </c>
      <c r="N146" s="20"/>
      <c r="O146" s="7" t="s">
        <v>12</v>
      </c>
      <c r="P146" s="20"/>
      <c r="Q146" s="112" t="s">
        <v>83</v>
      </c>
      <c r="R146" s="20"/>
      <c r="S146" s="7" t="s">
        <v>82</v>
      </c>
      <c r="T146" s="20"/>
      <c r="U146" s="7" t="s">
        <v>14</v>
      </c>
      <c r="V146" s="20"/>
      <c r="W146" s="139"/>
      <c r="X146" s="20"/>
      <c r="Y146" s="20"/>
      <c r="Z146" s="20"/>
      <c r="AA146" s="139"/>
      <c r="AB146" s="139"/>
      <c r="AC146" s="139"/>
      <c r="AD146" s="139"/>
      <c r="AE146" s="7"/>
      <c r="AF146" s="20"/>
      <c r="AG146" s="20"/>
      <c r="AH146" s="20"/>
      <c r="AI146" s="139"/>
      <c r="AJ146" s="139"/>
      <c r="AK146" s="139"/>
      <c r="AL146" s="139"/>
      <c r="AM146" s="20"/>
      <c r="AN146" s="20"/>
      <c r="AO146" s="20"/>
    </row>
    <row r="147" spans="1:41" x14ac:dyDescent="0.2">
      <c r="G147" s="48"/>
      <c r="H147" s="48"/>
      <c r="I147" s="49"/>
      <c r="W147" s="48"/>
      <c r="Y147" s="48"/>
      <c r="Z147" s="117"/>
      <c r="AA147" s="117"/>
      <c r="AB147" s="117"/>
      <c r="AC147" s="48"/>
      <c r="AD147" s="48"/>
      <c r="AG147" s="117"/>
      <c r="AH147" s="117"/>
      <c r="AI147" s="48"/>
      <c r="AJ147" s="48"/>
      <c r="AK147" s="48"/>
      <c r="AL147" s="48"/>
      <c r="AM147" s="48"/>
      <c r="AN147" s="48"/>
      <c r="AO147" s="48"/>
    </row>
    <row r="148" spans="1:41" s="3" customFormat="1" x14ac:dyDescent="0.2">
      <c r="A148" s="19"/>
      <c r="C148" s="2" t="s">
        <v>2</v>
      </c>
      <c r="D148" s="10"/>
      <c r="E148" s="3" t="s">
        <v>3</v>
      </c>
      <c r="G148" s="84">
        <f>SUM(I148:AG148)</f>
        <v>6699671057.1099997</v>
      </c>
      <c r="H148" s="49"/>
      <c r="I148" s="113">
        <f>I10</f>
        <v>588658574.24000001</v>
      </c>
      <c r="J148" s="8"/>
      <c r="K148" s="113">
        <f>K10</f>
        <v>522666021.57000005</v>
      </c>
      <c r="L148" s="8"/>
      <c r="M148" s="113">
        <f>M10</f>
        <v>196802776</v>
      </c>
      <c r="N148" s="49"/>
      <c r="O148" s="113">
        <f>O10</f>
        <v>532048476.17000002</v>
      </c>
      <c r="P148" s="49"/>
      <c r="Q148" s="113">
        <f>Q10</f>
        <v>946876781.34000003</v>
      </c>
      <c r="R148" s="49"/>
      <c r="S148" s="113">
        <f>S10</f>
        <v>494873746.19999999</v>
      </c>
      <c r="T148" s="49"/>
      <c r="U148" s="113">
        <f>U10</f>
        <v>3393212542.6799998</v>
      </c>
      <c r="V148" s="49"/>
      <c r="W148" s="49"/>
      <c r="X148" s="49"/>
      <c r="Y148" s="49"/>
      <c r="Z148" s="49"/>
      <c r="AA148" s="49"/>
      <c r="AB148" s="49"/>
      <c r="AC148" s="49"/>
      <c r="AD148" s="49"/>
      <c r="AE148" s="113">
        <f>AE10</f>
        <v>24532138.91</v>
      </c>
      <c r="AF148" s="49"/>
      <c r="AG148" s="49"/>
      <c r="AH148" s="49"/>
      <c r="AI148" s="49"/>
      <c r="AJ148" s="49"/>
      <c r="AK148" s="49"/>
      <c r="AL148" s="49"/>
      <c r="AM148" s="96"/>
      <c r="AN148" s="96"/>
      <c r="AO148" s="96"/>
    </row>
    <row r="149" spans="1:41" s="3" customFormat="1" x14ac:dyDescent="0.2">
      <c r="A149" s="19"/>
      <c r="C149" s="3" t="s">
        <v>4</v>
      </c>
      <c r="D149" s="10"/>
      <c r="E149" s="3" t="s">
        <v>5</v>
      </c>
      <c r="G149" s="85">
        <f>SUM(I149:AG149)</f>
        <v>3060530.166666667</v>
      </c>
      <c r="H149" s="49"/>
      <c r="I149" s="114">
        <f>I11</f>
        <v>299552.75</v>
      </c>
      <c r="J149" s="8"/>
      <c r="K149" s="113">
        <f>K11</f>
        <v>243083.75</v>
      </c>
      <c r="L149" s="8"/>
      <c r="M149" s="113">
        <f>M11</f>
        <v>74692.75</v>
      </c>
      <c r="N149" s="49"/>
      <c r="O149" s="113">
        <f>O11</f>
        <v>272260.41666666669</v>
      </c>
      <c r="P149" s="49"/>
      <c r="Q149" s="113">
        <f>Q11</f>
        <v>332626.25</v>
      </c>
      <c r="R149" s="49"/>
      <c r="S149" s="113">
        <f>S11</f>
        <v>250173.33333333334</v>
      </c>
      <c r="T149" s="49"/>
      <c r="U149" s="113">
        <f>U11</f>
        <v>1588125.9166666667</v>
      </c>
      <c r="V149" s="49"/>
      <c r="W149" s="49"/>
      <c r="X149" s="49"/>
      <c r="Y149" s="49"/>
      <c r="Z149" s="49"/>
      <c r="AA149" s="49"/>
      <c r="AB149" s="49"/>
      <c r="AC149" s="49"/>
      <c r="AD149" s="49"/>
      <c r="AE149" s="113">
        <f>AE11</f>
        <v>15</v>
      </c>
      <c r="AF149" s="49"/>
      <c r="AG149" s="49"/>
      <c r="AH149" s="49"/>
      <c r="AI149" s="49"/>
      <c r="AJ149" s="49"/>
      <c r="AK149" s="49"/>
      <c r="AL149" s="49"/>
      <c r="AM149" s="96"/>
      <c r="AN149" s="96"/>
      <c r="AO149" s="96"/>
    </row>
    <row r="150" spans="1:41" s="3" customFormat="1" x14ac:dyDescent="0.2">
      <c r="A150" s="19"/>
      <c r="C150" s="2" t="s">
        <v>15</v>
      </c>
      <c r="D150" s="10"/>
      <c r="E150" s="3" t="s">
        <v>3</v>
      </c>
      <c r="G150" s="84">
        <f>SUM(I150:AG150)</f>
        <v>268722855.01999998</v>
      </c>
      <c r="H150" s="49"/>
      <c r="I150" s="114">
        <f>I12</f>
        <v>30013523.280000005</v>
      </c>
      <c r="J150" s="8"/>
      <c r="K150" s="113">
        <f>K12</f>
        <v>24974685.020000003</v>
      </c>
      <c r="L150" s="8"/>
      <c r="M150" s="114">
        <f>M12</f>
        <v>8753909.0500000007</v>
      </c>
      <c r="N150" s="49"/>
      <c r="O150" s="114">
        <f>O12</f>
        <v>22587102.66</v>
      </c>
      <c r="P150" s="49"/>
      <c r="Q150" s="113">
        <f>Q12</f>
        <v>38004205.259999998</v>
      </c>
      <c r="R150" s="49"/>
      <c r="S150" s="113">
        <f>S12</f>
        <v>33429741.43</v>
      </c>
      <c r="T150" s="49"/>
      <c r="U150" s="113">
        <f>U12</f>
        <v>109826806.36999999</v>
      </c>
      <c r="V150" s="49"/>
      <c r="W150" s="49"/>
      <c r="X150" s="49"/>
      <c r="Y150" s="49"/>
      <c r="Z150" s="49"/>
      <c r="AA150" s="49"/>
      <c r="AB150" s="49"/>
      <c r="AC150" s="49"/>
      <c r="AD150" s="49"/>
      <c r="AE150" s="113">
        <f>AE12</f>
        <v>1132881.9500000002</v>
      </c>
      <c r="AF150" s="49"/>
      <c r="AG150" s="49"/>
      <c r="AH150" s="49"/>
      <c r="AI150" s="49"/>
      <c r="AJ150" s="49"/>
      <c r="AK150" s="49"/>
      <c r="AL150" s="49"/>
      <c r="AM150" s="96"/>
      <c r="AN150" s="96"/>
      <c r="AO150" s="96"/>
    </row>
    <row r="151" spans="1:41" s="3" customFormat="1" x14ac:dyDescent="0.2">
      <c r="A151" s="19"/>
      <c r="C151" s="50" t="s">
        <v>16</v>
      </c>
      <c r="D151" s="10"/>
      <c r="G151" s="51"/>
      <c r="H151" s="8"/>
      <c r="I151" s="1"/>
      <c r="J151" s="4"/>
      <c r="K151" s="1"/>
      <c r="L151" s="4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8"/>
      <c r="X151" s="1"/>
      <c r="Y151" s="18"/>
      <c r="Z151" s="96"/>
      <c r="AA151" s="18"/>
      <c r="AB151" s="18"/>
      <c r="AC151" s="18"/>
      <c r="AD151" s="18"/>
      <c r="AE151" s="1"/>
      <c r="AF151" s="1"/>
      <c r="AG151" s="96"/>
      <c r="AH151" s="96"/>
      <c r="AI151" s="1"/>
      <c r="AJ151" s="1"/>
      <c r="AK151" s="1"/>
      <c r="AL151" s="1"/>
      <c r="AM151" s="96"/>
      <c r="AN151" s="96"/>
      <c r="AO151" s="96"/>
    </row>
    <row r="152" spans="1:41" x14ac:dyDescent="0.2">
      <c r="A152" s="52" t="s">
        <v>9</v>
      </c>
      <c r="B152" s="47"/>
      <c r="D152" s="10"/>
      <c r="G152" s="53"/>
      <c r="I152" s="110"/>
      <c r="W152" s="48"/>
      <c r="Y152" s="48"/>
      <c r="Z152" s="117"/>
      <c r="AA152" s="117"/>
      <c r="AB152" s="117"/>
      <c r="AC152" s="48"/>
      <c r="AD152" s="48"/>
      <c r="AG152" s="117"/>
      <c r="AH152" s="117"/>
      <c r="AI152" s="53"/>
      <c r="AJ152" s="53"/>
      <c r="AK152" s="48"/>
      <c r="AL152" s="48"/>
      <c r="AM152" s="48"/>
      <c r="AN152" s="48"/>
      <c r="AO152" s="48"/>
    </row>
    <row r="153" spans="1:41" s="14" customFormat="1" x14ac:dyDescent="0.2">
      <c r="A153" s="19"/>
      <c r="C153" s="2" t="s">
        <v>2</v>
      </c>
      <c r="D153" s="10"/>
      <c r="E153" s="14" t="s">
        <v>6</v>
      </c>
      <c r="G153" s="86">
        <f>SUM(I153:AG153)</f>
        <v>1</v>
      </c>
      <c r="H153" s="87"/>
      <c r="I153" s="88">
        <f>1-SUM(K153:BF153)</f>
        <v>0.10450000000000004</v>
      </c>
      <c r="J153" s="87"/>
      <c r="K153" s="86">
        <f>ROUND(K148/$G$10,4)</f>
        <v>6.13E-2</v>
      </c>
      <c r="L153" s="87"/>
      <c r="M153" s="86">
        <f>ROUND(M148/$G148,4)</f>
        <v>2.9399999999999999E-2</v>
      </c>
      <c r="N153" s="90"/>
      <c r="O153" s="86">
        <f>ROUND(O148/$G148,4)</f>
        <v>7.9399999999999998E-2</v>
      </c>
      <c r="P153" s="90"/>
      <c r="Q153" s="86">
        <f>ROUND(Q148/$G148,4)</f>
        <v>0.14130000000000001</v>
      </c>
      <c r="R153" s="90"/>
      <c r="S153" s="86">
        <f>ROUND(S148/$G148,4)</f>
        <v>7.3899999999999993E-2</v>
      </c>
      <c r="T153" s="90"/>
      <c r="U153" s="86">
        <f>ROUND(U148/$G148,4)</f>
        <v>0.50649999999999995</v>
      </c>
      <c r="V153" s="90"/>
      <c r="W153" s="90"/>
      <c r="X153" s="90"/>
      <c r="Y153" s="90"/>
      <c r="Z153" s="16"/>
      <c r="AA153" s="90"/>
      <c r="AB153" s="90"/>
      <c r="AC153" s="90"/>
      <c r="AD153" s="90"/>
      <c r="AE153" s="86">
        <f>ROUND(AE148/$G148,4)</f>
        <v>3.7000000000000002E-3</v>
      </c>
      <c r="AF153" s="90"/>
      <c r="AG153" s="16"/>
      <c r="AH153" s="16"/>
      <c r="AI153" s="90"/>
      <c r="AJ153" s="90"/>
      <c r="AK153" s="90"/>
      <c r="AL153" s="90"/>
      <c r="AM153" s="16"/>
      <c r="AN153" s="16"/>
      <c r="AO153" s="16"/>
    </row>
    <row r="154" spans="1:41" s="14" customFormat="1" x14ac:dyDescent="0.2">
      <c r="A154" s="19"/>
      <c r="C154" s="3" t="s">
        <v>4</v>
      </c>
      <c r="D154" s="10"/>
      <c r="E154" s="14" t="s">
        <v>6</v>
      </c>
      <c r="G154" s="89">
        <f>SUM(I154:AG154)</f>
        <v>1</v>
      </c>
      <c r="H154" s="87"/>
      <c r="I154" s="88">
        <f>1-SUM(K154:BF154)</f>
        <v>9.7899999999999987E-2</v>
      </c>
      <c r="J154" s="87"/>
      <c r="K154" s="86">
        <f>ROUND(K149/$G$11,4)</f>
        <v>7.9399999999999998E-2</v>
      </c>
      <c r="L154" s="87"/>
      <c r="M154" s="86">
        <f>ROUND(M149/$G149,4)</f>
        <v>2.4400000000000002E-2</v>
      </c>
      <c r="N154" s="90"/>
      <c r="O154" s="86">
        <f>ROUND(O149/$G149,4)</f>
        <v>8.8999999999999996E-2</v>
      </c>
      <c r="P154" s="90"/>
      <c r="Q154" s="86">
        <f>ROUND(Q149/$G149,4)</f>
        <v>0.1087</v>
      </c>
      <c r="R154" s="90"/>
      <c r="S154" s="86">
        <f>ROUND(S149/$G149,4)</f>
        <v>8.1699999999999995E-2</v>
      </c>
      <c r="T154" s="90"/>
      <c r="U154" s="86">
        <f>ROUND(U149/$G149,4)</f>
        <v>0.51890000000000003</v>
      </c>
      <c r="V154" s="90"/>
      <c r="W154" s="90"/>
      <c r="X154" s="90"/>
      <c r="Y154" s="90"/>
      <c r="Z154" s="16"/>
      <c r="AA154" s="90"/>
      <c r="AB154" s="90"/>
      <c r="AC154" s="90"/>
      <c r="AD154" s="90"/>
      <c r="AE154" s="86">
        <f>ROUND(AE149/$G149,4)</f>
        <v>0</v>
      </c>
      <c r="AF154" s="90"/>
      <c r="AG154" s="16"/>
      <c r="AH154" s="16"/>
      <c r="AI154" s="90"/>
      <c r="AJ154" s="90"/>
      <c r="AK154" s="90"/>
      <c r="AL154" s="90"/>
      <c r="AM154" s="16"/>
      <c r="AN154" s="16"/>
      <c r="AO154" s="16"/>
    </row>
    <row r="155" spans="1:41" s="14" customFormat="1" x14ac:dyDescent="0.2">
      <c r="A155" s="19"/>
      <c r="C155" s="2" t="s">
        <v>7</v>
      </c>
      <c r="D155" s="10"/>
      <c r="E155" s="14" t="s">
        <v>6</v>
      </c>
      <c r="G155" s="89">
        <f>SUM(I155:AG155)</f>
        <v>1</v>
      </c>
      <c r="H155" s="87"/>
      <c r="I155" s="88">
        <f>1-SUM(K155:BF155)</f>
        <v>0.11170000000000002</v>
      </c>
      <c r="J155" s="87"/>
      <c r="K155" s="86">
        <f>ROUND(K150/$G150,4)</f>
        <v>9.2899999999999996E-2</v>
      </c>
      <c r="L155" s="87"/>
      <c r="M155" s="86">
        <f>ROUND(M150/$G150,4)</f>
        <v>3.2599999999999997E-2</v>
      </c>
      <c r="N155" s="90"/>
      <c r="O155" s="86">
        <f>ROUND(O150/$G150,4)</f>
        <v>8.4099999999999994E-2</v>
      </c>
      <c r="P155" s="90"/>
      <c r="Q155" s="86">
        <f>ROUND(Q150/$G150,4)</f>
        <v>0.1414</v>
      </c>
      <c r="R155" s="90"/>
      <c r="S155" s="86">
        <f>ROUND(S150/$G150,4)</f>
        <v>0.1244</v>
      </c>
      <c r="T155" s="90"/>
      <c r="U155" s="86">
        <f>ROUND(U150/$G150,4)</f>
        <v>0.40870000000000001</v>
      </c>
      <c r="V155" s="90"/>
      <c r="W155" s="90"/>
      <c r="X155" s="90"/>
      <c r="Y155" s="90"/>
      <c r="Z155" s="16"/>
      <c r="AA155" s="90"/>
      <c r="AB155" s="90"/>
      <c r="AC155" s="90"/>
      <c r="AD155" s="90"/>
      <c r="AE155" s="86">
        <f>ROUND(AE150/$G150,4)</f>
        <v>4.1999999999999997E-3</v>
      </c>
      <c r="AF155" s="90"/>
      <c r="AG155" s="16"/>
      <c r="AH155" s="16"/>
      <c r="AI155" s="90"/>
      <c r="AJ155" s="90"/>
      <c r="AK155" s="90"/>
      <c r="AL155" s="90"/>
      <c r="AM155" s="16"/>
      <c r="AN155" s="16"/>
      <c r="AO155" s="16"/>
    </row>
    <row r="156" spans="1:41" s="14" customFormat="1" x14ac:dyDescent="0.2">
      <c r="A156" s="19"/>
      <c r="C156" s="54"/>
      <c r="D156" s="10"/>
      <c r="G156" s="90"/>
      <c r="H156" s="90"/>
      <c r="I156" s="91"/>
      <c r="J156" s="90"/>
      <c r="K156" s="90"/>
      <c r="L156" s="90"/>
      <c r="M156" s="90"/>
      <c r="N156" s="90"/>
      <c r="O156" s="90"/>
      <c r="P156" s="90"/>
      <c r="Q156" s="90"/>
      <c r="R156" s="90"/>
      <c r="S156" s="90"/>
      <c r="T156" s="90"/>
      <c r="U156" s="90"/>
      <c r="V156" s="90"/>
      <c r="W156" s="90"/>
      <c r="X156" s="90"/>
      <c r="Y156" s="90"/>
      <c r="Z156" s="16"/>
      <c r="AA156" s="90"/>
      <c r="AB156" s="90"/>
      <c r="AC156" s="90"/>
      <c r="AD156" s="90"/>
      <c r="AE156" s="90"/>
      <c r="AF156" s="90"/>
      <c r="AG156" s="16"/>
      <c r="AH156" s="16"/>
      <c r="AI156" s="90"/>
      <c r="AJ156" s="90"/>
      <c r="AK156" s="90"/>
      <c r="AL156" s="90"/>
      <c r="AM156" s="16"/>
      <c r="AN156" s="16"/>
      <c r="AO156" s="16"/>
    </row>
    <row r="157" spans="1:41" s="14" customFormat="1" x14ac:dyDescent="0.2">
      <c r="A157" s="19"/>
      <c r="C157" s="123" t="str">
        <f>C19</f>
        <v>Total Composite Factor for FY 2015</v>
      </c>
      <c r="D157" s="10"/>
      <c r="E157" s="14" t="s">
        <v>6</v>
      </c>
      <c r="G157" s="86">
        <f>SUM(I157:AG157)</f>
        <v>0.99999999999999989</v>
      </c>
      <c r="H157" s="87"/>
      <c r="I157" s="102">
        <f>1-SUM(K157:BF157)</f>
        <v>0.1046999999999999</v>
      </c>
      <c r="J157" s="103"/>
      <c r="K157" s="102">
        <f>ROUND(AVERAGE(K153:K155),4)</f>
        <v>7.7899999999999997E-2</v>
      </c>
      <c r="L157" s="103"/>
      <c r="M157" s="102">
        <f>ROUND(AVERAGE(M153:M155),4)</f>
        <v>2.8799999999999999E-2</v>
      </c>
      <c r="N157" s="104"/>
      <c r="O157" s="102">
        <f>ROUND(AVERAGE(O153:O155),4)</f>
        <v>8.4199999999999997E-2</v>
      </c>
      <c r="P157" s="104"/>
      <c r="Q157" s="102">
        <f>ROUND(AVERAGE(Q153:Q155),4)</f>
        <v>0.1305</v>
      </c>
      <c r="R157" s="104"/>
      <c r="S157" s="102">
        <f>ROUND(AVERAGE(S153:S155),4)</f>
        <v>9.3299999999999994E-2</v>
      </c>
      <c r="T157" s="104"/>
      <c r="U157" s="102">
        <f>ROUND(AVERAGE(U153:U155),4)</f>
        <v>0.47799999999999998</v>
      </c>
      <c r="V157" s="111"/>
      <c r="W157" s="104"/>
      <c r="X157" s="91"/>
      <c r="Y157" s="104"/>
      <c r="Z157" s="91"/>
      <c r="AA157" s="104"/>
      <c r="AB157" s="104"/>
      <c r="AC157" s="104"/>
      <c r="AD157" s="104"/>
      <c r="AE157" s="102">
        <f>ROUND(AVERAGE(AE153:AE155),4)</f>
        <v>2.5999999999999999E-3</v>
      </c>
      <c r="AF157" s="104"/>
      <c r="AG157" s="91"/>
      <c r="AH157" s="91"/>
      <c r="AI157" s="104"/>
      <c r="AJ157" s="104"/>
      <c r="AK157" s="104"/>
      <c r="AL157" s="104"/>
      <c r="AM157" s="16"/>
      <c r="AN157" s="16"/>
      <c r="AO157" s="16"/>
    </row>
    <row r="158" spans="1:41" x14ac:dyDescent="0.2">
      <c r="W158" s="48"/>
      <c r="Y158" s="48"/>
      <c r="Z158" s="117"/>
      <c r="AA158" s="117"/>
      <c r="AB158" s="117"/>
      <c r="AC158" s="48"/>
      <c r="AD158" s="48"/>
      <c r="AG158" s="117"/>
      <c r="AH158" s="117"/>
      <c r="AI158" s="48"/>
      <c r="AJ158" s="48"/>
      <c r="AK158" s="48"/>
      <c r="AL158" s="48"/>
      <c r="AM158" s="48"/>
      <c r="AN158" s="48"/>
      <c r="AO158" s="48"/>
    </row>
    <row r="161" spans="1:69" s="6" customFormat="1" ht="15.75" x14ac:dyDescent="0.25">
      <c r="A161" s="43"/>
      <c r="C161" s="136" t="s">
        <v>109</v>
      </c>
      <c r="D161" s="137"/>
      <c r="E161" s="138"/>
      <c r="I161" s="238"/>
      <c r="J161" s="239"/>
      <c r="K161" s="296" t="s">
        <v>234</v>
      </c>
      <c r="L161" s="239"/>
      <c r="M161" s="296" t="s">
        <v>235</v>
      </c>
      <c r="N161" s="300"/>
      <c r="O161" s="296" t="s">
        <v>235</v>
      </c>
      <c r="P161" s="240"/>
      <c r="Q161" s="239"/>
      <c r="R161" s="240"/>
      <c r="S161" s="296" t="s">
        <v>236</v>
      </c>
      <c r="T161" s="240"/>
      <c r="U161" s="239"/>
      <c r="V161" s="240"/>
      <c r="W161" s="239"/>
      <c r="X161" s="20"/>
    </row>
    <row r="162" spans="1:69" s="6" customFormat="1" ht="25.5" x14ac:dyDescent="0.2">
      <c r="A162" s="45" t="s">
        <v>8</v>
      </c>
      <c r="B162" s="46"/>
      <c r="C162" s="47"/>
      <c r="E162" s="20"/>
      <c r="G162" s="7" t="s">
        <v>1</v>
      </c>
      <c r="I162" s="83" t="s">
        <v>13</v>
      </c>
      <c r="K162" s="7" t="s">
        <v>10</v>
      </c>
      <c r="M162" s="7" t="s">
        <v>11</v>
      </c>
      <c r="N162" s="20"/>
      <c r="O162" s="7" t="s">
        <v>12</v>
      </c>
      <c r="P162" s="20"/>
      <c r="Q162" s="112" t="s">
        <v>83</v>
      </c>
      <c r="R162" s="20"/>
      <c r="S162" s="7" t="s">
        <v>82</v>
      </c>
      <c r="T162" s="20"/>
      <c r="U162" s="20"/>
      <c r="V162" s="20"/>
      <c r="W162" s="139"/>
      <c r="X162" s="20"/>
      <c r="Y162" s="20"/>
      <c r="Z162" s="20"/>
      <c r="AA162" s="139"/>
      <c r="AB162" s="139"/>
      <c r="AC162" s="139"/>
      <c r="AD162" s="139"/>
      <c r="AE162" s="20"/>
      <c r="AF162" s="20"/>
      <c r="AG162" s="20"/>
      <c r="AH162" s="20"/>
      <c r="AI162" s="139"/>
      <c r="AJ162" s="139"/>
      <c r="AK162" s="139"/>
      <c r="AL162" s="139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</row>
    <row r="163" spans="1:69" x14ac:dyDescent="0.2">
      <c r="G163" s="48"/>
      <c r="H163" s="48"/>
      <c r="I163" s="49"/>
      <c r="U163" s="48"/>
      <c r="W163" s="48"/>
      <c r="Y163" s="48"/>
      <c r="Z163" s="117"/>
      <c r="AA163" s="117"/>
      <c r="AB163" s="117"/>
      <c r="AC163" s="48"/>
      <c r="AD163" s="48"/>
      <c r="AE163" s="48"/>
      <c r="AF163" s="48"/>
      <c r="AG163" s="117"/>
      <c r="AH163" s="117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  <c r="BF163" s="48"/>
      <c r="BG163" s="48"/>
      <c r="BH163" s="48"/>
      <c r="BI163" s="48"/>
      <c r="BJ163" s="48"/>
      <c r="BK163" s="48"/>
      <c r="BL163" s="48"/>
      <c r="BM163" s="48"/>
      <c r="BN163" s="48"/>
      <c r="BO163" s="48"/>
      <c r="BP163" s="48"/>
      <c r="BQ163" s="48"/>
    </row>
    <row r="164" spans="1:69" s="3" customFormat="1" x14ac:dyDescent="0.2">
      <c r="A164" s="19"/>
      <c r="C164" s="2" t="s">
        <v>2</v>
      </c>
      <c r="D164" s="10"/>
      <c r="E164" s="3" t="s">
        <v>3</v>
      </c>
      <c r="G164" s="84">
        <f>SUM(I164:AG164)</f>
        <v>1746391019.9400001</v>
      </c>
      <c r="H164" s="49"/>
      <c r="I164" s="113"/>
      <c r="J164" s="8"/>
      <c r="K164" s="113">
        <f>K10</f>
        <v>522666021.57000005</v>
      </c>
      <c r="L164" s="8"/>
      <c r="M164" s="113">
        <f>M10</f>
        <v>196802776</v>
      </c>
      <c r="N164" s="49"/>
      <c r="O164" s="113">
        <f>O10</f>
        <v>532048476.17000002</v>
      </c>
      <c r="P164" s="49"/>
      <c r="Q164" s="113"/>
      <c r="R164" s="49"/>
      <c r="S164" s="113">
        <f>S10</f>
        <v>494873746.19999999</v>
      </c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96"/>
      <c r="AF164" s="96"/>
      <c r="AG164" s="49"/>
      <c r="AH164" s="49"/>
      <c r="AI164" s="49"/>
      <c r="AJ164" s="49"/>
      <c r="AK164" s="49"/>
      <c r="AL164" s="49"/>
      <c r="AM164" s="96"/>
      <c r="AN164" s="96"/>
      <c r="AO164" s="96"/>
      <c r="AP164" s="96"/>
      <c r="AQ164" s="96"/>
      <c r="AR164" s="96"/>
      <c r="AS164" s="96"/>
      <c r="AT164" s="96"/>
      <c r="AU164" s="96"/>
      <c r="AV164" s="96"/>
      <c r="AW164" s="96"/>
      <c r="AX164" s="96"/>
      <c r="AY164" s="96"/>
      <c r="AZ164" s="96"/>
      <c r="BA164" s="96"/>
      <c r="BB164" s="96"/>
      <c r="BC164" s="96"/>
      <c r="BD164" s="96"/>
      <c r="BE164" s="96"/>
      <c r="BF164" s="96"/>
      <c r="BG164" s="96"/>
      <c r="BH164" s="96"/>
      <c r="BI164" s="96"/>
      <c r="BJ164" s="96"/>
      <c r="BK164" s="96"/>
      <c r="BL164" s="96"/>
      <c r="BM164" s="96"/>
      <c r="BN164" s="96"/>
      <c r="BO164" s="96"/>
      <c r="BP164" s="96"/>
      <c r="BQ164" s="96"/>
    </row>
    <row r="165" spans="1:69" s="3" customFormat="1" x14ac:dyDescent="0.2">
      <c r="A165" s="19"/>
      <c r="C165" s="3" t="s">
        <v>4</v>
      </c>
      <c r="D165" s="10"/>
      <c r="E165" s="3" t="s">
        <v>5</v>
      </c>
      <c r="G165" s="85">
        <f>SUM(I165:AG165)</f>
        <v>840210.25000000012</v>
      </c>
      <c r="H165" s="49"/>
      <c r="I165" s="114"/>
      <c r="J165" s="8"/>
      <c r="K165" s="113">
        <f>K11</f>
        <v>243083.75</v>
      </c>
      <c r="L165" s="8"/>
      <c r="M165" s="113">
        <f>M11</f>
        <v>74692.75</v>
      </c>
      <c r="N165" s="49"/>
      <c r="O165" s="113">
        <f>O11</f>
        <v>272260.41666666669</v>
      </c>
      <c r="P165" s="49"/>
      <c r="Q165" s="113"/>
      <c r="R165" s="49"/>
      <c r="S165" s="113">
        <f>S11</f>
        <v>250173.33333333334</v>
      </c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96"/>
      <c r="AF165" s="96"/>
      <c r="AG165" s="49"/>
      <c r="AH165" s="49"/>
      <c r="AI165" s="49"/>
      <c r="AJ165" s="49"/>
      <c r="AK165" s="49"/>
      <c r="AL165" s="49"/>
      <c r="AM165" s="96"/>
      <c r="AN165" s="96"/>
      <c r="AO165" s="96"/>
      <c r="AP165" s="96"/>
      <c r="AQ165" s="96"/>
      <c r="AR165" s="96"/>
      <c r="AS165" s="96"/>
      <c r="AT165" s="96"/>
      <c r="AU165" s="96"/>
      <c r="AV165" s="96"/>
      <c r="AW165" s="96"/>
      <c r="AX165" s="96"/>
      <c r="AY165" s="96"/>
      <c r="AZ165" s="96"/>
      <c r="BA165" s="96"/>
      <c r="BB165" s="96"/>
      <c r="BC165" s="96"/>
      <c r="BD165" s="96"/>
      <c r="BE165" s="96"/>
      <c r="BF165" s="96"/>
      <c r="BG165" s="96"/>
      <c r="BH165" s="96"/>
      <c r="BI165" s="96"/>
      <c r="BJ165" s="96"/>
      <c r="BK165" s="96"/>
      <c r="BL165" s="96"/>
      <c r="BM165" s="96"/>
      <c r="BN165" s="96"/>
      <c r="BO165" s="96"/>
      <c r="BP165" s="96"/>
      <c r="BQ165" s="96"/>
    </row>
    <row r="166" spans="1:69" s="3" customFormat="1" x14ac:dyDescent="0.2">
      <c r="A166" s="19"/>
      <c r="C166" s="2" t="s">
        <v>15</v>
      </c>
      <c r="D166" s="10"/>
      <c r="E166" s="3" t="s">
        <v>3</v>
      </c>
      <c r="G166" s="84">
        <f>SUM(I166:AG166)</f>
        <v>89745438.159999996</v>
      </c>
      <c r="H166" s="49"/>
      <c r="I166" s="114"/>
      <c r="J166" s="8"/>
      <c r="K166" s="113">
        <f>K12</f>
        <v>24974685.020000003</v>
      </c>
      <c r="L166" s="8"/>
      <c r="M166" s="114">
        <f>M12</f>
        <v>8753909.0500000007</v>
      </c>
      <c r="N166" s="49"/>
      <c r="O166" s="114">
        <f>O12</f>
        <v>22587102.66</v>
      </c>
      <c r="P166" s="49"/>
      <c r="Q166" s="113"/>
      <c r="R166" s="49"/>
      <c r="S166" s="113">
        <f>S12</f>
        <v>33429741.43</v>
      </c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96"/>
      <c r="AF166" s="96"/>
      <c r="AG166" s="49"/>
      <c r="AH166" s="49"/>
      <c r="AI166" s="49"/>
      <c r="AJ166" s="49"/>
      <c r="AK166" s="49"/>
      <c r="AL166" s="49"/>
      <c r="AM166" s="96"/>
      <c r="AN166" s="96"/>
      <c r="AO166" s="96"/>
      <c r="AP166" s="96"/>
      <c r="AQ166" s="96"/>
      <c r="AR166" s="96"/>
      <c r="AS166" s="96"/>
      <c r="AT166" s="96"/>
      <c r="AU166" s="96"/>
      <c r="AV166" s="96"/>
      <c r="AW166" s="96"/>
      <c r="AX166" s="96"/>
      <c r="AY166" s="96"/>
      <c r="AZ166" s="96"/>
      <c r="BA166" s="96"/>
      <c r="BB166" s="96"/>
      <c r="BC166" s="96"/>
      <c r="BD166" s="96"/>
      <c r="BE166" s="96"/>
      <c r="BF166" s="96"/>
      <c r="BG166" s="96"/>
      <c r="BH166" s="96"/>
      <c r="BI166" s="96"/>
      <c r="BJ166" s="96"/>
      <c r="BK166" s="96"/>
      <c r="BL166" s="96"/>
      <c r="BM166" s="96"/>
      <c r="BN166" s="96"/>
      <c r="BO166" s="96"/>
      <c r="BP166" s="96"/>
      <c r="BQ166" s="96"/>
    </row>
    <row r="167" spans="1:69" s="3" customFormat="1" x14ac:dyDescent="0.2">
      <c r="A167" s="19"/>
      <c r="C167" s="50" t="s">
        <v>16</v>
      </c>
      <c r="D167" s="10"/>
      <c r="G167" s="51"/>
      <c r="H167" s="8"/>
      <c r="I167" s="1"/>
      <c r="J167" s="4"/>
      <c r="K167" s="1"/>
      <c r="L167" s="4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8"/>
      <c r="X167" s="1"/>
      <c r="Y167" s="18"/>
      <c r="Z167" s="96"/>
      <c r="AA167" s="18"/>
      <c r="AB167" s="18"/>
      <c r="AC167" s="18"/>
      <c r="AD167" s="18"/>
      <c r="AE167" s="96"/>
      <c r="AF167" s="96"/>
      <c r="AG167" s="96"/>
      <c r="AH167" s="96"/>
      <c r="AI167" s="1"/>
      <c r="AJ167" s="1"/>
      <c r="AK167" s="1"/>
      <c r="AL167" s="1"/>
      <c r="AM167" s="96"/>
      <c r="AN167" s="96"/>
      <c r="AO167" s="96"/>
      <c r="AP167" s="96"/>
      <c r="AQ167" s="96"/>
      <c r="AR167" s="96"/>
      <c r="AS167" s="96"/>
      <c r="AT167" s="96"/>
      <c r="AU167" s="96"/>
      <c r="AV167" s="96"/>
      <c r="AW167" s="96"/>
      <c r="AX167" s="96"/>
      <c r="AY167" s="96"/>
      <c r="AZ167" s="96"/>
      <c r="BA167" s="96"/>
      <c r="BB167" s="96"/>
      <c r="BC167" s="96"/>
      <c r="BD167" s="96"/>
      <c r="BE167" s="96"/>
      <c r="BF167" s="96"/>
      <c r="BG167" s="96"/>
      <c r="BH167" s="96"/>
      <c r="BI167" s="96"/>
      <c r="BJ167" s="96"/>
      <c r="BK167" s="96"/>
      <c r="BL167" s="96"/>
      <c r="BM167" s="96"/>
      <c r="BN167" s="96"/>
      <c r="BO167" s="96"/>
      <c r="BP167" s="96"/>
      <c r="BQ167" s="96"/>
    </row>
    <row r="168" spans="1:69" x14ac:dyDescent="0.2">
      <c r="A168" s="52" t="s">
        <v>9</v>
      </c>
      <c r="B168" s="47"/>
      <c r="D168" s="10"/>
      <c r="G168" s="53"/>
      <c r="I168" s="110"/>
      <c r="U168" s="48"/>
      <c r="W168" s="48"/>
      <c r="Y168" s="48"/>
      <c r="Z168" s="117"/>
      <c r="AA168" s="117"/>
      <c r="AB168" s="117"/>
      <c r="AC168" s="48"/>
      <c r="AD168" s="48"/>
      <c r="AE168" s="48"/>
      <c r="AF168" s="48"/>
      <c r="AG168" s="117"/>
      <c r="AH168" s="117"/>
      <c r="AI168" s="53"/>
      <c r="AJ168" s="53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  <c r="BF168" s="48"/>
      <c r="BG168" s="48"/>
      <c r="BH168" s="48"/>
      <c r="BI168" s="48"/>
      <c r="BJ168" s="48"/>
      <c r="BK168" s="48"/>
      <c r="BL168" s="48"/>
      <c r="BM168" s="48"/>
      <c r="BN168" s="48"/>
      <c r="BO168" s="48"/>
      <c r="BP168" s="48"/>
      <c r="BQ168" s="48"/>
    </row>
    <row r="169" spans="1:69" s="14" customFormat="1" x14ac:dyDescent="0.2">
      <c r="A169" s="19"/>
      <c r="C169" s="2" t="s">
        <v>2</v>
      </c>
      <c r="D169" s="10"/>
      <c r="E169" s="14" t="s">
        <v>6</v>
      </c>
      <c r="G169" s="86">
        <f>SUM(I169:AG169)</f>
        <v>1</v>
      </c>
      <c r="H169" s="87"/>
      <c r="I169" s="86">
        <f>ROUND(I164/$G164,4)</f>
        <v>0</v>
      </c>
      <c r="J169" s="87"/>
      <c r="K169" s="86">
        <f>1-SUM(M169:BF169)</f>
        <v>0.29920000000000002</v>
      </c>
      <c r="L169" s="87"/>
      <c r="M169" s="86">
        <f>ROUND(M164/$G164,4)</f>
        <v>0.11269999999999999</v>
      </c>
      <c r="N169" s="90"/>
      <c r="O169" s="86">
        <f>ROUND(O164/$G164,4)</f>
        <v>0.30470000000000003</v>
      </c>
      <c r="P169" s="90"/>
      <c r="Q169" s="86">
        <f>ROUND(Q164/$G164,4)</f>
        <v>0</v>
      </c>
      <c r="R169" s="90"/>
      <c r="S169" s="86">
        <f>ROUND(S164/$G164,4)</f>
        <v>0.28339999999999999</v>
      </c>
      <c r="T169" s="90"/>
      <c r="U169" s="90"/>
      <c r="V169" s="90"/>
      <c r="W169" s="90"/>
      <c r="X169" s="90"/>
      <c r="Y169" s="90"/>
      <c r="Z169" s="16"/>
      <c r="AA169" s="90"/>
      <c r="AB169" s="90"/>
      <c r="AC169" s="90"/>
      <c r="AD169" s="90"/>
      <c r="AE169" s="16"/>
      <c r="AF169" s="16"/>
      <c r="AG169" s="16"/>
      <c r="AH169" s="16"/>
      <c r="AI169" s="90"/>
      <c r="AJ169" s="90"/>
      <c r="AK169" s="90"/>
      <c r="AL169" s="90"/>
      <c r="AM169" s="16"/>
      <c r="AN169" s="16"/>
      <c r="AO169" s="16"/>
      <c r="AP169" s="16"/>
      <c r="AQ169" s="16"/>
      <c r="AR169" s="16"/>
      <c r="AS169" s="16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  <c r="BF169" s="16"/>
      <c r="BG169" s="16"/>
      <c r="BH169" s="16"/>
      <c r="BI169" s="16"/>
      <c r="BJ169" s="16"/>
      <c r="BK169" s="16"/>
      <c r="BL169" s="16"/>
      <c r="BM169" s="16"/>
      <c r="BN169" s="16"/>
      <c r="BO169" s="16"/>
      <c r="BP169" s="16"/>
      <c r="BQ169" s="16"/>
    </row>
    <row r="170" spans="1:69" s="14" customFormat="1" x14ac:dyDescent="0.2">
      <c r="A170" s="19"/>
      <c r="C170" s="3" t="s">
        <v>4</v>
      </c>
      <c r="D170" s="10"/>
      <c r="E170" s="14" t="s">
        <v>6</v>
      </c>
      <c r="G170" s="89">
        <f>SUM(I170:AG170)</f>
        <v>1</v>
      </c>
      <c r="H170" s="87"/>
      <c r="I170" s="86">
        <f>ROUND(I165/$G165,4)</f>
        <v>0</v>
      </c>
      <c r="J170" s="87"/>
      <c r="K170" s="86">
        <f>1-SUM(M170:AK170)</f>
        <v>0.28929999999999989</v>
      </c>
      <c r="L170" s="87"/>
      <c r="M170" s="86">
        <f>ROUND(M165/$G165,4)</f>
        <v>8.8900000000000007E-2</v>
      </c>
      <c r="N170" s="90"/>
      <c r="O170" s="86">
        <f>ROUND(O165/$G165,4)</f>
        <v>0.32400000000000001</v>
      </c>
      <c r="P170" s="90"/>
      <c r="Q170" s="86">
        <f>ROUND(Q165/$G165,4)</f>
        <v>0</v>
      </c>
      <c r="R170" s="90"/>
      <c r="S170" s="86">
        <f>ROUND(S165/$G165,4)</f>
        <v>0.29780000000000001</v>
      </c>
      <c r="T170" s="90"/>
      <c r="U170" s="90"/>
      <c r="V170" s="90"/>
      <c r="W170" s="90"/>
      <c r="X170" s="90"/>
      <c r="Y170" s="90"/>
      <c r="Z170" s="16"/>
      <c r="AA170" s="90"/>
      <c r="AB170" s="90"/>
      <c r="AC170" s="90"/>
      <c r="AD170" s="90"/>
      <c r="AE170" s="16"/>
      <c r="AF170" s="16"/>
      <c r="AG170" s="16"/>
      <c r="AH170" s="16"/>
      <c r="AI170" s="90"/>
      <c r="AJ170" s="90"/>
      <c r="AK170" s="90"/>
      <c r="AL170" s="90"/>
      <c r="AM170" s="16"/>
      <c r="AN170" s="16"/>
      <c r="AO170" s="16"/>
      <c r="AP170" s="16"/>
      <c r="AQ170" s="16"/>
      <c r="AR170" s="16"/>
      <c r="AS170" s="16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  <c r="BF170" s="16"/>
      <c r="BG170" s="16"/>
      <c r="BH170" s="16"/>
      <c r="BI170" s="16"/>
      <c r="BJ170" s="16"/>
      <c r="BK170" s="16"/>
      <c r="BL170" s="16"/>
      <c r="BM170" s="16"/>
      <c r="BN170" s="16"/>
      <c r="BO170" s="16"/>
      <c r="BP170" s="16"/>
      <c r="BQ170" s="16"/>
    </row>
    <row r="171" spans="1:69" s="14" customFormat="1" x14ac:dyDescent="0.2">
      <c r="A171" s="19"/>
      <c r="C171" s="2" t="s">
        <v>7</v>
      </c>
      <c r="D171" s="10"/>
      <c r="E171" s="14" t="s">
        <v>6</v>
      </c>
      <c r="G171" s="89">
        <f>SUM(I171:AG171)</f>
        <v>1</v>
      </c>
      <c r="H171" s="87"/>
      <c r="I171" s="86">
        <f>ROUND(I166/$G166,4)</f>
        <v>0</v>
      </c>
      <c r="J171" s="87"/>
      <c r="K171" s="86">
        <f>1-SUM(M171:AK171)</f>
        <v>0.27829999999999999</v>
      </c>
      <c r="L171" s="87"/>
      <c r="M171" s="86">
        <f>ROUND(M166/$G166,4)</f>
        <v>9.7500000000000003E-2</v>
      </c>
      <c r="N171" s="90"/>
      <c r="O171" s="86">
        <f>ROUND(O166/$G166,4)</f>
        <v>0.25169999999999998</v>
      </c>
      <c r="P171" s="90"/>
      <c r="Q171" s="86">
        <f>ROUND(Q166/$G166,4)</f>
        <v>0</v>
      </c>
      <c r="R171" s="90"/>
      <c r="S171" s="86">
        <f>ROUND(S166/$G166,4)</f>
        <v>0.3725</v>
      </c>
      <c r="T171" s="90"/>
      <c r="U171" s="90"/>
      <c r="V171" s="90"/>
      <c r="W171" s="90"/>
      <c r="X171" s="90"/>
      <c r="Y171" s="90"/>
      <c r="Z171" s="16"/>
      <c r="AA171" s="90"/>
      <c r="AB171" s="90"/>
      <c r="AC171" s="90"/>
      <c r="AD171" s="90"/>
      <c r="AE171" s="16"/>
      <c r="AF171" s="16"/>
      <c r="AG171" s="16"/>
      <c r="AH171" s="16"/>
      <c r="AI171" s="90"/>
      <c r="AJ171" s="90"/>
      <c r="AK171" s="90"/>
      <c r="AL171" s="90"/>
      <c r="AM171" s="16"/>
      <c r="AN171" s="16"/>
      <c r="AO171" s="16"/>
      <c r="AP171" s="16"/>
      <c r="AQ171" s="16"/>
      <c r="AR171" s="16"/>
      <c r="AS171" s="16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  <c r="BF171" s="16"/>
      <c r="BG171" s="16"/>
      <c r="BH171" s="16"/>
      <c r="BI171" s="16"/>
      <c r="BJ171" s="16"/>
      <c r="BK171" s="16"/>
      <c r="BL171" s="16"/>
      <c r="BM171" s="16"/>
      <c r="BN171" s="16"/>
      <c r="BO171" s="16"/>
      <c r="BP171" s="16"/>
      <c r="BQ171" s="16"/>
    </row>
    <row r="172" spans="1:69" s="14" customFormat="1" x14ac:dyDescent="0.2">
      <c r="A172" s="19"/>
      <c r="C172" s="54"/>
      <c r="D172" s="10"/>
      <c r="G172" s="90"/>
      <c r="H172" s="90"/>
      <c r="I172" s="90"/>
      <c r="J172" s="90"/>
      <c r="K172" s="90"/>
      <c r="L172" s="90"/>
      <c r="M172" s="90"/>
      <c r="N172" s="90"/>
      <c r="O172" s="90"/>
      <c r="P172" s="90"/>
      <c r="Q172" s="90"/>
      <c r="R172" s="90"/>
      <c r="S172" s="90"/>
      <c r="T172" s="90"/>
      <c r="U172" s="90"/>
      <c r="V172" s="90"/>
      <c r="W172" s="90"/>
      <c r="X172" s="90"/>
      <c r="Y172" s="90"/>
      <c r="Z172" s="16"/>
      <c r="AA172" s="90"/>
      <c r="AB172" s="90"/>
      <c r="AC172" s="90"/>
      <c r="AD172" s="90"/>
      <c r="AE172" s="16"/>
      <c r="AF172" s="16"/>
      <c r="AG172" s="16"/>
      <c r="AH172" s="16"/>
      <c r="AI172" s="90"/>
      <c r="AJ172" s="90"/>
      <c r="AK172" s="90"/>
      <c r="AL172" s="90"/>
      <c r="AM172" s="16"/>
      <c r="AN172" s="16"/>
      <c r="AO172" s="16"/>
      <c r="AP172" s="16"/>
      <c r="AQ172" s="16"/>
      <c r="AR172" s="16"/>
      <c r="AS172" s="16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  <c r="BF172" s="16"/>
      <c r="BG172" s="16"/>
      <c r="BH172" s="16"/>
      <c r="BI172" s="16"/>
      <c r="BJ172" s="16"/>
      <c r="BK172" s="16"/>
      <c r="BL172" s="16"/>
      <c r="BM172" s="16"/>
      <c r="BN172" s="16"/>
      <c r="BO172" s="16"/>
      <c r="BP172" s="16"/>
      <c r="BQ172" s="16"/>
    </row>
    <row r="173" spans="1:69" s="14" customFormat="1" x14ac:dyDescent="0.2">
      <c r="A173" s="19"/>
      <c r="C173" s="123" t="str">
        <f>C19</f>
        <v>Total Composite Factor for FY 2015</v>
      </c>
      <c r="D173" s="10"/>
      <c r="E173" s="14" t="s">
        <v>6</v>
      </c>
      <c r="G173" s="86">
        <f>SUM(I173:AG173)</f>
        <v>1</v>
      </c>
      <c r="H173" s="87"/>
      <c r="I173" s="102">
        <f>ROUND(AVERAGE(I169:I171),4)</f>
        <v>0</v>
      </c>
      <c r="J173" s="103"/>
      <c r="K173" s="86">
        <f>1-SUM(M173:AK173)</f>
        <v>0.28889999999999993</v>
      </c>
      <c r="L173" s="103"/>
      <c r="M173" s="102">
        <f>ROUND(AVERAGE(M169:M171),4)</f>
        <v>9.9699999999999997E-2</v>
      </c>
      <c r="N173" s="104"/>
      <c r="O173" s="102">
        <f>ROUND(AVERAGE(O169:O171),4)</f>
        <v>0.29349999999999998</v>
      </c>
      <c r="P173" s="104"/>
      <c r="Q173" s="102">
        <f>ROUND(AVERAGE(Q169:Q171),4)</f>
        <v>0</v>
      </c>
      <c r="R173" s="104"/>
      <c r="S173" s="102">
        <f>ROUND(AVERAGE(S169:S171),4)</f>
        <v>0.31790000000000002</v>
      </c>
      <c r="T173" s="104"/>
      <c r="U173" s="104"/>
      <c r="V173" s="111"/>
      <c r="W173" s="104"/>
      <c r="X173" s="91"/>
      <c r="Y173" s="104"/>
      <c r="Z173" s="91"/>
      <c r="AA173" s="104"/>
      <c r="AB173" s="104"/>
      <c r="AC173" s="104"/>
      <c r="AD173" s="104"/>
      <c r="AE173" s="16"/>
      <c r="AF173" s="16"/>
      <c r="AG173" s="91"/>
      <c r="AH173" s="91"/>
      <c r="AI173" s="104"/>
      <c r="AJ173" s="104"/>
      <c r="AK173" s="104"/>
      <c r="AL173" s="104"/>
      <c r="AM173" s="16"/>
      <c r="AN173" s="16"/>
      <c r="AO173" s="16"/>
      <c r="AP173" s="16"/>
      <c r="AQ173" s="16"/>
      <c r="AR173" s="16"/>
      <c r="AS173" s="16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  <c r="BF173" s="16"/>
      <c r="BG173" s="16"/>
      <c r="BH173" s="16"/>
      <c r="BI173" s="16"/>
      <c r="BJ173" s="16"/>
      <c r="BK173" s="16"/>
      <c r="BL173" s="16"/>
      <c r="BM173" s="16"/>
      <c r="BN173" s="16"/>
      <c r="BO173" s="16"/>
      <c r="BP173" s="16"/>
      <c r="BQ173" s="16"/>
    </row>
    <row r="178" spans="1:32" ht="15.75" x14ac:dyDescent="0.25">
      <c r="A178" s="43"/>
      <c r="B178" s="6"/>
      <c r="C178" s="236" t="s">
        <v>315</v>
      </c>
      <c r="D178" s="6"/>
      <c r="E178" s="237"/>
      <c r="F178" s="237"/>
      <c r="G178" s="237"/>
      <c r="H178" s="237"/>
      <c r="I178" s="311" t="s">
        <v>316</v>
      </c>
      <c r="J178" s="304"/>
      <c r="K178" s="310" t="s">
        <v>317</v>
      </c>
      <c r="L178" s="304"/>
      <c r="M178" s="310" t="s">
        <v>318</v>
      </c>
      <c r="N178" s="310"/>
      <c r="O178" s="310" t="s">
        <v>318</v>
      </c>
      <c r="P178" s="304"/>
      <c r="Q178" s="310" t="s">
        <v>319</v>
      </c>
      <c r="R178" s="304"/>
      <c r="S178" s="310" t="s">
        <v>320</v>
      </c>
      <c r="T178" s="304"/>
      <c r="U178" s="305"/>
      <c r="V178" s="304"/>
      <c r="W178" s="304"/>
      <c r="X178" s="304"/>
      <c r="Y178" s="304"/>
      <c r="Z178" s="304"/>
      <c r="AA178" s="304"/>
      <c r="AB178" s="304"/>
      <c r="AC178" s="304"/>
      <c r="AD178" s="304"/>
      <c r="AE178" s="309" t="s">
        <v>321</v>
      </c>
    </row>
    <row r="179" spans="1:32" ht="25.5" x14ac:dyDescent="0.2">
      <c r="A179" s="45"/>
      <c r="B179" s="46"/>
      <c r="C179" s="47"/>
      <c r="D179" s="6"/>
      <c r="E179" s="20"/>
      <c r="F179" s="6"/>
      <c r="G179" s="7" t="s">
        <v>1</v>
      </c>
      <c r="H179" s="6"/>
      <c r="I179" s="83" t="s">
        <v>13</v>
      </c>
      <c r="J179" s="6"/>
      <c r="K179" s="7" t="s">
        <v>10</v>
      </c>
      <c r="L179" s="6"/>
      <c r="M179" s="7" t="s">
        <v>11</v>
      </c>
      <c r="N179" s="20"/>
      <c r="O179" s="7" t="s">
        <v>12</v>
      </c>
      <c r="P179" s="20"/>
      <c r="Q179" s="112" t="s">
        <v>83</v>
      </c>
      <c r="R179" s="20"/>
      <c r="S179" s="7" t="s">
        <v>82</v>
      </c>
      <c r="T179" s="20"/>
      <c r="U179" s="7"/>
      <c r="V179" s="20"/>
      <c r="W179" s="139"/>
      <c r="X179" s="20"/>
      <c r="Y179" s="20"/>
      <c r="Z179" s="20"/>
      <c r="AA179" s="139"/>
      <c r="AB179" s="139"/>
      <c r="AC179" s="139"/>
      <c r="AD179" s="139"/>
      <c r="AE179" s="7"/>
    </row>
    <row r="180" spans="1:32" x14ac:dyDescent="0.2">
      <c r="A180" s="306"/>
      <c r="G180" s="48"/>
      <c r="H180" s="48"/>
      <c r="I180" s="49"/>
      <c r="W180" s="48"/>
      <c r="Y180" s="48"/>
      <c r="Z180" s="117"/>
      <c r="AA180" s="117"/>
      <c r="AB180" s="117"/>
      <c r="AC180" s="48"/>
      <c r="AD180" s="48"/>
    </row>
    <row r="181" spans="1:32" x14ac:dyDescent="0.2">
      <c r="A181" s="306"/>
      <c r="B181" s="3"/>
      <c r="C181" s="2" t="s">
        <v>2</v>
      </c>
      <c r="D181" s="10"/>
      <c r="E181" s="3" t="s">
        <v>3</v>
      </c>
      <c r="F181" s="3"/>
      <c r="G181" s="307">
        <f>SUM(I181:AG181)</f>
        <v>3306458514.4299998</v>
      </c>
      <c r="H181" s="49"/>
      <c r="I181" s="113">
        <f>I10</f>
        <v>588658574.24000001</v>
      </c>
      <c r="J181" s="113"/>
      <c r="K181" s="113">
        <f t="shared" ref="K181:AF181" si="2">K10</f>
        <v>522666021.57000005</v>
      </c>
      <c r="L181" s="113"/>
      <c r="M181" s="113">
        <f t="shared" si="2"/>
        <v>196802776</v>
      </c>
      <c r="N181" s="113"/>
      <c r="O181" s="113">
        <f t="shared" si="2"/>
        <v>532048476.17000002</v>
      </c>
      <c r="P181" s="113"/>
      <c r="Q181" s="113">
        <f t="shared" si="2"/>
        <v>946876781.34000003</v>
      </c>
      <c r="R181" s="113"/>
      <c r="S181" s="113">
        <f t="shared" si="2"/>
        <v>494873746.19999999</v>
      </c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>
        <f t="shared" si="2"/>
        <v>0</v>
      </c>
      <c r="AE181" s="113">
        <f t="shared" si="2"/>
        <v>24532138.91</v>
      </c>
      <c r="AF181" s="113">
        <f t="shared" si="2"/>
        <v>0</v>
      </c>
    </row>
    <row r="182" spans="1:32" x14ac:dyDescent="0.2">
      <c r="A182" s="306"/>
      <c r="B182" s="3"/>
      <c r="C182" s="3" t="s">
        <v>4</v>
      </c>
      <c r="D182" s="10"/>
      <c r="E182" s="3" t="s">
        <v>5</v>
      </c>
      <c r="F182" s="3"/>
      <c r="G182" s="308">
        <f>SUM(I182:AG182)</f>
        <v>1472404.25</v>
      </c>
      <c r="H182" s="49"/>
      <c r="I182" s="113">
        <f>I11</f>
        <v>299552.75</v>
      </c>
      <c r="J182" s="113"/>
      <c r="K182" s="113">
        <f t="shared" ref="K182:AF182" si="3">K11</f>
        <v>243083.75</v>
      </c>
      <c r="L182" s="113"/>
      <c r="M182" s="113">
        <f t="shared" si="3"/>
        <v>74692.75</v>
      </c>
      <c r="N182" s="113"/>
      <c r="O182" s="113">
        <f t="shared" si="3"/>
        <v>272260.41666666669</v>
      </c>
      <c r="P182" s="113"/>
      <c r="Q182" s="113">
        <f t="shared" si="3"/>
        <v>332626.25</v>
      </c>
      <c r="R182" s="113"/>
      <c r="S182" s="113">
        <f t="shared" si="3"/>
        <v>250173.33333333334</v>
      </c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>
        <f t="shared" si="3"/>
        <v>0</v>
      </c>
      <c r="AE182" s="113">
        <f t="shared" si="3"/>
        <v>15</v>
      </c>
      <c r="AF182" s="113">
        <f t="shared" si="3"/>
        <v>0</v>
      </c>
    </row>
    <row r="183" spans="1:32" x14ac:dyDescent="0.2">
      <c r="A183" s="306"/>
      <c r="B183" s="3"/>
      <c r="C183" s="2" t="s">
        <v>15</v>
      </c>
      <c r="D183" s="10"/>
      <c r="E183" s="3" t="s">
        <v>3</v>
      </c>
      <c r="F183" s="3"/>
      <c r="G183" s="307">
        <f>SUM(I183:AG183)</f>
        <v>158896048.65000001</v>
      </c>
      <c r="H183" s="49"/>
      <c r="I183" s="113">
        <f>I12</f>
        <v>30013523.280000005</v>
      </c>
      <c r="J183" s="113"/>
      <c r="K183" s="113">
        <f t="shared" ref="K183:AF183" si="4">K12</f>
        <v>24974685.020000003</v>
      </c>
      <c r="L183" s="113"/>
      <c r="M183" s="113">
        <f t="shared" si="4"/>
        <v>8753909.0500000007</v>
      </c>
      <c r="N183" s="113"/>
      <c r="O183" s="113">
        <f t="shared" si="4"/>
        <v>22587102.66</v>
      </c>
      <c r="P183" s="113"/>
      <c r="Q183" s="113">
        <f t="shared" si="4"/>
        <v>38004205.259999998</v>
      </c>
      <c r="R183" s="113"/>
      <c r="S183" s="113">
        <f t="shared" si="4"/>
        <v>33429741.43</v>
      </c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>
        <f t="shared" si="4"/>
        <v>0</v>
      </c>
      <c r="AE183" s="113">
        <f t="shared" si="4"/>
        <v>1132881.9500000002</v>
      </c>
      <c r="AF183" s="113">
        <f t="shared" si="4"/>
        <v>0</v>
      </c>
    </row>
    <row r="184" spans="1:32" x14ac:dyDescent="0.2">
      <c r="A184" s="306"/>
      <c r="B184" s="3"/>
      <c r="C184" s="50" t="s">
        <v>16</v>
      </c>
      <c r="D184" s="10"/>
      <c r="E184" s="3"/>
      <c r="F184" s="3"/>
      <c r="G184" s="51"/>
      <c r="H184" s="8"/>
      <c r="I184" s="1"/>
      <c r="J184" s="4"/>
      <c r="K184" s="1"/>
      <c r="L184" s="4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8"/>
      <c r="X184" s="1"/>
      <c r="Y184" s="18"/>
      <c r="Z184" s="96"/>
      <c r="AA184" s="18"/>
      <c r="AB184" s="18"/>
      <c r="AC184" s="18"/>
      <c r="AD184" s="18"/>
      <c r="AE184" s="1"/>
    </row>
    <row r="185" spans="1:32" x14ac:dyDescent="0.2">
      <c r="A185" s="52" t="s">
        <v>9</v>
      </c>
      <c r="B185" s="47"/>
      <c r="D185" s="10"/>
      <c r="G185" s="53"/>
      <c r="I185" s="110"/>
      <c r="W185" s="48"/>
      <c r="Y185" s="48"/>
      <c r="Z185" s="117"/>
      <c r="AA185" s="117"/>
      <c r="AB185" s="117"/>
      <c r="AC185" s="48"/>
      <c r="AD185" s="48"/>
    </row>
    <row r="186" spans="1:32" x14ac:dyDescent="0.2">
      <c r="A186" s="306"/>
      <c r="B186" s="14"/>
      <c r="C186" s="2" t="s">
        <v>2</v>
      </c>
      <c r="D186" s="10"/>
      <c r="E186" s="14" t="s">
        <v>6</v>
      </c>
      <c r="F186" s="14"/>
      <c r="G186" s="86">
        <f>SUM(I186:AG186)</f>
        <v>0.99999999999999989</v>
      </c>
      <c r="H186" s="87"/>
      <c r="I186" s="88">
        <f>1-SUM(K186:BF186)</f>
        <v>0.17800000000000005</v>
      </c>
      <c r="J186" s="87"/>
      <c r="K186" s="86">
        <f>ROUND(K181/$G181,4)</f>
        <v>0.15809999999999999</v>
      </c>
      <c r="L186" s="87"/>
      <c r="M186" s="86">
        <f>ROUND(M181/$G181,4)</f>
        <v>5.9499999999999997E-2</v>
      </c>
      <c r="N186" s="90"/>
      <c r="O186" s="86">
        <f>ROUND(O181/$G181,4)</f>
        <v>0.16089999999999999</v>
      </c>
      <c r="P186" s="90"/>
      <c r="Q186" s="86">
        <f>ROUND(Q181/$G181,4)</f>
        <v>0.28639999999999999</v>
      </c>
      <c r="R186" s="90"/>
      <c r="S186" s="86">
        <f>ROUND(S181/$G181,4)</f>
        <v>0.1497</v>
      </c>
      <c r="T186" s="90"/>
      <c r="U186" s="86"/>
      <c r="V186" s="90"/>
      <c r="W186" s="90"/>
      <c r="X186" s="90"/>
      <c r="Y186" s="90"/>
      <c r="Z186" s="16"/>
      <c r="AA186" s="90"/>
      <c r="AB186" s="90"/>
      <c r="AC186" s="90"/>
      <c r="AD186" s="90"/>
      <c r="AE186" s="86">
        <f>ROUND(AE181/$G181,4)</f>
        <v>7.4000000000000003E-3</v>
      </c>
    </row>
    <row r="187" spans="1:32" x14ac:dyDescent="0.2">
      <c r="A187" s="306"/>
      <c r="B187" s="14"/>
      <c r="C187" s="3" t="s">
        <v>4</v>
      </c>
      <c r="D187" s="10"/>
      <c r="E187" s="14" t="s">
        <v>6</v>
      </c>
      <c r="F187" s="14"/>
      <c r="G187" s="89">
        <f>SUM(I187:AG187)</f>
        <v>1</v>
      </c>
      <c r="H187" s="87"/>
      <c r="I187" s="88">
        <f>1-SUM(K187:BF187)</f>
        <v>0.20350000000000001</v>
      </c>
      <c r="J187" s="87"/>
      <c r="K187" s="86">
        <f>ROUND(K182/$G182,4)</f>
        <v>0.1651</v>
      </c>
      <c r="L187" s="87"/>
      <c r="M187" s="86">
        <f>ROUND(M182/$G182,4)</f>
        <v>5.0700000000000002E-2</v>
      </c>
      <c r="N187" s="90"/>
      <c r="O187" s="86">
        <f>ROUND(O182/$G182,4)</f>
        <v>0.18490000000000001</v>
      </c>
      <c r="P187" s="90"/>
      <c r="Q187" s="86">
        <f>ROUND(Q182/$G182,4)</f>
        <v>0.22589999999999999</v>
      </c>
      <c r="R187" s="90"/>
      <c r="S187" s="86">
        <f>ROUND(S182/$G182,4)</f>
        <v>0.1699</v>
      </c>
      <c r="T187" s="90"/>
      <c r="U187" s="86"/>
      <c r="V187" s="90"/>
      <c r="W187" s="90"/>
      <c r="X187" s="90"/>
      <c r="Y187" s="90"/>
      <c r="Z187" s="16"/>
      <c r="AA187" s="90"/>
      <c r="AB187" s="90"/>
      <c r="AC187" s="90"/>
      <c r="AD187" s="90"/>
      <c r="AE187" s="86">
        <f>ROUND(AE182/$G182,4)</f>
        <v>0</v>
      </c>
    </row>
    <row r="188" spans="1:32" x14ac:dyDescent="0.2">
      <c r="A188" s="306"/>
      <c r="B188" s="14"/>
      <c r="C188" s="2" t="s">
        <v>7</v>
      </c>
      <c r="D188" s="10"/>
      <c r="E188" s="14" t="s">
        <v>6</v>
      </c>
      <c r="F188" s="14"/>
      <c r="G188" s="89">
        <f>SUM(I188:AG188)</f>
        <v>0.99999999999999989</v>
      </c>
      <c r="H188" s="87"/>
      <c r="I188" s="88">
        <f>1-SUM(K188:BF188)</f>
        <v>0.18879999999999997</v>
      </c>
      <c r="J188" s="87"/>
      <c r="K188" s="86">
        <f>ROUND(K183/$G183,4)</f>
        <v>0.15720000000000001</v>
      </c>
      <c r="L188" s="87"/>
      <c r="M188" s="86">
        <f>ROUND(M183/$G183,4)</f>
        <v>5.5100000000000003E-2</v>
      </c>
      <c r="N188" s="90"/>
      <c r="O188" s="86">
        <f>ROUND(O183/$G183,4)</f>
        <v>0.14219999999999999</v>
      </c>
      <c r="P188" s="90"/>
      <c r="Q188" s="86">
        <f>ROUND(Q183/$G183,4)</f>
        <v>0.2392</v>
      </c>
      <c r="R188" s="90"/>
      <c r="S188" s="86">
        <f>ROUND(S183/$G183,4)</f>
        <v>0.2104</v>
      </c>
      <c r="T188" s="90"/>
      <c r="U188" s="86"/>
      <c r="V188" s="90"/>
      <c r="W188" s="90"/>
      <c r="X188" s="90"/>
      <c r="Y188" s="90"/>
      <c r="Z188" s="16"/>
      <c r="AA188" s="90"/>
      <c r="AB188" s="90"/>
      <c r="AC188" s="90"/>
      <c r="AD188" s="90"/>
      <c r="AE188" s="86">
        <f>ROUND(AE183/$G183,4)</f>
        <v>7.1000000000000004E-3</v>
      </c>
    </row>
    <row r="189" spans="1:32" x14ac:dyDescent="0.2">
      <c r="A189" s="306"/>
      <c r="B189" s="14"/>
      <c r="C189" s="54"/>
      <c r="D189" s="10"/>
      <c r="E189" s="14"/>
      <c r="F189" s="14"/>
      <c r="G189" s="90"/>
      <c r="H189" s="90"/>
      <c r="I189" s="91"/>
      <c r="J189" s="90"/>
      <c r="K189" s="90"/>
      <c r="L189" s="90"/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90"/>
      <c r="Z189" s="16"/>
      <c r="AA189" s="90"/>
      <c r="AB189" s="90"/>
      <c r="AC189" s="90"/>
      <c r="AD189" s="90"/>
      <c r="AE189" s="90"/>
    </row>
    <row r="190" spans="1:32" x14ac:dyDescent="0.2">
      <c r="A190" s="306"/>
      <c r="B190" s="14"/>
      <c r="C190" s="54" t="str">
        <f>C19</f>
        <v>Total Composite Factor for FY 2015</v>
      </c>
      <c r="D190" s="10"/>
      <c r="E190" s="14" t="s">
        <v>6</v>
      </c>
      <c r="F190" s="14"/>
      <c r="G190" s="86">
        <f>SUM(I190:AG190)</f>
        <v>1</v>
      </c>
      <c r="H190" s="87"/>
      <c r="I190" s="86">
        <f>1-SUM(K190:BF190)</f>
        <v>0.19009999999999994</v>
      </c>
      <c r="J190" s="87"/>
      <c r="K190" s="86">
        <f>ROUND(AVERAGE(K186:K188),4)</f>
        <v>0.16009999999999999</v>
      </c>
      <c r="L190" s="87"/>
      <c r="M190" s="86">
        <f>ROUND(AVERAGE(M186:M188),4)</f>
        <v>5.5100000000000003E-2</v>
      </c>
      <c r="N190" s="90"/>
      <c r="O190" s="86">
        <f>ROUND(AVERAGE(O186:O188),4)</f>
        <v>0.16270000000000001</v>
      </c>
      <c r="P190" s="90"/>
      <c r="Q190" s="86">
        <f>ROUND(AVERAGE(Q186:Q188),4)</f>
        <v>0.2505</v>
      </c>
      <c r="R190" s="90"/>
      <c r="S190" s="86">
        <f>ROUND(AVERAGE(S186:S188),4)</f>
        <v>0.1767</v>
      </c>
      <c r="T190" s="90"/>
      <c r="U190" s="86"/>
      <c r="V190" s="111"/>
      <c r="W190" s="90"/>
      <c r="X190" s="91"/>
      <c r="Y190" s="90"/>
      <c r="Z190" s="91"/>
      <c r="AA190" s="90"/>
      <c r="AB190" s="90"/>
      <c r="AC190" s="90"/>
      <c r="AD190" s="90"/>
      <c r="AE190" s="86">
        <f>ROUND(AVERAGE(AE186:AE188),4)</f>
        <v>4.7999999999999996E-3</v>
      </c>
    </row>
    <row r="193" spans="3:33" ht="15.75" x14ac:dyDescent="0.25">
      <c r="C193" s="99" t="s">
        <v>413</v>
      </c>
      <c r="D193" s="10"/>
      <c r="E193" s="14"/>
      <c r="F193" s="14"/>
      <c r="G193" s="15"/>
      <c r="H193" s="15"/>
      <c r="I193" s="361"/>
      <c r="J193" s="241"/>
      <c r="K193" s="241"/>
      <c r="L193" s="241"/>
      <c r="M193" s="241"/>
      <c r="N193" s="241"/>
      <c r="O193" s="241"/>
      <c r="P193" s="241"/>
      <c r="Q193" s="241"/>
      <c r="R193" s="241"/>
      <c r="S193" s="243"/>
      <c r="T193" s="241"/>
      <c r="U193" s="243"/>
      <c r="V193" s="240"/>
      <c r="W193" s="240"/>
      <c r="X193" s="240"/>
      <c r="Y193" s="239"/>
      <c r="Z193" s="239"/>
      <c r="AA193" s="239"/>
      <c r="AB193" s="239"/>
      <c r="AC193" s="239"/>
      <c r="AD193" s="239"/>
      <c r="AE193" s="296" t="s">
        <v>217</v>
      </c>
      <c r="AG193" s="5"/>
    </row>
    <row r="194" spans="3:33" x14ac:dyDescent="0.2">
      <c r="C194" s="17"/>
      <c r="D194" s="17"/>
      <c r="E194" s="17"/>
      <c r="F194" s="17"/>
      <c r="G194" s="17"/>
      <c r="H194" s="17"/>
      <c r="I194" s="58"/>
      <c r="J194" s="17"/>
      <c r="K194" s="17"/>
      <c r="L194" s="17"/>
      <c r="M194" s="94"/>
      <c r="N194" s="92"/>
      <c r="O194" s="17"/>
      <c r="P194" s="92"/>
      <c r="Q194" s="17"/>
      <c r="R194" s="92"/>
      <c r="S194" s="17"/>
      <c r="T194" s="92"/>
      <c r="U194" s="17"/>
    </row>
    <row r="195" spans="3:33" x14ac:dyDescent="0.2">
      <c r="C195" s="2" t="s">
        <v>2</v>
      </c>
      <c r="D195" s="10"/>
      <c r="E195" s="3" t="s">
        <v>3</v>
      </c>
      <c r="F195" s="17"/>
      <c r="G195" s="84">
        <f>SUM(I195:AG195)</f>
        <v>1781632780.0400002</v>
      </c>
      <c r="H195" s="17"/>
      <c r="I195" s="113">
        <f>I147</f>
        <v>0</v>
      </c>
      <c r="J195" s="8"/>
      <c r="K195" s="113">
        <f>K147</f>
        <v>0</v>
      </c>
      <c r="L195" s="8"/>
      <c r="M195" s="113">
        <f>M147</f>
        <v>0</v>
      </c>
      <c r="N195" s="49"/>
      <c r="O195" s="113">
        <f>O147</f>
        <v>0</v>
      </c>
      <c r="P195" s="49"/>
      <c r="Q195" s="113">
        <f>Q147</f>
        <v>0</v>
      </c>
      <c r="R195" s="49"/>
      <c r="S195" s="113">
        <f>S147</f>
        <v>0</v>
      </c>
      <c r="T195" s="49"/>
      <c r="U195" s="113">
        <f>U147</f>
        <v>0</v>
      </c>
      <c r="W195" s="113">
        <f>W10</f>
        <v>1757100641.1300001</v>
      </c>
      <c r="AA195" s="117"/>
      <c r="AB195" s="117"/>
      <c r="AC195" s="49"/>
      <c r="AD195" s="49"/>
      <c r="AE195" s="113">
        <f>AE10</f>
        <v>24532138.91</v>
      </c>
      <c r="AF195" s="49"/>
    </row>
    <row r="196" spans="3:33" x14ac:dyDescent="0.2">
      <c r="C196" s="3" t="s">
        <v>4</v>
      </c>
      <c r="D196" s="10"/>
      <c r="E196" s="3" t="s">
        <v>5</v>
      </c>
      <c r="F196" s="17"/>
      <c r="G196" s="84">
        <f>SUM(I196:AG196)</f>
        <v>361.75</v>
      </c>
      <c r="H196" s="17"/>
      <c r="I196" s="113">
        <v>0</v>
      </c>
      <c r="J196" s="8"/>
      <c r="K196" s="113">
        <v>0</v>
      </c>
      <c r="L196" s="8"/>
      <c r="M196" s="113">
        <v>0</v>
      </c>
      <c r="N196" s="49"/>
      <c r="O196" s="113">
        <v>0</v>
      </c>
      <c r="P196" s="49"/>
      <c r="Q196" s="113">
        <v>0</v>
      </c>
      <c r="R196" s="49"/>
      <c r="S196" s="113">
        <v>0</v>
      </c>
      <c r="T196" s="49"/>
      <c r="U196" s="113">
        <v>0</v>
      </c>
      <c r="W196" s="113">
        <f>W11</f>
        <v>346.75</v>
      </c>
      <c r="AA196" s="117"/>
      <c r="AB196" s="117"/>
      <c r="AC196" s="49"/>
      <c r="AD196" s="49"/>
      <c r="AE196" s="113">
        <f>AE11</f>
        <v>15</v>
      </c>
      <c r="AF196" s="49"/>
    </row>
    <row r="197" spans="3:33" x14ac:dyDescent="0.2">
      <c r="C197" s="2" t="s">
        <v>15</v>
      </c>
      <c r="D197" s="10"/>
      <c r="E197" s="3" t="s">
        <v>3</v>
      </c>
      <c r="F197" s="17"/>
      <c r="G197" s="84">
        <f>SUM(I197:AG197)</f>
        <v>82709534.460000008</v>
      </c>
      <c r="H197" s="17"/>
      <c r="I197" s="113">
        <v>0</v>
      </c>
      <c r="J197" s="8"/>
      <c r="K197" s="113">
        <v>0</v>
      </c>
      <c r="L197" s="8"/>
      <c r="M197" s="113">
        <v>0</v>
      </c>
      <c r="N197" s="49"/>
      <c r="O197" s="113">
        <v>0</v>
      </c>
      <c r="P197" s="49"/>
      <c r="Q197" s="113">
        <v>0</v>
      </c>
      <c r="R197" s="49"/>
      <c r="S197" s="113">
        <v>0</v>
      </c>
      <c r="T197" s="49"/>
      <c r="U197" s="113">
        <v>0</v>
      </c>
      <c r="W197" s="113">
        <f>W12</f>
        <v>81576652.510000005</v>
      </c>
      <c r="AA197" s="117"/>
      <c r="AB197" s="117"/>
      <c r="AC197" s="49"/>
      <c r="AD197" s="49"/>
      <c r="AE197" s="113">
        <f>AE12</f>
        <v>1132881.9500000002</v>
      </c>
      <c r="AF197" s="49"/>
    </row>
    <row r="198" spans="3:33" x14ac:dyDescent="0.2">
      <c r="C198" s="50" t="s">
        <v>16</v>
      </c>
      <c r="D198" s="10"/>
      <c r="E198" s="3"/>
      <c r="F198" s="17"/>
      <c r="G198" s="17"/>
      <c r="H198" s="17"/>
      <c r="I198" s="1"/>
      <c r="J198" s="4"/>
      <c r="K198" s="1"/>
      <c r="L198" s="4"/>
      <c r="M198" s="1"/>
      <c r="N198" s="1"/>
      <c r="O198" s="1"/>
      <c r="P198" s="1"/>
      <c r="Q198" s="1"/>
      <c r="R198" s="1"/>
      <c r="S198" s="1"/>
      <c r="T198" s="1"/>
      <c r="U198" s="1"/>
      <c r="W198" s="18"/>
      <c r="AA198" s="117"/>
      <c r="AB198" s="117"/>
      <c r="AC198" s="18"/>
      <c r="AD198" s="18"/>
      <c r="AE198" s="18"/>
      <c r="AF198" s="18"/>
    </row>
    <row r="199" spans="3:33" x14ac:dyDescent="0.2">
      <c r="C199" s="17"/>
      <c r="D199" s="17"/>
      <c r="E199" s="17"/>
      <c r="F199" s="17"/>
      <c r="G199" s="17"/>
      <c r="H199" s="17"/>
      <c r="I199" s="58"/>
      <c r="J199" s="17"/>
      <c r="K199" s="17"/>
      <c r="L199" s="17"/>
      <c r="M199" s="94"/>
      <c r="N199" s="92"/>
      <c r="O199" s="17"/>
      <c r="P199" s="92"/>
      <c r="Q199" s="17"/>
      <c r="R199" s="92"/>
      <c r="S199" s="17"/>
      <c r="T199" s="92"/>
      <c r="U199" s="17"/>
      <c r="AA199" s="117"/>
      <c r="AB199" s="117"/>
      <c r="AC199" s="48"/>
      <c r="AD199" s="48"/>
    </row>
    <row r="200" spans="3:33" x14ac:dyDescent="0.2">
      <c r="C200" s="2" t="s">
        <v>2</v>
      </c>
      <c r="D200" s="10"/>
      <c r="E200" s="14" t="s">
        <v>6</v>
      </c>
      <c r="F200" s="97"/>
      <c r="G200" s="102">
        <f>SUM(I200:AG200)</f>
        <v>1</v>
      </c>
      <c r="H200" s="17"/>
      <c r="I200" s="102">
        <f>1-SUM(K200:BF200)</f>
        <v>0</v>
      </c>
      <c r="J200" s="103"/>
      <c r="K200" s="102">
        <f>ROUND(K195/$G$58,4)</f>
        <v>0</v>
      </c>
      <c r="L200" s="103"/>
      <c r="M200" s="102">
        <f>ROUND(M195/$G$58,4)</f>
        <v>0</v>
      </c>
      <c r="N200" s="104"/>
      <c r="O200" s="102">
        <f>ROUND(O195/$G$58,4)</f>
        <v>0</v>
      </c>
      <c r="P200" s="104"/>
      <c r="Q200" s="102">
        <f>ROUND(Q195/$G$58,4)</f>
        <v>0</v>
      </c>
      <c r="R200" s="104"/>
      <c r="S200" s="102">
        <f>ROUND(S195/$G$58,4)</f>
        <v>0</v>
      </c>
      <c r="T200" s="104"/>
      <c r="U200" s="102">
        <f>ROUND(U195/$G$58,4)</f>
        <v>0</v>
      </c>
      <c r="W200" s="102">
        <f>W195/G195</f>
        <v>0.98623053011549933</v>
      </c>
      <c r="AA200" s="117"/>
      <c r="AB200" s="117"/>
      <c r="AC200" s="104"/>
      <c r="AD200" s="104"/>
      <c r="AE200" s="102">
        <f>AE195/G195</f>
        <v>1.3769469884500677E-2</v>
      </c>
      <c r="AF200" s="104"/>
    </row>
    <row r="201" spans="3:33" x14ac:dyDescent="0.2">
      <c r="C201" s="3" t="s">
        <v>4</v>
      </c>
      <c r="D201" s="10"/>
      <c r="E201" s="14" t="s">
        <v>6</v>
      </c>
      <c r="F201" s="97"/>
      <c r="G201" s="102">
        <f>SUM(I201:AG201)</f>
        <v>1</v>
      </c>
      <c r="H201" s="17"/>
      <c r="I201" s="102">
        <f>1-SUM(K201:BF201)</f>
        <v>0</v>
      </c>
      <c r="J201" s="103"/>
      <c r="K201" s="102">
        <f>ROUND(K196/$G$59,4)</f>
        <v>0</v>
      </c>
      <c r="L201" s="103"/>
      <c r="M201" s="102">
        <f>ROUND(M196/$G$59,4)</f>
        <v>0</v>
      </c>
      <c r="N201" s="104"/>
      <c r="O201" s="102">
        <f>ROUND(O196/$G$59,4)</f>
        <v>0</v>
      </c>
      <c r="P201" s="104"/>
      <c r="Q201" s="102">
        <f>ROUND(Q196/$G$59,4)</f>
        <v>0</v>
      </c>
      <c r="R201" s="104"/>
      <c r="S201" s="102">
        <f>ROUND(S196/$G$59,4)</f>
        <v>0</v>
      </c>
      <c r="T201" s="104"/>
      <c r="U201" s="102">
        <f>ROUND(U196/$G$59,4)</f>
        <v>0</v>
      </c>
      <c r="W201" s="102">
        <f>W196/G196</f>
        <v>0.95853489979267448</v>
      </c>
      <c r="AA201" s="117"/>
      <c r="AB201" s="117"/>
      <c r="AC201" s="104"/>
      <c r="AD201" s="104"/>
      <c r="AE201" s="102">
        <f>AE196/G196</f>
        <v>4.1465100207325502E-2</v>
      </c>
      <c r="AF201" s="104"/>
    </row>
    <row r="202" spans="3:33" x14ac:dyDescent="0.2">
      <c r="C202" s="2" t="s">
        <v>7</v>
      </c>
      <c r="D202" s="10"/>
      <c r="E202" s="14" t="s">
        <v>6</v>
      </c>
      <c r="F202" s="97"/>
      <c r="G202" s="102">
        <f>SUM(I202:AG202)</f>
        <v>1</v>
      </c>
      <c r="H202" s="17"/>
      <c r="I202" s="102">
        <f>1-SUM(K202:BF202)</f>
        <v>0</v>
      </c>
      <c r="J202" s="103"/>
      <c r="K202" s="102">
        <f>ROUND(K197/$G$60,4)</f>
        <v>0</v>
      </c>
      <c r="L202" s="103"/>
      <c r="M202" s="102">
        <f>ROUND(M197/$G$60,4)</f>
        <v>0</v>
      </c>
      <c r="N202" s="104"/>
      <c r="O202" s="102">
        <f>ROUND(O197/$G$60,4)</f>
        <v>0</v>
      </c>
      <c r="P202" s="104"/>
      <c r="Q202" s="102">
        <f>ROUND(Q197/$G$60,4)</f>
        <v>0</v>
      </c>
      <c r="R202" s="104"/>
      <c r="S202" s="102">
        <f>ROUND(S197/$G$60,4)</f>
        <v>0</v>
      </c>
      <c r="T202" s="104"/>
      <c r="U202" s="102">
        <f>ROUND(U197/$G$60,4)</f>
        <v>0</v>
      </c>
      <c r="W202" s="102">
        <f>W197/G197</f>
        <v>0.98630288566612734</v>
      </c>
      <c r="AA202" s="117"/>
      <c r="AB202" s="117"/>
      <c r="AC202" s="104"/>
      <c r="AD202" s="104"/>
      <c r="AE202" s="102">
        <f>AE197/G197</f>
        <v>1.3697114333872652E-2</v>
      </c>
      <c r="AF202" s="104"/>
    </row>
    <row r="203" spans="3:33" x14ac:dyDescent="0.2">
      <c r="C203" s="54"/>
      <c r="D203" s="10"/>
      <c r="E203" s="14"/>
      <c r="F203" s="17"/>
      <c r="G203" s="93"/>
      <c r="H203" s="17"/>
      <c r="I203" s="103"/>
      <c r="J203" s="103"/>
      <c r="K203" s="103"/>
      <c r="L203" s="103"/>
      <c r="M203" s="103"/>
      <c r="N203" s="104"/>
      <c r="O203" s="103"/>
      <c r="P203" s="104"/>
      <c r="Q203" s="103"/>
      <c r="R203" s="104"/>
      <c r="S203" s="103"/>
      <c r="T203" s="104"/>
      <c r="U203" s="103"/>
      <c r="W203" s="90"/>
      <c r="AA203" s="117"/>
      <c r="AB203" s="117"/>
      <c r="AC203" s="90"/>
      <c r="AD203" s="90"/>
      <c r="AE203" s="90"/>
      <c r="AF203" s="90"/>
    </row>
    <row r="204" spans="3:33" x14ac:dyDescent="0.2">
      <c r="C204" s="123" t="str">
        <f>C19</f>
        <v>Total Composite Factor for FY 2015</v>
      </c>
      <c r="D204" s="10"/>
      <c r="E204" s="14" t="s">
        <v>6</v>
      </c>
      <c r="F204" s="17"/>
      <c r="G204" s="102">
        <f>SUM(I204:AG204)</f>
        <v>1</v>
      </c>
      <c r="H204" s="17"/>
      <c r="I204" s="102">
        <f>1-SUM(K204:BF204)</f>
        <v>0</v>
      </c>
      <c r="J204" s="103"/>
      <c r="K204" s="102">
        <f>ROUND(AVERAGE(K200:K202),4)</f>
        <v>0</v>
      </c>
      <c r="L204" s="103"/>
      <c r="M204" s="102">
        <f>ROUND(AVERAGE(M200:M202),4)</f>
        <v>0</v>
      </c>
      <c r="N204" s="104"/>
      <c r="O204" s="102">
        <f>ROUND(AVERAGE(O200:O202),4)</f>
        <v>0</v>
      </c>
      <c r="P204" s="104"/>
      <c r="Q204" s="102">
        <f>ROUND(AVERAGE(Q200:Q202),4)</f>
        <v>0</v>
      </c>
      <c r="R204" s="104"/>
      <c r="S204" s="102">
        <f>ROUND(AVERAGE(S200:S202),4)</f>
        <v>0</v>
      </c>
      <c r="T204" s="104"/>
      <c r="U204" s="102">
        <f>ROUND(AVERAGE(U200:U202),4)</f>
        <v>0</v>
      </c>
      <c r="V204" s="111"/>
      <c r="W204" s="102">
        <f>ROUND(AVERAGE(W200:W202),4)</f>
        <v>0.97699999999999998</v>
      </c>
      <c r="AA204" s="117"/>
      <c r="AB204" s="117"/>
      <c r="AC204" s="104"/>
      <c r="AD204" s="104"/>
      <c r="AE204" s="102">
        <f>ROUND(AVERAGE(AE200:AE202),4)</f>
        <v>2.3E-2</v>
      </c>
      <c r="AF204" s="104"/>
    </row>
    <row r="207" spans="3:33" ht="15.75" x14ac:dyDescent="0.25">
      <c r="C207" s="236" t="s">
        <v>315</v>
      </c>
      <c r="D207" s="10"/>
      <c r="E207" s="14"/>
      <c r="F207" s="14"/>
      <c r="G207" s="15"/>
      <c r="H207" s="15"/>
      <c r="I207" s="361"/>
      <c r="J207" s="241"/>
      <c r="K207" s="241"/>
      <c r="L207" s="241"/>
      <c r="M207" s="241"/>
      <c r="N207" s="241"/>
      <c r="O207" s="241"/>
      <c r="P207" s="241"/>
      <c r="Q207" s="241"/>
      <c r="R207" s="241"/>
      <c r="S207" s="243"/>
      <c r="T207" s="241"/>
      <c r="U207" s="243"/>
      <c r="V207" s="240"/>
      <c r="W207" s="240"/>
      <c r="X207" s="240"/>
      <c r="Y207" s="239"/>
      <c r="Z207" s="239"/>
      <c r="AA207" s="239"/>
      <c r="AB207" s="239"/>
      <c r="AC207" s="239"/>
      <c r="AD207" s="239"/>
      <c r="AE207" s="239"/>
      <c r="AG207" s="5"/>
    </row>
    <row r="208" spans="3:33" x14ac:dyDescent="0.2">
      <c r="C208" s="17"/>
      <c r="D208" s="17"/>
      <c r="E208" s="17"/>
      <c r="F208" s="17"/>
      <c r="G208" s="17"/>
      <c r="H208" s="17"/>
      <c r="I208" s="58"/>
      <c r="J208" s="17"/>
      <c r="K208" s="17"/>
      <c r="L208" s="17"/>
      <c r="M208" s="94"/>
      <c r="N208" s="92"/>
      <c r="O208" s="17"/>
      <c r="P208" s="92"/>
      <c r="Q208" s="17"/>
      <c r="R208" s="92"/>
      <c r="S208" s="17"/>
      <c r="T208" s="92"/>
      <c r="U208" s="17"/>
    </row>
    <row r="209" spans="3:32" x14ac:dyDescent="0.2">
      <c r="C209" s="2" t="s">
        <v>2</v>
      </c>
      <c r="D209" s="10"/>
      <c r="E209" s="3" t="s">
        <v>3</v>
      </c>
      <c r="F209" s="17"/>
      <c r="G209" s="84">
        <f>SUM(I209:AG209)</f>
        <v>3306458514.4299998</v>
      </c>
      <c r="H209" s="17"/>
      <c r="I209" s="113">
        <f>I10</f>
        <v>588658574.24000001</v>
      </c>
      <c r="J209" s="49"/>
      <c r="K209" s="113">
        <f t="shared" ref="K209:S209" si="5">K10</f>
        <v>522666021.57000005</v>
      </c>
      <c r="L209" s="49"/>
      <c r="M209" s="113">
        <f t="shared" si="5"/>
        <v>196802776</v>
      </c>
      <c r="N209" s="49"/>
      <c r="O209" s="113">
        <f t="shared" si="5"/>
        <v>532048476.17000002</v>
      </c>
      <c r="P209" s="49"/>
      <c r="Q209" s="113">
        <f t="shared" si="5"/>
        <v>946876781.34000003</v>
      </c>
      <c r="R209" s="49"/>
      <c r="S209" s="113">
        <f t="shared" si="5"/>
        <v>494873746.19999999</v>
      </c>
      <c r="T209" s="49"/>
      <c r="U209" s="49"/>
      <c r="W209" s="49"/>
      <c r="AA209" s="117"/>
      <c r="AB209" s="117"/>
      <c r="AC209" s="49"/>
      <c r="AD209" s="49"/>
      <c r="AE209" s="113">
        <f t="shared" ref="AE209:AE211" si="6">AE10</f>
        <v>24532138.91</v>
      </c>
      <c r="AF209" s="49"/>
    </row>
    <row r="210" spans="3:32" x14ac:dyDescent="0.2">
      <c r="C210" s="3" t="s">
        <v>4</v>
      </c>
      <c r="D210" s="10"/>
      <c r="E210" s="3" t="s">
        <v>5</v>
      </c>
      <c r="F210" s="17"/>
      <c r="G210" s="84">
        <f>SUM(I210:AG210)</f>
        <v>1472404.25</v>
      </c>
      <c r="H210" s="17"/>
      <c r="I210" s="113">
        <f>I11</f>
        <v>299552.75</v>
      </c>
      <c r="J210" s="49"/>
      <c r="K210" s="113">
        <f t="shared" ref="K210:S210" si="7">K11</f>
        <v>243083.75</v>
      </c>
      <c r="L210" s="49"/>
      <c r="M210" s="113">
        <f t="shared" si="7"/>
        <v>74692.75</v>
      </c>
      <c r="N210" s="49"/>
      <c r="O210" s="113">
        <f t="shared" si="7"/>
        <v>272260.41666666669</v>
      </c>
      <c r="P210" s="49"/>
      <c r="Q210" s="113">
        <f t="shared" si="7"/>
        <v>332626.25</v>
      </c>
      <c r="R210" s="49"/>
      <c r="S210" s="113">
        <f t="shared" si="7"/>
        <v>250173.33333333334</v>
      </c>
      <c r="T210" s="49"/>
      <c r="U210" s="49"/>
      <c r="W210" s="49"/>
      <c r="AA210" s="117"/>
      <c r="AB210" s="117"/>
      <c r="AC210" s="49"/>
      <c r="AD210" s="49"/>
      <c r="AE210" s="113">
        <f t="shared" si="6"/>
        <v>15</v>
      </c>
      <c r="AF210" s="49"/>
    </row>
    <row r="211" spans="3:32" x14ac:dyDescent="0.2">
      <c r="C211" s="2" t="s">
        <v>15</v>
      </c>
      <c r="D211" s="10"/>
      <c r="E211" s="3" t="s">
        <v>3</v>
      </c>
      <c r="F211" s="17"/>
      <c r="G211" s="84">
        <f>SUM(I211:AG211)</f>
        <v>158896048.65000001</v>
      </c>
      <c r="H211" s="17"/>
      <c r="I211" s="113">
        <f>I12</f>
        <v>30013523.280000005</v>
      </c>
      <c r="J211" s="49"/>
      <c r="K211" s="113">
        <f t="shared" ref="K211:S211" si="8">K12</f>
        <v>24974685.020000003</v>
      </c>
      <c r="L211" s="49"/>
      <c r="M211" s="113">
        <f t="shared" si="8"/>
        <v>8753909.0500000007</v>
      </c>
      <c r="N211" s="49"/>
      <c r="O211" s="113">
        <f t="shared" si="8"/>
        <v>22587102.66</v>
      </c>
      <c r="P211" s="49"/>
      <c r="Q211" s="113">
        <f t="shared" si="8"/>
        <v>38004205.259999998</v>
      </c>
      <c r="R211" s="49"/>
      <c r="S211" s="113">
        <f t="shared" si="8"/>
        <v>33429741.43</v>
      </c>
      <c r="T211" s="49"/>
      <c r="U211" s="49"/>
      <c r="W211" s="49"/>
      <c r="AA211" s="117"/>
      <c r="AB211" s="117"/>
      <c r="AC211" s="49"/>
      <c r="AD211" s="49"/>
      <c r="AE211" s="113">
        <f t="shared" si="6"/>
        <v>1132881.9500000002</v>
      </c>
      <c r="AF211" s="49"/>
    </row>
    <row r="212" spans="3:32" x14ac:dyDescent="0.2">
      <c r="C212" s="50" t="s">
        <v>16</v>
      </c>
      <c r="D212" s="10"/>
      <c r="E212" s="3"/>
      <c r="F212" s="17"/>
      <c r="G212" s="17"/>
      <c r="H212" s="17"/>
      <c r="I212" s="1"/>
      <c r="J212" s="4"/>
      <c r="K212" s="1"/>
      <c r="L212" s="4"/>
      <c r="M212" s="1"/>
      <c r="N212" s="1"/>
      <c r="O212" s="1"/>
      <c r="P212" s="1"/>
      <c r="Q212" s="1"/>
      <c r="R212" s="1"/>
      <c r="S212" s="1"/>
      <c r="T212" s="1"/>
      <c r="U212" s="1"/>
      <c r="W212" s="18"/>
      <c r="AA212" s="117"/>
      <c r="AB212" s="117"/>
      <c r="AC212" s="18"/>
      <c r="AD212" s="18"/>
      <c r="AE212" s="18"/>
      <c r="AF212" s="18"/>
    </row>
    <row r="213" spans="3:32" x14ac:dyDescent="0.2">
      <c r="C213" s="17"/>
      <c r="D213" s="17"/>
      <c r="E213" s="17"/>
      <c r="F213" s="17"/>
      <c r="G213" s="17"/>
      <c r="H213" s="17"/>
      <c r="I213" s="58"/>
      <c r="J213" s="17"/>
      <c r="K213" s="17"/>
      <c r="L213" s="17"/>
      <c r="M213" s="94"/>
      <c r="N213" s="92"/>
      <c r="O213" s="17"/>
      <c r="P213" s="92"/>
      <c r="Q213" s="17"/>
      <c r="R213" s="92"/>
      <c r="S213" s="17"/>
      <c r="T213" s="92"/>
      <c r="U213" s="92"/>
      <c r="W213" s="48"/>
      <c r="AA213" s="117"/>
      <c r="AB213" s="117"/>
      <c r="AC213" s="48"/>
      <c r="AD213" s="48"/>
    </row>
    <row r="214" spans="3:32" x14ac:dyDescent="0.2">
      <c r="C214" s="2" t="s">
        <v>2</v>
      </c>
      <c r="D214" s="10"/>
      <c r="E214" s="14" t="s">
        <v>6</v>
      </c>
      <c r="F214" s="97"/>
      <c r="G214" s="102">
        <f>SUM(I214:AG214)</f>
        <v>0.99999999999999989</v>
      </c>
      <c r="H214" s="17"/>
      <c r="I214" s="102">
        <f>1-SUM(K214:BF214)</f>
        <v>0.17800000000000005</v>
      </c>
      <c r="J214" s="103"/>
      <c r="K214" s="102">
        <f>ROUND(K209/$G$209,4)</f>
        <v>0.15809999999999999</v>
      </c>
      <c r="L214" s="104"/>
      <c r="M214" s="102">
        <f t="shared" ref="M214:S214" si="9">ROUND(M209/$G$209,4)</f>
        <v>5.9499999999999997E-2</v>
      </c>
      <c r="N214" s="104"/>
      <c r="O214" s="102">
        <f t="shared" si="9"/>
        <v>0.16089999999999999</v>
      </c>
      <c r="P214" s="104"/>
      <c r="Q214" s="102">
        <f t="shared" si="9"/>
        <v>0.28639999999999999</v>
      </c>
      <c r="R214" s="104"/>
      <c r="S214" s="102">
        <f t="shared" si="9"/>
        <v>0.1497</v>
      </c>
      <c r="T214" s="104"/>
      <c r="U214" s="104"/>
      <c r="W214" s="104"/>
      <c r="AA214" s="117"/>
      <c r="AB214" s="117"/>
      <c r="AC214" s="104"/>
      <c r="AD214" s="104"/>
      <c r="AE214" s="102">
        <f t="shared" ref="AE214" si="10">ROUND(AE209/$G$209,4)</f>
        <v>7.4000000000000003E-3</v>
      </c>
      <c r="AF214" s="104"/>
    </row>
    <row r="215" spans="3:32" x14ac:dyDescent="0.2">
      <c r="C215" s="3" t="s">
        <v>4</v>
      </c>
      <c r="D215" s="10"/>
      <c r="E215" s="14" t="s">
        <v>6</v>
      </c>
      <c r="F215" s="97"/>
      <c r="G215" s="102">
        <f>SUM(I215:AG215)</f>
        <v>1</v>
      </c>
      <c r="H215" s="17"/>
      <c r="I215" s="102">
        <f>1-SUM(K215:BF215)</f>
        <v>0.20350000000000001</v>
      </c>
      <c r="J215" s="104"/>
      <c r="K215" s="102">
        <f>ROUND(K210/$G$210,4)</f>
        <v>0.1651</v>
      </c>
      <c r="L215" s="104"/>
      <c r="M215" s="102">
        <f t="shared" ref="M215:S215" si="11">ROUND(M210/$G$210,4)</f>
        <v>5.0700000000000002E-2</v>
      </c>
      <c r="N215" s="104"/>
      <c r="O215" s="102">
        <f t="shared" si="11"/>
        <v>0.18490000000000001</v>
      </c>
      <c r="P215" s="104"/>
      <c r="Q215" s="102">
        <f t="shared" si="11"/>
        <v>0.22589999999999999</v>
      </c>
      <c r="R215" s="104"/>
      <c r="S215" s="102">
        <f t="shared" si="11"/>
        <v>0.1699</v>
      </c>
      <c r="T215" s="104"/>
      <c r="U215" s="104"/>
      <c r="W215" s="104"/>
      <c r="AA215" s="117"/>
      <c r="AB215" s="117"/>
      <c r="AC215" s="104"/>
      <c r="AD215" s="104"/>
      <c r="AE215" s="102">
        <f t="shared" ref="AE215" si="12">ROUND(AE210/$G$210,4)</f>
        <v>0</v>
      </c>
      <c r="AF215" s="104"/>
    </row>
    <row r="216" spans="3:32" x14ac:dyDescent="0.2">
      <c r="C216" s="2" t="s">
        <v>7</v>
      </c>
      <c r="D216" s="10"/>
      <c r="E216" s="14" t="s">
        <v>6</v>
      </c>
      <c r="F216" s="97"/>
      <c r="G216" s="102">
        <f>SUM(I216:AG216)</f>
        <v>0.99999999999999989</v>
      </c>
      <c r="H216" s="17"/>
      <c r="I216" s="102">
        <f>1-SUM(K216:BF216)</f>
        <v>0.18879999999999997</v>
      </c>
      <c r="J216" s="104"/>
      <c r="K216" s="102">
        <f>ROUND(K211/$G$211,4)</f>
        <v>0.15720000000000001</v>
      </c>
      <c r="L216" s="104"/>
      <c r="M216" s="102">
        <f t="shared" ref="M216:S216" si="13">ROUND(M211/$G$211,4)</f>
        <v>5.5100000000000003E-2</v>
      </c>
      <c r="N216" s="104"/>
      <c r="O216" s="102">
        <f t="shared" si="13"/>
        <v>0.14219999999999999</v>
      </c>
      <c r="P216" s="104"/>
      <c r="Q216" s="102">
        <f t="shared" si="13"/>
        <v>0.2392</v>
      </c>
      <c r="R216" s="104"/>
      <c r="S216" s="102">
        <f t="shared" si="13"/>
        <v>0.2104</v>
      </c>
      <c r="T216" s="104"/>
      <c r="U216" s="104"/>
      <c r="W216" s="104"/>
      <c r="AA216" s="117"/>
      <c r="AB216" s="117"/>
      <c r="AC216" s="104"/>
      <c r="AD216" s="104"/>
      <c r="AE216" s="102">
        <f t="shared" ref="AE216" si="14">ROUND(AE211/$G$211,4)</f>
        <v>7.1000000000000004E-3</v>
      </c>
      <c r="AF216" s="104"/>
    </row>
    <row r="217" spans="3:32" x14ac:dyDescent="0.2">
      <c r="C217" s="54"/>
      <c r="D217" s="10"/>
      <c r="E217" s="14"/>
      <c r="F217" s="17"/>
      <c r="G217" s="93"/>
      <c r="H217" s="17"/>
      <c r="I217" s="103"/>
      <c r="J217" s="103"/>
      <c r="K217" s="103"/>
      <c r="L217" s="103"/>
      <c r="M217" s="103"/>
      <c r="N217" s="104"/>
      <c r="O217" s="103"/>
      <c r="P217" s="104"/>
      <c r="Q217" s="103"/>
      <c r="R217" s="104"/>
      <c r="S217" s="103"/>
      <c r="T217" s="104"/>
      <c r="U217" s="104"/>
      <c r="W217" s="90"/>
      <c r="AA217" s="117"/>
      <c r="AB217" s="117"/>
      <c r="AC217" s="90"/>
      <c r="AD217" s="90"/>
      <c r="AE217" s="90"/>
      <c r="AF217" s="90"/>
    </row>
    <row r="218" spans="3:32" x14ac:dyDescent="0.2">
      <c r="C218" s="123" t="str">
        <f>C33</f>
        <v>Total Composite Factor for FY 2015</v>
      </c>
      <c r="D218" s="10"/>
      <c r="E218" s="14" t="s">
        <v>6</v>
      </c>
      <c r="F218" s="17"/>
      <c r="G218" s="102">
        <f>SUM(I218:AG218)</f>
        <v>1</v>
      </c>
      <c r="H218" s="17"/>
      <c r="I218" s="102">
        <f>1-SUM(K218:BF218)</f>
        <v>0.19009999999999994</v>
      </c>
      <c r="J218" s="103"/>
      <c r="K218" s="102">
        <f>ROUND(AVERAGE(K214:K216),4)</f>
        <v>0.16009999999999999</v>
      </c>
      <c r="L218" s="103"/>
      <c r="M218" s="102">
        <f>ROUND(AVERAGE(M214:M216),4)</f>
        <v>5.5100000000000003E-2</v>
      </c>
      <c r="N218" s="104"/>
      <c r="O218" s="102">
        <f>ROUND(AVERAGE(O214:O216),4)</f>
        <v>0.16270000000000001</v>
      </c>
      <c r="P218" s="104"/>
      <c r="Q218" s="102">
        <f>ROUND(AVERAGE(Q214:Q216),4)</f>
        <v>0.2505</v>
      </c>
      <c r="R218" s="104"/>
      <c r="S218" s="102">
        <f>ROUND(AVERAGE(S214:S216),4)</f>
        <v>0.1767</v>
      </c>
      <c r="T218" s="104"/>
      <c r="U218" s="104"/>
      <c r="V218" s="111"/>
      <c r="W218" s="104"/>
      <c r="AA218" s="117"/>
      <c r="AB218" s="117"/>
      <c r="AC218" s="104"/>
      <c r="AD218" s="104"/>
      <c r="AE218" s="102">
        <f>ROUND(AVERAGE(AE214:AE216),4)</f>
        <v>4.7999999999999996E-3</v>
      </c>
      <c r="AF218" s="104"/>
    </row>
  </sheetData>
  <phoneticPr fontId="0" type="noConversion"/>
  <pageMargins left="0.41" right="0.2" top="0.5" bottom="0.33" header="0.38" footer="0.2"/>
  <pageSetup scale="44" fitToHeight="0" orientation="landscape" r:id="rId1"/>
  <headerFooter alignWithMargins="0">
    <oddFooter>&amp;CPage &amp;P</oddFooter>
  </headerFooter>
  <rowBreaks count="2" manualBreakCount="2">
    <brk id="55" max="16383" man="1"/>
    <brk id="127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E24"/>
  <sheetViews>
    <sheetView view="pageBreakPreview" zoomScale="60" zoomScaleNormal="100" workbookViewId="0">
      <selection activeCell="I27" sqref="I27"/>
    </sheetView>
  </sheetViews>
  <sheetFormatPr defaultRowHeight="12.75" x14ac:dyDescent="0.2"/>
  <cols>
    <col min="1" max="1" width="9.140625" style="319"/>
    <col min="2" max="2" width="14.140625" style="319" customWidth="1"/>
    <col min="3" max="3" width="12" style="319" customWidth="1"/>
    <col min="4" max="4" width="13" style="319" customWidth="1"/>
    <col min="5" max="257" width="9.140625" style="319"/>
    <col min="258" max="258" width="14.140625" style="319" customWidth="1"/>
    <col min="259" max="259" width="12" style="319" customWidth="1"/>
    <col min="260" max="260" width="13" style="319" customWidth="1"/>
    <col min="261" max="513" width="9.140625" style="319"/>
    <col min="514" max="514" width="14.140625" style="319" customWidth="1"/>
    <col min="515" max="515" width="12" style="319" customWidth="1"/>
    <col min="516" max="516" width="13" style="319" customWidth="1"/>
    <col min="517" max="769" width="9.140625" style="319"/>
    <col min="770" max="770" width="14.140625" style="319" customWidth="1"/>
    <col min="771" max="771" width="12" style="319" customWidth="1"/>
    <col min="772" max="772" width="13" style="319" customWidth="1"/>
    <col min="773" max="1025" width="9.140625" style="319"/>
    <col min="1026" max="1026" width="14.140625" style="319" customWidth="1"/>
    <col min="1027" max="1027" width="12" style="319" customWidth="1"/>
    <col min="1028" max="1028" width="13" style="319" customWidth="1"/>
    <col min="1029" max="1281" width="9.140625" style="319"/>
    <col min="1282" max="1282" width="14.140625" style="319" customWidth="1"/>
    <col min="1283" max="1283" width="12" style="319" customWidth="1"/>
    <col min="1284" max="1284" width="13" style="319" customWidth="1"/>
    <col min="1285" max="1537" width="9.140625" style="319"/>
    <col min="1538" max="1538" width="14.140625" style="319" customWidth="1"/>
    <col min="1539" max="1539" width="12" style="319" customWidth="1"/>
    <col min="1540" max="1540" width="13" style="319" customWidth="1"/>
    <col min="1541" max="1793" width="9.140625" style="319"/>
    <col min="1794" max="1794" width="14.140625" style="319" customWidth="1"/>
    <col min="1795" max="1795" width="12" style="319" customWidth="1"/>
    <col min="1796" max="1796" width="13" style="319" customWidth="1"/>
    <col min="1797" max="2049" width="9.140625" style="319"/>
    <col min="2050" max="2050" width="14.140625" style="319" customWidth="1"/>
    <col min="2051" max="2051" width="12" style="319" customWidth="1"/>
    <col min="2052" max="2052" width="13" style="319" customWidth="1"/>
    <col min="2053" max="2305" width="9.140625" style="319"/>
    <col min="2306" max="2306" width="14.140625" style="319" customWidth="1"/>
    <col min="2307" max="2307" width="12" style="319" customWidth="1"/>
    <col min="2308" max="2308" width="13" style="319" customWidth="1"/>
    <col min="2309" max="2561" width="9.140625" style="319"/>
    <col min="2562" max="2562" width="14.140625" style="319" customWidth="1"/>
    <col min="2563" max="2563" width="12" style="319" customWidth="1"/>
    <col min="2564" max="2564" width="13" style="319" customWidth="1"/>
    <col min="2565" max="2817" width="9.140625" style="319"/>
    <col min="2818" max="2818" width="14.140625" style="319" customWidth="1"/>
    <col min="2819" max="2819" width="12" style="319" customWidth="1"/>
    <col min="2820" max="2820" width="13" style="319" customWidth="1"/>
    <col min="2821" max="3073" width="9.140625" style="319"/>
    <col min="3074" max="3074" width="14.140625" style="319" customWidth="1"/>
    <col min="3075" max="3075" width="12" style="319" customWidth="1"/>
    <col min="3076" max="3076" width="13" style="319" customWidth="1"/>
    <col min="3077" max="3329" width="9.140625" style="319"/>
    <col min="3330" max="3330" width="14.140625" style="319" customWidth="1"/>
    <col min="3331" max="3331" width="12" style="319" customWidth="1"/>
    <col min="3332" max="3332" width="13" style="319" customWidth="1"/>
    <col min="3333" max="3585" width="9.140625" style="319"/>
    <col min="3586" max="3586" width="14.140625" style="319" customWidth="1"/>
    <col min="3587" max="3587" width="12" style="319" customWidth="1"/>
    <col min="3588" max="3588" width="13" style="319" customWidth="1"/>
    <col min="3589" max="3841" width="9.140625" style="319"/>
    <col min="3842" max="3842" width="14.140625" style="319" customWidth="1"/>
    <col min="3843" max="3843" width="12" style="319" customWidth="1"/>
    <col min="3844" max="3844" width="13" style="319" customWidth="1"/>
    <col min="3845" max="4097" width="9.140625" style="319"/>
    <col min="4098" max="4098" width="14.140625" style="319" customWidth="1"/>
    <col min="4099" max="4099" width="12" style="319" customWidth="1"/>
    <col min="4100" max="4100" width="13" style="319" customWidth="1"/>
    <col min="4101" max="4353" width="9.140625" style="319"/>
    <col min="4354" max="4354" width="14.140625" style="319" customWidth="1"/>
    <col min="4355" max="4355" width="12" style="319" customWidth="1"/>
    <col min="4356" max="4356" width="13" style="319" customWidth="1"/>
    <col min="4357" max="4609" width="9.140625" style="319"/>
    <col min="4610" max="4610" width="14.140625" style="319" customWidth="1"/>
    <col min="4611" max="4611" width="12" style="319" customWidth="1"/>
    <col min="4612" max="4612" width="13" style="319" customWidth="1"/>
    <col min="4613" max="4865" width="9.140625" style="319"/>
    <col min="4866" max="4866" width="14.140625" style="319" customWidth="1"/>
    <col min="4867" max="4867" width="12" style="319" customWidth="1"/>
    <col min="4868" max="4868" width="13" style="319" customWidth="1"/>
    <col min="4869" max="5121" width="9.140625" style="319"/>
    <col min="5122" max="5122" width="14.140625" style="319" customWidth="1"/>
    <col min="5123" max="5123" width="12" style="319" customWidth="1"/>
    <col min="5124" max="5124" width="13" style="319" customWidth="1"/>
    <col min="5125" max="5377" width="9.140625" style="319"/>
    <col min="5378" max="5378" width="14.140625" style="319" customWidth="1"/>
    <col min="5379" max="5379" width="12" style="319" customWidth="1"/>
    <col min="5380" max="5380" width="13" style="319" customWidth="1"/>
    <col min="5381" max="5633" width="9.140625" style="319"/>
    <col min="5634" max="5634" width="14.140625" style="319" customWidth="1"/>
    <col min="5635" max="5635" width="12" style="319" customWidth="1"/>
    <col min="5636" max="5636" width="13" style="319" customWidth="1"/>
    <col min="5637" max="5889" width="9.140625" style="319"/>
    <col min="5890" max="5890" width="14.140625" style="319" customWidth="1"/>
    <col min="5891" max="5891" width="12" style="319" customWidth="1"/>
    <col min="5892" max="5892" width="13" style="319" customWidth="1"/>
    <col min="5893" max="6145" width="9.140625" style="319"/>
    <col min="6146" max="6146" width="14.140625" style="319" customWidth="1"/>
    <col min="6147" max="6147" width="12" style="319" customWidth="1"/>
    <col min="6148" max="6148" width="13" style="319" customWidth="1"/>
    <col min="6149" max="6401" width="9.140625" style="319"/>
    <col min="6402" max="6402" width="14.140625" style="319" customWidth="1"/>
    <col min="6403" max="6403" width="12" style="319" customWidth="1"/>
    <col min="6404" max="6404" width="13" style="319" customWidth="1"/>
    <col min="6405" max="6657" width="9.140625" style="319"/>
    <col min="6658" max="6658" width="14.140625" style="319" customWidth="1"/>
    <col min="6659" max="6659" width="12" style="319" customWidth="1"/>
    <col min="6660" max="6660" width="13" style="319" customWidth="1"/>
    <col min="6661" max="6913" width="9.140625" style="319"/>
    <col min="6914" max="6914" width="14.140625" style="319" customWidth="1"/>
    <col min="6915" max="6915" width="12" style="319" customWidth="1"/>
    <col min="6916" max="6916" width="13" style="319" customWidth="1"/>
    <col min="6917" max="7169" width="9.140625" style="319"/>
    <col min="7170" max="7170" width="14.140625" style="319" customWidth="1"/>
    <col min="7171" max="7171" width="12" style="319" customWidth="1"/>
    <col min="7172" max="7172" width="13" style="319" customWidth="1"/>
    <col min="7173" max="7425" width="9.140625" style="319"/>
    <col min="7426" max="7426" width="14.140625" style="319" customWidth="1"/>
    <col min="7427" max="7427" width="12" style="319" customWidth="1"/>
    <col min="7428" max="7428" width="13" style="319" customWidth="1"/>
    <col min="7429" max="7681" width="9.140625" style="319"/>
    <col min="7682" max="7682" width="14.140625" style="319" customWidth="1"/>
    <col min="7683" max="7683" width="12" style="319" customWidth="1"/>
    <col min="7684" max="7684" width="13" style="319" customWidth="1"/>
    <col min="7685" max="7937" width="9.140625" style="319"/>
    <col min="7938" max="7938" width="14.140625" style="319" customWidth="1"/>
    <col min="7939" max="7939" width="12" style="319" customWidth="1"/>
    <col min="7940" max="7940" width="13" style="319" customWidth="1"/>
    <col min="7941" max="8193" width="9.140625" style="319"/>
    <col min="8194" max="8194" width="14.140625" style="319" customWidth="1"/>
    <col min="8195" max="8195" width="12" style="319" customWidth="1"/>
    <col min="8196" max="8196" width="13" style="319" customWidth="1"/>
    <col min="8197" max="8449" width="9.140625" style="319"/>
    <col min="8450" max="8450" width="14.140625" style="319" customWidth="1"/>
    <col min="8451" max="8451" width="12" style="319" customWidth="1"/>
    <col min="8452" max="8452" width="13" style="319" customWidth="1"/>
    <col min="8453" max="8705" width="9.140625" style="319"/>
    <col min="8706" max="8706" width="14.140625" style="319" customWidth="1"/>
    <col min="8707" max="8707" width="12" style="319" customWidth="1"/>
    <col min="8708" max="8708" width="13" style="319" customWidth="1"/>
    <col min="8709" max="8961" width="9.140625" style="319"/>
    <col min="8962" max="8962" width="14.140625" style="319" customWidth="1"/>
    <col min="8963" max="8963" width="12" style="319" customWidth="1"/>
    <col min="8964" max="8964" width="13" style="319" customWidth="1"/>
    <col min="8965" max="9217" width="9.140625" style="319"/>
    <col min="9218" max="9218" width="14.140625" style="319" customWidth="1"/>
    <col min="9219" max="9219" width="12" style="319" customWidth="1"/>
    <col min="9220" max="9220" width="13" style="319" customWidth="1"/>
    <col min="9221" max="9473" width="9.140625" style="319"/>
    <col min="9474" max="9474" width="14.140625" style="319" customWidth="1"/>
    <col min="9475" max="9475" width="12" style="319" customWidth="1"/>
    <col min="9476" max="9476" width="13" style="319" customWidth="1"/>
    <col min="9477" max="9729" width="9.140625" style="319"/>
    <col min="9730" max="9730" width="14.140625" style="319" customWidth="1"/>
    <col min="9731" max="9731" width="12" style="319" customWidth="1"/>
    <col min="9732" max="9732" width="13" style="319" customWidth="1"/>
    <col min="9733" max="9985" width="9.140625" style="319"/>
    <col min="9986" max="9986" width="14.140625" style="319" customWidth="1"/>
    <col min="9987" max="9987" width="12" style="319" customWidth="1"/>
    <col min="9988" max="9988" width="13" style="319" customWidth="1"/>
    <col min="9989" max="10241" width="9.140625" style="319"/>
    <col min="10242" max="10242" width="14.140625" style="319" customWidth="1"/>
    <col min="10243" max="10243" width="12" style="319" customWidth="1"/>
    <col min="10244" max="10244" width="13" style="319" customWidth="1"/>
    <col min="10245" max="10497" width="9.140625" style="319"/>
    <col min="10498" max="10498" width="14.140625" style="319" customWidth="1"/>
    <col min="10499" max="10499" width="12" style="319" customWidth="1"/>
    <col min="10500" max="10500" width="13" style="319" customWidth="1"/>
    <col min="10501" max="10753" width="9.140625" style="319"/>
    <col min="10754" max="10754" width="14.140625" style="319" customWidth="1"/>
    <col min="10755" max="10755" width="12" style="319" customWidth="1"/>
    <col min="10756" max="10756" width="13" style="319" customWidth="1"/>
    <col min="10757" max="11009" width="9.140625" style="319"/>
    <col min="11010" max="11010" width="14.140625" style="319" customWidth="1"/>
    <col min="11011" max="11011" width="12" style="319" customWidth="1"/>
    <col min="11012" max="11012" width="13" style="319" customWidth="1"/>
    <col min="11013" max="11265" width="9.140625" style="319"/>
    <col min="11266" max="11266" width="14.140625" style="319" customWidth="1"/>
    <col min="11267" max="11267" width="12" style="319" customWidth="1"/>
    <col min="11268" max="11268" width="13" style="319" customWidth="1"/>
    <col min="11269" max="11521" width="9.140625" style="319"/>
    <col min="11522" max="11522" width="14.140625" style="319" customWidth="1"/>
    <col min="11523" max="11523" width="12" style="319" customWidth="1"/>
    <col min="11524" max="11524" width="13" style="319" customWidth="1"/>
    <col min="11525" max="11777" width="9.140625" style="319"/>
    <col min="11778" max="11778" width="14.140625" style="319" customWidth="1"/>
    <col min="11779" max="11779" width="12" style="319" customWidth="1"/>
    <col min="11780" max="11780" width="13" style="319" customWidth="1"/>
    <col min="11781" max="12033" width="9.140625" style="319"/>
    <col min="12034" max="12034" width="14.140625" style="319" customWidth="1"/>
    <col min="12035" max="12035" width="12" style="319" customWidth="1"/>
    <col min="12036" max="12036" width="13" style="319" customWidth="1"/>
    <col min="12037" max="12289" width="9.140625" style="319"/>
    <col min="12290" max="12290" width="14.140625" style="319" customWidth="1"/>
    <col min="12291" max="12291" width="12" style="319" customWidth="1"/>
    <col min="12292" max="12292" width="13" style="319" customWidth="1"/>
    <col min="12293" max="12545" width="9.140625" style="319"/>
    <col min="12546" max="12546" width="14.140625" style="319" customWidth="1"/>
    <col min="12547" max="12547" width="12" style="319" customWidth="1"/>
    <col min="12548" max="12548" width="13" style="319" customWidth="1"/>
    <col min="12549" max="12801" width="9.140625" style="319"/>
    <col min="12802" max="12802" width="14.140625" style="319" customWidth="1"/>
    <col min="12803" max="12803" width="12" style="319" customWidth="1"/>
    <col min="12804" max="12804" width="13" style="319" customWidth="1"/>
    <col min="12805" max="13057" width="9.140625" style="319"/>
    <col min="13058" max="13058" width="14.140625" style="319" customWidth="1"/>
    <col min="13059" max="13059" width="12" style="319" customWidth="1"/>
    <col min="13060" max="13060" width="13" style="319" customWidth="1"/>
    <col min="13061" max="13313" width="9.140625" style="319"/>
    <col min="13314" max="13314" width="14.140625" style="319" customWidth="1"/>
    <col min="13315" max="13315" width="12" style="319" customWidth="1"/>
    <col min="13316" max="13316" width="13" style="319" customWidth="1"/>
    <col min="13317" max="13569" width="9.140625" style="319"/>
    <col min="13570" max="13570" width="14.140625" style="319" customWidth="1"/>
    <col min="13571" max="13571" width="12" style="319" customWidth="1"/>
    <col min="13572" max="13572" width="13" style="319" customWidth="1"/>
    <col min="13573" max="13825" width="9.140625" style="319"/>
    <col min="13826" max="13826" width="14.140625" style="319" customWidth="1"/>
    <col min="13827" max="13827" width="12" style="319" customWidth="1"/>
    <col min="13828" max="13828" width="13" style="319" customWidth="1"/>
    <col min="13829" max="14081" width="9.140625" style="319"/>
    <col min="14082" max="14082" width="14.140625" style="319" customWidth="1"/>
    <col min="14083" max="14083" width="12" style="319" customWidth="1"/>
    <col min="14084" max="14084" width="13" style="319" customWidth="1"/>
    <col min="14085" max="14337" width="9.140625" style="319"/>
    <col min="14338" max="14338" width="14.140625" style="319" customWidth="1"/>
    <col min="14339" max="14339" width="12" style="319" customWidth="1"/>
    <col min="14340" max="14340" width="13" style="319" customWidth="1"/>
    <col min="14341" max="14593" width="9.140625" style="319"/>
    <col min="14594" max="14594" width="14.140625" style="319" customWidth="1"/>
    <col min="14595" max="14595" width="12" style="319" customWidth="1"/>
    <col min="14596" max="14596" width="13" style="319" customWidth="1"/>
    <col min="14597" max="14849" width="9.140625" style="319"/>
    <col min="14850" max="14850" width="14.140625" style="319" customWidth="1"/>
    <col min="14851" max="14851" width="12" style="319" customWidth="1"/>
    <col min="14852" max="14852" width="13" style="319" customWidth="1"/>
    <col min="14853" max="15105" width="9.140625" style="319"/>
    <col min="15106" max="15106" width="14.140625" style="319" customWidth="1"/>
    <col min="15107" max="15107" width="12" style="319" customWidth="1"/>
    <col min="15108" max="15108" width="13" style="319" customWidth="1"/>
    <col min="15109" max="15361" width="9.140625" style="319"/>
    <col min="15362" max="15362" width="14.140625" style="319" customWidth="1"/>
    <col min="15363" max="15363" width="12" style="319" customWidth="1"/>
    <col min="15364" max="15364" width="13" style="319" customWidth="1"/>
    <col min="15365" max="15617" width="9.140625" style="319"/>
    <col min="15618" max="15618" width="14.140625" style="319" customWidth="1"/>
    <col min="15619" max="15619" width="12" style="319" customWidth="1"/>
    <col min="15620" max="15620" width="13" style="319" customWidth="1"/>
    <col min="15621" max="15873" width="9.140625" style="319"/>
    <col min="15874" max="15874" width="14.140625" style="319" customWidth="1"/>
    <col min="15875" max="15875" width="12" style="319" customWidth="1"/>
    <col min="15876" max="15876" width="13" style="319" customWidth="1"/>
    <col min="15877" max="16129" width="9.140625" style="319"/>
    <col min="16130" max="16130" width="14.140625" style="319" customWidth="1"/>
    <col min="16131" max="16131" width="12" style="319" customWidth="1"/>
    <col min="16132" max="16132" width="13" style="319" customWidth="1"/>
    <col min="16133" max="16384" width="9.140625" style="319"/>
  </cols>
  <sheetData>
    <row r="2" spans="2:5" x14ac:dyDescent="0.2">
      <c r="B2" s="319" t="s">
        <v>383</v>
      </c>
    </row>
    <row r="3" spans="2:5" x14ac:dyDescent="0.2">
      <c r="B3" s="336" t="s">
        <v>384</v>
      </c>
      <c r="C3" s="336"/>
      <c r="D3" s="336"/>
    </row>
    <row r="5" spans="2:5" ht="13.5" thickBot="1" x14ac:dyDescent="0.25">
      <c r="B5" s="337" t="s">
        <v>385</v>
      </c>
      <c r="C5" s="337" t="s">
        <v>386</v>
      </c>
      <c r="D5" s="338" t="s">
        <v>387</v>
      </c>
    </row>
    <row r="6" spans="2:5" ht="16.5" thickTop="1" x14ac:dyDescent="0.25">
      <c r="B6" s="339" t="s">
        <v>388</v>
      </c>
      <c r="C6" s="340" t="s">
        <v>389</v>
      </c>
      <c r="D6" s="341">
        <v>341</v>
      </c>
    </row>
    <row r="7" spans="2:5" ht="15.75" x14ac:dyDescent="0.25">
      <c r="B7" s="342" t="s">
        <v>390</v>
      </c>
      <c r="C7" s="342" t="s">
        <v>388</v>
      </c>
      <c r="D7" s="343">
        <v>352</v>
      </c>
    </row>
    <row r="8" spans="2:5" ht="15.75" x14ac:dyDescent="0.25">
      <c r="B8" s="344" t="s">
        <v>391</v>
      </c>
      <c r="C8" s="342" t="s">
        <v>390</v>
      </c>
      <c r="D8" s="343">
        <v>346</v>
      </c>
    </row>
    <row r="9" spans="2:5" ht="15.75" x14ac:dyDescent="0.25">
      <c r="B9" s="344" t="s">
        <v>392</v>
      </c>
      <c r="C9" s="344" t="s">
        <v>391</v>
      </c>
      <c r="D9" s="343">
        <v>353</v>
      </c>
    </row>
    <row r="10" spans="2:5" x14ac:dyDescent="0.2">
      <c r="B10" s="345" t="s">
        <v>393</v>
      </c>
      <c r="C10" s="345" t="s">
        <v>392</v>
      </c>
      <c r="D10" s="343">
        <v>350</v>
      </c>
    </row>
    <row r="11" spans="2:5" x14ac:dyDescent="0.2">
      <c r="B11" s="345" t="s">
        <v>394</v>
      </c>
      <c r="C11" s="345" t="s">
        <v>393</v>
      </c>
      <c r="D11" s="343">
        <v>369</v>
      </c>
    </row>
    <row r="12" spans="2:5" x14ac:dyDescent="0.2">
      <c r="B12" s="345" t="s">
        <v>395</v>
      </c>
      <c r="C12" s="345" t="s">
        <v>394</v>
      </c>
      <c r="D12" s="343">
        <v>367</v>
      </c>
    </row>
    <row r="13" spans="2:5" x14ac:dyDescent="0.2">
      <c r="B13" s="345" t="s">
        <v>396</v>
      </c>
      <c r="C13" s="345" t="s">
        <v>395</v>
      </c>
      <c r="D13" s="343">
        <v>338</v>
      </c>
    </row>
    <row r="14" spans="2:5" ht="15.75" x14ac:dyDescent="0.25">
      <c r="B14" s="345" t="s">
        <v>397</v>
      </c>
      <c r="C14" s="345" t="s">
        <v>396</v>
      </c>
      <c r="D14" s="343">
        <v>343</v>
      </c>
      <c r="E14" s="346"/>
    </row>
    <row r="15" spans="2:5" x14ac:dyDescent="0.2">
      <c r="B15" s="345" t="s">
        <v>398</v>
      </c>
      <c r="C15" s="345" t="s">
        <v>397</v>
      </c>
      <c r="D15" s="343">
        <v>337</v>
      </c>
    </row>
    <row r="16" spans="2:5" x14ac:dyDescent="0.2">
      <c r="B16" s="345" t="s">
        <v>399</v>
      </c>
      <c r="C16" s="345" t="s">
        <v>398</v>
      </c>
      <c r="D16" s="343">
        <v>334</v>
      </c>
    </row>
    <row r="17" spans="1:4" ht="13.5" thickBot="1" x14ac:dyDescent="0.25">
      <c r="B17" s="345" t="s">
        <v>400</v>
      </c>
      <c r="C17" s="345" t="s">
        <v>399</v>
      </c>
      <c r="D17" s="347">
        <v>331</v>
      </c>
    </row>
    <row r="18" spans="1:4" x14ac:dyDescent="0.2">
      <c r="C18" s="348" t="s">
        <v>401</v>
      </c>
      <c r="D18" s="349">
        <f>SUM(D6:D17)/12</f>
        <v>346.75</v>
      </c>
    </row>
    <row r="21" spans="1:4" x14ac:dyDescent="0.2">
      <c r="D21" s="319">
        <v>346</v>
      </c>
    </row>
    <row r="23" spans="1:4" x14ac:dyDescent="0.2">
      <c r="A23" s="350" t="s">
        <v>402</v>
      </c>
      <c r="B23" s="350"/>
    </row>
    <row r="24" spans="1:4" x14ac:dyDescent="0.2">
      <c r="D24" s="351">
        <f>D18-D21</f>
        <v>0.75</v>
      </c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indexed="11"/>
    <pageSetUpPr fitToPage="1"/>
  </sheetPr>
  <dimension ref="A1:P47"/>
  <sheetViews>
    <sheetView zoomScale="85" workbookViewId="0">
      <selection activeCell="A17" sqref="A17:IV18"/>
    </sheetView>
  </sheetViews>
  <sheetFormatPr defaultRowHeight="15.75" x14ac:dyDescent="0.25"/>
  <cols>
    <col min="1" max="1" width="11.7109375" style="182" customWidth="1"/>
    <col min="2" max="5" width="10.42578125" style="182" bestFit="1" customWidth="1"/>
    <col min="6" max="6" width="10.5703125" style="182" bestFit="1" customWidth="1"/>
    <col min="7" max="7" width="11.28515625" style="182" hidden="1" customWidth="1"/>
    <col min="8" max="8" width="10.85546875" style="182" hidden="1" customWidth="1"/>
    <col min="9" max="10" width="0" style="182" hidden="1" customWidth="1"/>
    <col min="11" max="11" width="11.28515625" style="182" customWidth="1"/>
    <col min="12" max="12" width="14" style="182" bestFit="1" customWidth="1"/>
    <col min="13" max="13" width="10.5703125" style="182" bestFit="1" customWidth="1"/>
    <col min="14" max="14" width="10.42578125" style="182" bestFit="1" customWidth="1"/>
    <col min="15" max="15" width="11.28515625" style="182" bestFit="1" customWidth="1"/>
    <col min="16" max="16" width="10.5703125" style="185" bestFit="1" customWidth="1"/>
    <col min="17" max="16384" width="9.140625" style="182"/>
  </cols>
  <sheetData>
    <row r="1" spans="1:16" x14ac:dyDescent="0.25">
      <c r="A1" s="182" t="s">
        <v>139</v>
      </c>
    </row>
    <row r="2" spans="1:16" x14ac:dyDescent="0.25">
      <c r="A2" s="183" t="s">
        <v>144</v>
      </c>
      <c r="F2" s="183"/>
      <c r="G2" s="183"/>
    </row>
    <row r="3" spans="1:16" x14ac:dyDescent="0.25">
      <c r="A3" s="182" t="e">
        <f>+#REF!</f>
        <v>#REF!</v>
      </c>
    </row>
    <row r="5" spans="1:16" x14ac:dyDescent="0.25">
      <c r="B5" s="184" t="s">
        <v>160</v>
      </c>
      <c r="C5" s="184" t="s">
        <v>161</v>
      </c>
      <c r="D5" s="184" t="s">
        <v>162</v>
      </c>
      <c r="E5" s="184" t="s">
        <v>163</v>
      </c>
      <c r="F5" s="186" t="s">
        <v>1</v>
      </c>
      <c r="G5" s="184" t="s">
        <v>97</v>
      </c>
      <c r="H5" s="184" t="s">
        <v>164</v>
      </c>
      <c r="I5" s="184" t="s">
        <v>98</v>
      </c>
      <c r="J5" s="184" t="s">
        <v>165</v>
      </c>
      <c r="K5" s="184" t="s">
        <v>166</v>
      </c>
      <c r="L5" s="184" t="s">
        <v>167</v>
      </c>
      <c r="M5" s="186" t="s">
        <v>1</v>
      </c>
      <c r="N5" s="184" t="s">
        <v>168</v>
      </c>
      <c r="O5" s="214" t="s">
        <v>51</v>
      </c>
      <c r="P5" s="215" t="s">
        <v>1</v>
      </c>
    </row>
    <row r="6" spans="1:16" x14ac:dyDescent="0.25">
      <c r="A6" s="185" t="s">
        <v>140</v>
      </c>
      <c r="B6" s="187" t="s">
        <v>169</v>
      </c>
      <c r="C6" s="187" t="s">
        <v>170</v>
      </c>
      <c r="D6" s="187" t="s">
        <v>171</v>
      </c>
      <c r="E6" s="187" t="s">
        <v>172</v>
      </c>
      <c r="F6" s="188" t="s">
        <v>173</v>
      </c>
      <c r="G6" s="187" t="s">
        <v>174</v>
      </c>
      <c r="H6" s="187" t="s">
        <v>175</v>
      </c>
      <c r="I6" s="187" t="s">
        <v>176</v>
      </c>
      <c r="J6" s="187" t="s">
        <v>177</v>
      </c>
      <c r="K6" s="187" t="s">
        <v>178</v>
      </c>
      <c r="L6" s="187" t="s">
        <v>96</v>
      </c>
      <c r="M6" s="188" t="s">
        <v>179</v>
      </c>
      <c r="N6" s="187" t="s">
        <v>180</v>
      </c>
      <c r="O6" s="216" t="s">
        <v>181</v>
      </c>
      <c r="P6" s="217" t="s">
        <v>182</v>
      </c>
    </row>
    <row r="7" spans="1:16" x14ac:dyDescent="0.25">
      <c r="A7" s="189" t="e">
        <f>+#REF!</f>
        <v>#REF!</v>
      </c>
      <c r="B7" s="218">
        <v>48283</v>
      </c>
      <c r="C7" s="218">
        <v>24721</v>
      </c>
      <c r="D7" s="218">
        <v>20820</v>
      </c>
      <c r="E7" s="218">
        <v>16464</v>
      </c>
      <c r="F7" s="191">
        <f t="shared" ref="F7:F18" si="0">SUM(B7:E7)</f>
        <v>110288</v>
      </c>
      <c r="G7" s="190">
        <v>0</v>
      </c>
      <c r="H7" s="190">
        <v>0</v>
      </c>
      <c r="I7" s="190">
        <v>0</v>
      </c>
      <c r="J7" s="190">
        <v>0</v>
      </c>
      <c r="K7" s="197">
        <v>4841</v>
      </c>
      <c r="L7" s="197">
        <v>122475</v>
      </c>
      <c r="M7" s="191">
        <f t="shared" ref="M7:M17" si="1">SUM(G7:L7)</f>
        <v>127316</v>
      </c>
      <c r="N7" s="197">
        <v>425</v>
      </c>
      <c r="O7" s="219">
        <v>3476</v>
      </c>
      <c r="P7" s="220">
        <f>+F7+M7+N7+O7</f>
        <v>241505</v>
      </c>
    </row>
    <row r="8" spans="1:16" x14ac:dyDescent="0.25">
      <c r="A8" s="189" t="e">
        <f>+#REF!</f>
        <v>#REF!</v>
      </c>
      <c r="B8" s="218">
        <v>48414</v>
      </c>
      <c r="C8" s="218">
        <v>24766</v>
      </c>
      <c r="D8" s="218">
        <v>20866</v>
      </c>
      <c r="E8" s="218">
        <v>16582</v>
      </c>
      <c r="F8" s="191">
        <f t="shared" si="0"/>
        <v>110628</v>
      </c>
      <c r="G8" s="190">
        <v>0</v>
      </c>
      <c r="H8" s="190">
        <v>0</v>
      </c>
      <c r="I8" s="190">
        <v>0</v>
      </c>
      <c r="J8" s="190">
        <v>0</v>
      </c>
      <c r="K8" s="197">
        <v>4867</v>
      </c>
      <c r="L8" s="197">
        <v>122839</v>
      </c>
      <c r="M8" s="191">
        <f t="shared" si="1"/>
        <v>127706</v>
      </c>
      <c r="N8" s="197">
        <v>438</v>
      </c>
      <c r="O8" s="219">
        <v>3552</v>
      </c>
      <c r="P8" s="220">
        <f t="shared" ref="P8:P17" si="2">+F8+M8+N8+O8</f>
        <v>242324</v>
      </c>
    </row>
    <row r="9" spans="1:16" x14ac:dyDescent="0.25">
      <c r="A9" s="189" t="e">
        <f>+#REF!</f>
        <v>#REF!</v>
      </c>
      <c r="B9" s="218">
        <v>48836</v>
      </c>
      <c r="C9" s="218">
        <v>25062</v>
      </c>
      <c r="D9" s="218">
        <v>20987</v>
      </c>
      <c r="E9" s="218">
        <v>16645</v>
      </c>
      <c r="F9" s="191">
        <f t="shared" si="0"/>
        <v>111530</v>
      </c>
      <c r="G9" s="190">
        <v>0</v>
      </c>
      <c r="H9" s="190">
        <v>0</v>
      </c>
      <c r="I9" s="190">
        <v>0</v>
      </c>
      <c r="J9" s="190">
        <v>0</v>
      </c>
      <c r="K9" s="197">
        <v>4912</v>
      </c>
      <c r="L9" s="197">
        <v>123782</v>
      </c>
      <c r="M9" s="191">
        <f t="shared" si="1"/>
        <v>128694</v>
      </c>
      <c r="N9" s="197">
        <v>438</v>
      </c>
      <c r="O9" s="219">
        <v>4018</v>
      </c>
      <c r="P9" s="220">
        <f t="shared" si="2"/>
        <v>244680</v>
      </c>
    </row>
    <row r="10" spans="1:16" x14ac:dyDescent="0.25">
      <c r="A10" s="189" t="e">
        <f>+#REF!</f>
        <v>#REF!</v>
      </c>
      <c r="B10" s="218">
        <v>48041</v>
      </c>
      <c r="C10" s="218">
        <v>25007</v>
      </c>
      <c r="D10" s="218">
        <v>20992</v>
      </c>
      <c r="E10" s="218">
        <v>16585</v>
      </c>
      <c r="F10" s="191">
        <f t="shared" si="0"/>
        <v>110625</v>
      </c>
      <c r="G10" s="190">
        <v>0</v>
      </c>
      <c r="H10" s="190">
        <v>0</v>
      </c>
      <c r="I10" s="190">
        <v>0</v>
      </c>
      <c r="J10" s="190">
        <v>0</v>
      </c>
      <c r="K10" s="197">
        <v>4888</v>
      </c>
      <c r="L10" s="197">
        <v>123963</v>
      </c>
      <c r="M10" s="191">
        <f t="shared" si="1"/>
        <v>128851</v>
      </c>
      <c r="N10" s="197">
        <v>441</v>
      </c>
      <c r="O10" s="219">
        <v>3620</v>
      </c>
      <c r="P10" s="220">
        <f t="shared" si="2"/>
        <v>243537</v>
      </c>
    </row>
    <row r="11" spans="1:16" x14ac:dyDescent="0.25">
      <c r="A11" s="189" t="e">
        <f>+#REF!</f>
        <v>#REF!</v>
      </c>
      <c r="B11" s="218">
        <v>49754</v>
      </c>
      <c r="C11" s="218">
        <v>25023</v>
      </c>
      <c r="D11" s="218">
        <v>20985</v>
      </c>
      <c r="E11" s="218">
        <v>16628</v>
      </c>
      <c r="F11" s="191">
        <f t="shared" si="0"/>
        <v>112390</v>
      </c>
      <c r="G11" s="190">
        <v>0</v>
      </c>
      <c r="H11" s="190">
        <v>0</v>
      </c>
      <c r="I11" s="190">
        <v>0</v>
      </c>
      <c r="J11" s="190">
        <v>0</v>
      </c>
      <c r="K11" s="197">
        <v>4917</v>
      </c>
      <c r="L11" s="197">
        <v>124312</v>
      </c>
      <c r="M11" s="191">
        <f t="shared" si="1"/>
        <v>129229</v>
      </c>
      <c r="N11" s="197">
        <v>442</v>
      </c>
      <c r="O11" s="219">
        <v>3631</v>
      </c>
      <c r="P11" s="220">
        <f t="shared" si="2"/>
        <v>245692</v>
      </c>
    </row>
    <row r="12" spans="1:16" x14ac:dyDescent="0.25">
      <c r="A12" s="189" t="e">
        <f>+#REF!</f>
        <v>#REF!</v>
      </c>
      <c r="B12" s="218">
        <v>49038</v>
      </c>
      <c r="C12" s="218">
        <v>25139</v>
      </c>
      <c r="D12" s="218">
        <v>21017</v>
      </c>
      <c r="E12" s="218">
        <v>16652</v>
      </c>
      <c r="F12" s="191">
        <f t="shared" si="0"/>
        <v>111846</v>
      </c>
      <c r="G12" s="190">
        <v>0</v>
      </c>
      <c r="H12" s="190">
        <v>0</v>
      </c>
      <c r="I12" s="190">
        <v>0</v>
      </c>
      <c r="J12" s="190">
        <v>0</v>
      </c>
      <c r="K12" s="197">
        <v>4936</v>
      </c>
      <c r="L12" s="197">
        <v>124576</v>
      </c>
      <c r="M12" s="191">
        <f t="shared" si="1"/>
        <v>129512</v>
      </c>
      <c r="N12" s="197">
        <v>444</v>
      </c>
      <c r="O12" s="219">
        <v>3626</v>
      </c>
      <c r="P12" s="220">
        <f t="shared" si="2"/>
        <v>245428</v>
      </c>
    </row>
    <row r="13" spans="1:16" x14ac:dyDescent="0.25">
      <c r="A13" s="189" t="e">
        <f>+#REF!</f>
        <v>#REF!</v>
      </c>
      <c r="B13" s="218">
        <v>48914</v>
      </c>
      <c r="C13" s="218">
        <v>25079</v>
      </c>
      <c r="D13" s="218">
        <v>20994</v>
      </c>
      <c r="E13" s="218">
        <v>16711</v>
      </c>
      <c r="F13" s="191">
        <f t="shared" si="0"/>
        <v>111698</v>
      </c>
      <c r="G13" s="190">
        <v>0</v>
      </c>
      <c r="H13" s="190">
        <v>0</v>
      </c>
      <c r="I13" s="190">
        <v>0</v>
      </c>
      <c r="J13" s="190">
        <v>0</v>
      </c>
      <c r="K13" s="197">
        <v>4925</v>
      </c>
      <c r="L13" s="197">
        <v>124095</v>
      </c>
      <c r="M13" s="191">
        <f t="shared" si="1"/>
        <v>129020</v>
      </c>
      <c r="N13" s="197">
        <v>432</v>
      </c>
      <c r="O13" s="219">
        <v>3586</v>
      </c>
      <c r="P13" s="220">
        <f t="shared" si="2"/>
        <v>244736</v>
      </c>
    </row>
    <row r="14" spans="1:16" x14ac:dyDescent="0.25">
      <c r="A14" s="189" t="e">
        <f>+#REF!</f>
        <v>#REF!</v>
      </c>
      <c r="B14" s="218">
        <v>49138</v>
      </c>
      <c r="C14" s="218">
        <v>25140</v>
      </c>
      <c r="D14" s="218">
        <v>20917</v>
      </c>
      <c r="E14" s="218">
        <v>16665</v>
      </c>
      <c r="F14" s="191">
        <f t="shared" si="0"/>
        <v>111860</v>
      </c>
      <c r="G14" s="190">
        <v>0</v>
      </c>
      <c r="H14" s="190">
        <v>0</v>
      </c>
      <c r="I14" s="190">
        <v>0</v>
      </c>
      <c r="J14" s="190">
        <v>0</v>
      </c>
      <c r="K14" s="197">
        <v>4889</v>
      </c>
      <c r="L14" s="197">
        <v>123946</v>
      </c>
      <c r="M14" s="191">
        <f t="shared" si="1"/>
        <v>128835</v>
      </c>
      <c r="N14" s="197">
        <v>429</v>
      </c>
      <c r="O14" s="219">
        <v>3574</v>
      </c>
      <c r="P14" s="220">
        <f t="shared" si="2"/>
        <v>244698</v>
      </c>
    </row>
    <row r="15" spans="1:16" x14ac:dyDescent="0.25">
      <c r="A15" s="189" t="e">
        <f>+#REF!</f>
        <v>#REF!</v>
      </c>
      <c r="B15" s="218">
        <v>48790</v>
      </c>
      <c r="C15" s="218">
        <v>24973</v>
      </c>
      <c r="D15" s="218">
        <v>20845</v>
      </c>
      <c r="E15" s="218">
        <v>16626</v>
      </c>
      <c r="F15" s="191">
        <f t="shared" si="0"/>
        <v>111234</v>
      </c>
      <c r="G15" s="190">
        <v>0</v>
      </c>
      <c r="H15" s="190">
        <v>0</v>
      </c>
      <c r="I15" s="190">
        <v>0</v>
      </c>
      <c r="J15" s="190">
        <v>0</v>
      </c>
      <c r="K15" s="197">
        <v>4920</v>
      </c>
      <c r="L15" s="197">
        <v>123197</v>
      </c>
      <c r="M15" s="191">
        <f t="shared" si="1"/>
        <v>128117</v>
      </c>
      <c r="N15" s="197">
        <v>422</v>
      </c>
      <c r="O15" s="219">
        <v>3495</v>
      </c>
      <c r="P15" s="220">
        <f t="shared" si="2"/>
        <v>243268</v>
      </c>
    </row>
    <row r="16" spans="1:16" x14ac:dyDescent="0.25">
      <c r="A16" s="189" t="e">
        <f>+#REF!</f>
        <v>#REF!</v>
      </c>
      <c r="B16" s="218">
        <v>48650</v>
      </c>
      <c r="C16" s="218">
        <v>24717</v>
      </c>
      <c r="D16" s="218">
        <v>20780</v>
      </c>
      <c r="E16" s="218">
        <v>16666</v>
      </c>
      <c r="F16" s="191">
        <f t="shared" si="0"/>
        <v>110813</v>
      </c>
      <c r="G16" s="190">
        <v>0</v>
      </c>
      <c r="H16" s="190">
        <v>0</v>
      </c>
      <c r="I16" s="190">
        <v>0</v>
      </c>
      <c r="J16" s="190">
        <v>0</v>
      </c>
      <c r="K16" s="197">
        <v>4897</v>
      </c>
      <c r="L16" s="197">
        <v>123088</v>
      </c>
      <c r="M16" s="191">
        <f t="shared" si="1"/>
        <v>127985</v>
      </c>
      <c r="N16" s="197">
        <v>427</v>
      </c>
      <c r="O16" s="219">
        <v>3490</v>
      </c>
      <c r="P16" s="220">
        <f t="shared" si="2"/>
        <v>242715</v>
      </c>
    </row>
    <row r="17" spans="1:16" x14ac:dyDescent="0.25">
      <c r="A17" s="189" t="e">
        <f>+#REF!</f>
        <v>#REF!</v>
      </c>
      <c r="B17" s="218">
        <v>48732</v>
      </c>
      <c r="C17" s="218">
        <v>24816</v>
      </c>
      <c r="D17" s="218">
        <v>20785</v>
      </c>
      <c r="E17" s="218">
        <v>16694</v>
      </c>
      <c r="F17" s="191">
        <f t="shared" si="0"/>
        <v>111027</v>
      </c>
      <c r="G17" s="190">
        <v>0</v>
      </c>
      <c r="H17" s="190">
        <v>0</v>
      </c>
      <c r="I17" s="190">
        <v>0</v>
      </c>
      <c r="J17" s="190">
        <v>0</v>
      </c>
      <c r="K17" s="197">
        <v>4911</v>
      </c>
      <c r="L17" s="197">
        <v>123014</v>
      </c>
      <c r="M17" s="191">
        <f t="shared" si="1"/>
        <v>127925</v>
      </c>
      <c r="N17" s="197">
        <v>0</v>
      </c>
      <c r="O17" s="219">
        <v>0</v>
      </c>
      <c r="P17" s="220">
        <f t="shared" si="2"/>
        <v>238952</v>
      </c>
    </row>
    <row r="18" spans="1:16" x14ac:dyDescent="0.25">
      <c r="A18" s="189" t="e">
        <f>+#REF!</f>
        <v>#REF!</v>
      </c>
      <c r="B18" s="218">
        <v>48703</v>
      </c>
      <c r="C18" s="218">
        <v>24742</v>
      </c>
      <c r="D18" s="218">
        <v>20749</v>
      </c>
      <c r="E18" s="218">
        <v>16562</v>
      </c>
      <c r="F18" s="191">
        <f t="shared" si="0"/>
        <v>110756</v>
      </c>
      <c r="G18" s="190">
        <v>0</v>
      </c>
      <c r="H18" s="190">
        <v>0</v>
      </c>
      <c r="I18" s="190">
        <v>0</v>
      </c>
      <c r="J18" s="190">
        <v>0</v>
      </c>
      <c r="K18" s="197">
        <v>4889</v>
      </c>
      <c r="L18" s="197">
        <v>122653</v>
      </c>
      <c r="M18" s="191">
        <f>SUM(G18:L18)</f>
        <v>127542</v>
      </c>
      <c r="N18" s="197">
        <v>0</v>
      </c>
      <c r="O18" s="219">
        <v>0</v>
      </c>
      <c r="P18" s="220">
        <f>+F18+M18+N18+O18</f>
        <v>238298</v>
      </c>
    </row>
    <row r="19" spans="1:16" ht="16.5" thickBot="1" x14ac:dyDescent="0.3">
      <c r="A19" s="182" t="s">
        <v>141</v>
      </c>
      <c r="B19" s="221">
        <f>SUM(B7:B18)/12</f>
        <v>48774.416666666664</v>
      </c>
      <c r="C19" s="221">
        <f t="shared" ref="C19:M19" si="3">SUM(C7:C18)/12</f>
        <v>24932.083333333332</v>
      </c>
      <c r="D19" s="221">
        <f t="shared" si="3"/>
        <v>20894.75</v>
      </c>
      <c r="E19" s="221">
        <f t="shared" si="3"/>
        <v>16623.333333333332</v>
      </c>
      <c r="F19" s="221">
        <f t="shared" si="3"/>
        <v>111224.58333333333</v>
      </c>
      <c r="G19" s="221">
        <f t="shared" si="3"/>
        <v>0</v>
      </c>
      <c r="H19" s="221">
        <f t="shared" si="3"/>
        <v>0</v>
      </c>
      <c r="I19" s="221">
        <f t="shared" si="3"/>
        <v>0</v>
      </c>
      <c r="J19" s="221">
        <f t="shared" si="3"/>
        <v>0</v>
      </c>
      <c r="K19" s="221">
        <f t="shared" si="3"/>
        <v>4899.333333333333</v>
      </c>
      <c r="L19" s="221">
        <f t="shared" si="3"/>
        <v>123495</v>
      </c>
      <c r="M19" s="221">
        <f t="shared" si="3"/>
        <v>128394.33333333333</v>
      </c>
      <c r="N19" s="221">
        <f>SUM(N7:N18)/12</f>
        <v>361.5</v>
      </c>
      <c r="O19" s="221">
        <f>SUM(O7:O18)/12</f>
        <v>3005.6666666666665</v>
      </c>
      <c r="P19" s="222">
        <f>SUM(P7:P18)/12</f>
        <v>242986.08333333334</v>
      </c>
    </row>
    <row r="20" spans="1:16" ht="16.5" thickTop="1" x14ac:dyDescent="0.25"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223"/>
    </row>
    <row r="21" spans="1:16" x14ac:dyDescent="0.25">
      <c r="O21" s="199"/>
      <c r="P21" s="224"/>
    </row>
    <row r="22" spans="1:16" x14ac:dyDescent="0.25">
      <c r="B22" s="184" t="s">
        <v>160</v>
      </c>
      <c r="C22" s="184" t="s">
        <v>161</v>
      </c>
      <c r="D22" s="184" t="s">
        <v>162</v>
      </c>
      <c r="E22" s="184" t="s">
        <v>163</v>
      </c>
      <c r="F22" s="186" t="s">
        <v>1</v>
      </c>
      <c r="G22" s="184" t="s">
        <v>97</v>
      </c>
      <c r="H22" s="184" t="s">
        <v>164</v>
      </c>
      <c r="I22" s="184" t="s">
        <v>98</v>
      </c>
      <c r="J22" s="184" t="s">
        <v>165</v>
      </c>
      <c r="K22" s="184" t="s">
        <v>166</v>
      </c>
      <c r="L22" s="184" t="s">
        <v>167</v>
      </c>
      <c r="M22" s="186" t="s">
        <v>1</v>
      </c>
      <c r="N22" s="184" t="s">
        <v>168</v>
      </c>
      <c r="O22" s="214" t="s">
        <v>51</v>
      </c>
      <c r="P22" s="215" t="s">
        <v>1</v>
      </c>
    </row>
    <row r="23" spans="1:16" x14ac:dyDescent="0.25">
      <c r="A23" s="185" t="s">
        <v>142</v>
      </c>
      <c r="B23" s="187" t="s">
        <v>169</v>
      </c>
      <c r="C23" s="187" t="s">
        <v>170</v>
      </c>
      <c r="D23" s="187" t="s">
        <v>171</v>
      </c>
      <c r="E23" s="187" t="s">
        <v>172</v>
      </c>
      <c r="F23" s="188" t="s">
        <v>173</v>
      </c>
      <c r="G23" s="187" t="s">
        <v>174</v>
      </c>
      <c r="H23" s="187" t="s">
        <v>175</v>
      </c>
      <c r="I23" s="187" t="s">
        <v>176</v>
      </c>
      <c r="J23" s="187" t="s">
        <v>177</v>
      </c>
      <c r="K23" s="187" t="s">
        <v>178</v>
      </c>
      <c r="L23" s="187" t="s">
        <v>96</v>
      </c>
      <c r="M23" s="188" t="s">
        <v>179</v>
      </c>
      <c r="N23" s="187" t="s">
        <v>180</v>
      </c>
      <c r="O23" s="216" t="s">
        <v>181</v>
      </c>
      <c r="P23" s="217" t="s">
        <v>182</v>
      </c>
    </row>
    <row r="24" spans="1:16" x14ac:dyDescent="0.25">
      <c r="A24" s="189" t="e">
        <f>+A7</f>
        <v>#REF!</v>
      </c>
      <c r="B24" s="225">
        <v>73</v>
      </c>
      <c r="C24" s="225">
        <v>3</v>
      </c>
      <c r="D24" s="225">
        <v>254</v>
      </c>
      <c r="E24" s="225">
        <v>2</v>
      </c>
      <c r="F24" s="191">
        <f t="shared" ref="F24:F35" si="4">SUM(B24:E24)</f>
        <v>332</v>
      </c>
      <c r="G24" s="198">
        <v>0</v>
      </c>
      <c r="H24" s="198">
        <v>0</v>
      </c>
      <c r="I24" s="198">
        <v>0</v>
      </c>
      <c r="J24" s="198">
        <v>0</v>
      </c>
      <c r="K24" s="225">
        <v>7</v>
      </c>
      <c r="L24" s="225">
        <v>367</v>
      </c>
      <c r="M24" s="191">
        <f t="shared" ref="M24:M35" si="5">SUM(G24:L24)</f>
        <v>374</v>
      </c>
      <c r="N24" s="190">
        <v>0</v>
      </c>
      <c r="O24" s="226">
        <v>0</v>
      </c>
      <c r="P24" s="220">
        <f t="shared" ref="P24:P36" si="6">+F24+M24+N24+O24</f>
        <v>706</v>
      </c>
    </row>
    <row r="25" spans="1:16" x14ac:dyDescent="0.25">
      <c r="A25" s="189" t="e">
        <f t="shared" ref="A25:A35" si="7">+A8</f>
        <v>#REF!</v>
      </c>
      <c r="B25" s="225">
        <v>73</v>
      </c>
      <c r="C25" s="225">
        <v>3</v>
      </c>
      <c r="D25" s="225">
        <v>254</v>
      </c>
      <c r="E25" s="225">
        <v>2</v>
      </c>
      <c r="F25" s="191">
        <f t="shared" si="4"/>
        <v>332</v>
      </c>
      <c r="G25" s="198">
        <v>0</v>
      </c>
      <c r="H25" s="198">
        <v>0</v>
      </c>
      <c r="I25" s="198">
        <v>0</v>
      </c>
      <c r="J25" s="198">
        <v>0</v>
      </c>
      <c r="K25" s="225">
        <v>7</v>
      </c>
      <c r="L25" s="225">
        <v>366</v>
      </c>
      <c r="M25" s="191">
        <f t="shared" si="5"/>
        <v>373</v>
      </c>
      <c r="N25" s="190">
        <v>0</v>
      </c>
      <c r="O25" s="226">
        <v>0</v>
      </c>
      <c r="P25" s="220">
        <f t="shared" si="6"/>
        <v>705</v>
      </c>
    </row>
    <row r="26" spans="1:16" x14ac:dyDescent="0.25">
      <c r="A26" s="189" t="e">
        <f t="shared" si="7"/>
        <v>#REF!</v>
      </c>
      <c r="B26" s="225">
        <v>73</v>
      </c>
      <c r="C26" s="225">
        <v>3</v>
      </c>
      <c r="D26" s="225">
        <v>254</v>
      </c>
      <c r="E26" s="225">
        <v>2</v>
      </c>
      <c r="F26" s="191">
        <f t="shared" si="4"/>
        <v>332</v>
      </c>
      <c r="G26" s="198">
        <v>0</v>
      </c>
      <c r="H26" s="198">
        <v>0</v>
      </c>
      <c r="I26" s="198">
        <v>0</v>
      </c>
      <c r="J26" s="198">
        <v>0</v>
      </c>
      <c r="K26" s="225">
        <v>7</v>
      </c>
      <c r="L26" s="225">
        <v>372</v>
      </c>
      <c r="M26" s="191">
        <f t="shared" si="5"/>
        <v>379</v>
      </c>
      <c r="N26" s="190">
        <v>0</v>
      </c>
      <c r="O26" s="226">
        <v>0</v>
      </c>
      <c r="P26" s="220">
        <f t="shared" si="6"/>
        <v>711</v>
      </c>
    </row>
    <row r="27" spans="1:16" x14ac:dyDescent="0.25">
      <c r="A27" s="189" t="e">
        <f t="shared" si="7"/>
        <v>#REF!</v>
      </c>
      <c r="B27" s="225">
        <v>73</v>
      </c>
      <c r="C27" s="225">
        <v>5</v>
      </c>
      <c r="D27" s="225">
        <v>255</v>
      </c>
      <c r="E27" s="225">
        <v>2</v>
      </c>
      <c r="F27" s="191">
        <f t="shared" si="4"/>
        <v>335</v>
      </c>
      <c r="G27" s="198">
        <v>0</v>
      </c>
      <c r="H27" s="198">
        <v>0</v>
      </c>
      <c r="I27" s="198">
        <v>0</v>
      </c>
      <c r="J27" s="198">
        <v>0</v>
      </c>
      <c r="K27" s="225">
        <v>7</v>
      </c>
      <c r="L27" s="225">
        <v>368</v>
      </c>
      <c r="M27" s="191">
        <f t="shared" si="5"/>
        <v>375</v>
      </c>
      <c r="N27" s="190">
        <v>0</v>
      </c>
      <c r="O27" s="226">
        <v>0</v>
      </c>
      <c r="P27" s="220">
        <f t="shared" si="6"/>
        <v>710</v>
      </c>
    </row>
    <row r="28" spans="1:16" x14ac:dyDescent="0.25">
      <c r="A28" s="189" t="e">
        <f t="shared" si="7"/>
        <v>#REF!</v>
      </c>
      <c r="B28" s="225">
        <v>75</v>
      </c>
      <c r="C28" s="225">
        <v>1</v>
      </c>
      <c r="D28" s="225">
        <v>254</v>
      </c>
      <c r="E28" s="225">
        <v>2</v>
      </c>
      <c r="F28" s="191">
        <f t="shared" si="4"/>
        <v>332</v>
      </c>
      <c r="G28" s="198">
        <v>0</v>
      </c>
      <c r="H28" s="198">
        <v>0</v>
      </c>
      <c r="I28" s="198">
        <v>0</v>
      </c>
      <c r="J28" s="198">
        <v>0</v>
      </c>
      <c r="K28" s="225">
        <v>7</v>
      </c>
      <c r="L28" s="225">
        <v>368</v>
      </c>
      <c r="M28" s="191">
        <f t="shared" si="5"/>
        <v>375</v>
      </c>
      <c r="N28" s="190">
        <v>0</v>
      </c>
      <c r="O28" s="226">
        <v>0</v>
      </c>
      <c r="P28" s="220">
        <f t="shared" si="6"/>
        <v>707</v>
      </c>
    </row>
    <row r="29" spans="1:16" x14ac:dyDescent="0.25">
      <c r="A29" s="189" t="e">
        <f t="shared" si="7"/>
        <v>#REF!</v>
      </c>
      <c r="B29" s="225">
        <v>75</v>
      </c>
      <c r="C29" s="225">
        <v>3</v>
      </c>
      <c r="D29" s="225">
        <v>254</v>
      </c>
      <c r="E29" s="225">
        <v>2</v>
      </c>
      <c r="F29" s="191">
        <f t="shared" si="4"/>
        <v>334</v>
      </c>
      <c r="G29" s="198">
        <v>0</v>
      </c>
      <c r="H29" s="198">
        <v>0</v>
      </c>
      <c r="I29" s="198">
        <v>0</v>
      </c>
      <c r="J29" s="198">
        <v>0</v>
      </c>
      <c r="K29" s="225">
        <v>7</v>
      </c>
      <c r="L29" s="225">
        <v>366</v>
      </c>
      <c r="M29" s="191">
        <f t="shared" si="5"/>
        <v>373</v>
      </c>
      <c r="N29" s="190">
        <v>0</v>
      </c>
      <c r="O29" s="226">
        <v>0</v>
      </c>
      <c r="P29" s="220">
        <f t="shared" si="6"/>
        <v>707</v>
      </c>
    </row>
    <row r="30" spans="1:16" x14ac:dyDescent="0.25">
      <c r="A30" s="189" t="e">
        <f t="shared" si="7"/>
        <v>#REF!</v>
      </c>
      <c r="B30" s="225">
        <v>75</v>
      </c>
      <c r="C30" s="225">
        <v>3</v>
      </c>
      <c r="D30" s="225">
        <v>256</v>
      </c>
      <c r="E30" s="225">
        <v>2</v>
      </c>
      <c r="F30" s="191">
        <f t="shared" si="4"/>
        <v>336</v>
      </c>
      <c r="G30" s="198">
        <v>0</v>
      </c>
      <c r="H30" s="198">
        <v>0</v>
      </c>
      <c r="I30" s="198">
        <v>0</v>
      </c>
      <c r="J30" s="198">
        <v>0</v>
      </c>
      <c r="K30" s="225">
        <v>7</v>
      </c>
      <c r="L30" s="225">
        <v>369</v>
      </c>
      <c r="M30" s="191">
        <f t="shared" si="5"/>
        <v>376</v>
      </c>
      <c r="N30" s="190">
        <v>0</v>
      </c>
      <c r="O30" s="226">
        <v>0</v>
      </c>
      <c r="P30" s="220">
        <f t="shared" si="6"/>
        <v>712</v>
      </c>
    </row>
    <row r="31" spans="1:16" x14ac:dyDescent="0.25">
      <c r="A31" s="189" t="e">
        <f t="shared" si="7"/>
        <v>#REF!</v>
      </c>
      <c r="B31" s="225">
        <v>75</v>
      </c>
      <c r="C31" s="225">
        <v>2</v>
      </c>
      <c r="D31" s="225">
        <v>256</v>
      </c>
      <c r="E31" s="225">
        <v>2</v>
      </c>
      <c r="F31" s="191">
        <f t="shared" si="4"/>
        <v>335</v>
      </c>
      <c r="G31" s="198">
        <v>0</v>
      </c>
      <c r="H31" s="198">
        <v>0</v>
      </c>
      <c r="I31" s="198">
        <v>0</v>
      </c>
      <c r="J31" s="198">
        <v>0</v>
      </c>
      <c r="K31" s="225">
        <v>7</v>
      </c>
      <c r="L31" s="225">
        <v>364</v>
      </c>
      <c r="M31" s="191">
        <f t="shared" si="5"/>
        <v>371</v>
      </c>
      <c r="N31" s="190">
        <v>0</v>
      </c>
      <c r="O31" s="226">
        <v>0</v>
      </c>
      <c r="P31" s="220">
        <f t="shared" si="6"/>
        <v>706</v>
      </c>
    </row>
    <row r="32" spans="1:16" x14ac:dyDescent="0.25">
      <c r="A32" s="189" t="e">
        <f t="shared" si="7"/>
        <v>#REF!</v>
      </c>
      <c r="B32" s="225">
        <v>75</v>
      </c>
      <c r="C32" s="225">
        <v>2</v>
      </c>
      <c r="D32" s="225">
        <v>260</v>
      </c>
      <c r="E32" s="225">
        <v>2</v>
      </c>
      <c r="F32" s="191">
        <f t="shared" si="4"/>
        <v>339</v>
      </c>
      <c r="G32" s="198">
        <v>0</v>
      </c>
      <c r="H32" s="198">
        <v>0</v>
      </c>
      <c r="I32" s="198">
        <v>0</v>
      </c>
      <c r="J32" s="198">
        <v>0</v>
      </c>
      <c r="K32" s="225">
        <v>7</v>
      </c>
      <c r="L32" s="225">
        <v>365</v>
      </c>
      <c r="M32" s="191">
        <f t="shared" si="5"/>
        <v>372</v>
      </c>
      <c r="N32" s="190">
        <v>0</v>
      </c>
      <c r="O32" s="226">
        <v>0</v>
      </c>
      <c r="P32" s="220">
        <f t="shared" si="6"/>
        <v>711</v>
      </c>
    </row>
    <row r="33" spans="1:16" x14ac:dyDescent="0.25">
      <c r="A33" s="189" t="e">
        <f t="shared" si="7"/>
        <v>#REF!</v>
      </c>
      <c r="B33" s="225">
        <v>75</v>
      </c>
      <c r="C33" s="225">
        <v>2</v>
      </c>
      <c r="D33" s="225">
        <v>260</v>
      </c>
      <c r="E33" s="225">
        <v>2</v>
      </c>
      <c r="F33" s="191">
        <f t="shared" si="4"/>
        <v>339</v>
      </c>
      <c r="G33" s="198">
        <v>0</v>
      </c>
      <c r="H33" s="198">
        <v>0</v>
      </c>
      <c r="I33" s="198">
        <v>0</v>
      </c>
      <c r="J33" s="198">
        <v>0</v>
      </c>
      <c r="K33" s="225">
        <v>7</v>
      </c>
      <c r="L33" s="225">
        <v>366</v>
      </c>
      <c r="M33" s="191">
        <f t="shared" si="5"/>
        <v>373</v>
      </c>
      <c r="N33" s="190">
        <v>0</v>
      </c>
      <c r="O33" s="226">
        <v>0</v>
      </c>
      <c r="P33" s="220">
        <f t="shared" si="6"/>
        <v>712</v>
      </c>
    </row>
    <row r="34" spans="1:16" x14ac:dyDescent="0.25">
      <c r="A34" s="189" t="e">
        <f t="shared" si="7"/>
        <v>#REF!</v>
      </c>
      <c r="B34" s="225">
        <v>76</v>
      </c>
      <c r="C34" s="225">
        <v>2</v>
      </c>
      <c r="D34" s="225">
        <v>261</v>
      </c>
      <c r="E34" s="225">
        <v>2</v>
      </c>
      <c r="F34" s="191">
        <f t="shared" si="4"/>
        <v>341</v>
      </c>
      <c r="G34" s="198">
        <v>0</v>
      </c>
      <c r="H34" s="198">
        <v>0</v>
      </c>
      <c r="I34" s="198">
        <v>0</v>
      </c>
      <c r="J34" s="198">
        <v>0</v>
      </c>
      <c r="K34" s="225">
        <v>7</v>
      </c>
      <c r="L34" s="225">
        <v>366</v>
      </c>
      <c r="M34" s="191">
        <f t="shared" si="5"/>
        <v>373</v>
      </c>
      <c r="N34" s="190">
        <v>0</v>
      </c>
      <c r="O34" s="226">
        <v>0</v>
      </c>
      <c r="P34" s="220">
        <f t="shared" si="6"/>
        <v>714</v>
      </c>
    </row>
    <row r="35" spans="1:16" x14ac:dyDescent="0.25">
      <c r="A35" s="189" t="e">
        <f t="shared" si="7"/>
        <v>#REF!</v>
      </c>
      <c r="B35" s="225">
        <v>76</v>
      </c>
      <c r="C35" s="225">
        <v>2</v>
      </c>
      <c r="D35" s="225">
        <v>259</v>
      </c>
      <c r="E35" s="225">
        <v>2</v>
      </c>
      <c r="F35" s="191">
        <f t="shared" si="4"/>
        <v>339</v>
      </c>
      <c r="G35" s="198">
        <v>0</v>
      </c>
      <c r="H35" s="198">
        <v>0</v>
      </c>
      <c r="I35" s="198">
        <v>0</v>
      </c>
      <c r="J35" s="198">
        <v>0</v>
      </c>
      <c r="K35" s="225">
        <v>7</v>
      </c>
      <c r="L35" s="225">
        <v>365</v>
      </c>
      <c r="M35" s="191">
        <f t="shared" si="5"/>
        <v>372</v>
      </c>
      <c r="N35" s="190">
        <v>0</v>
      </c>
      <c r="O35" s="226">
        <v>0</v>
      </c>
      <c r="P35" s="220">
        <f>+F35+M35+N35+O35</f>
        <v>711</v>
      </c>
    </row>
    <row r="36" spans="1:16" ht="16.5" thickBot="1" x14ac:dyDescent="0.3">
      <c r="A36" s="182" t="s">
        <v>141</v>
      </c>
      <c r="B36" s="193">
        <f>SUM(B24:B35)/12</f>
        <v>74.5</v>
      </c>
      <c r="C36" s="193">
        <f t="shared" ref="C36:O36" si="8">SUM(C24:C35)/12</f>
        <v>2.5833333333333335</v>
      </c>
      <c r="D36" s="193">
        <f t="shared" si="8"/>
        <v>256.41666666666669</v>
      </c>
      <c r="E36" s="193">
        <f t="shared" si="8"/>
        <v>2</v>
      </c>
      <c r="F36" s="194">
        <f t="shared" si="8"/>
        <v>335.5</v>
      </c>
      <c r="G36" s="193">
        <f t="shared" si="8"/>
        <v>0</v>
      </c>
      <c r="H36" s="193">
        <f t="shared" si="8"/>
        <v>0</v>
      </c>
      <c r="I36" s="193">
        <f t="shared" si="8"/>
        <v>0</v>
      </c>
      <c r="J36" s="193">
        <f t="shared" si="8"/>
        <v>0</v>
      </c>
      <c r="K36" s="193">
        <f t="shared" si="8"/>
        <v>7</v>
      </c>
      <c r="L36" s="193">
        <f t="shared" si="8"/>
        <v>366.83333333333331</v>
      </c>
      <c r="M36" s="194">
        <f t="shared" si="8"/>
        <v>373.83333333333331</v>
      </c>
      <c r="N36" s="193">
        <f t="shared" si="8"/>
        <v>0</v>
      </c>
      <c r="O36" s="227">
        <f t="shared" si="8"/>
        <v>0</v>
      </c>
      <c r="P36" s="228">
        <f t="shared" si="6"/>
        <v>709.33333333333326</v>
      </c>
    </row>
    <row r="37" spans="1:16" ht="16.5" thickTop="1" x14ac:dyDescent="0.25"/>
    <row r="39" spans="1:16" x14ac:dyDescent="0.25">
      <c r="B39" s="184" t="s">
        <v>160</v>
      </c>
      <c r="C39" s="184" t="s">
        <v>161</v>
      </c>
      <c r="D39" s="184" t="s">
        <v>162</v>
      </c>
      <c r="E39" s="184" t="s">
        <v>163</v>
      </c>
      <c r="F39" s="186" t="s">
        <v>1</v>
      </c>
      <c r="G39" s="184" t="s">
        <v>97</v>
      </c>
      <c r="H39" s="184" t="s">
        <v>164</v>
      </c>
      <c r="I39" s="184" t="s">
        <v>98</v>
      </c>
      <c r="J39" s="184" t="s">
        <v>165</v>
      </c>
      <c r="K39" s="184" t="s">
        <v>166</v>
      </c>
      <c r="L39" s="184" t="s">
        <v>167</v>
      </c>
      <c r="M39" s="186" t="s">
        <v>1</v>
      </c>
      <c r="N39" s="184" t="s">
        <v>168</v>
      </c>
      <c r="O39" s="214" t="s">
        <v>51</v>
      </c>
      <c r="P39" s="215" t="s">
        <v>1</v>
      </c>
    </row>
    <row r="40" spans="1:16" x14ac:dyDescent="0.25">
      <c r="A40" s="185" t="s">
        <v>1</v>
      </c>
      <c r="B40" s="187" t="s">
        <v>169</v>
      </c>
      <c r="C40" s="187" t="s">
        <v>170</v>
      </c>
      <c r="D40" s="187" t="s">
        <v>171</v>
      </c>
      <c r="E40" s="187" t="s">
        <v>172</v>
      </c>
      <c r="F40" s="188" t="s">
        <v>173</v>
      </c>
      <c r="G40" s="187" t="s">
        <v>174</v>
      </c>
      <c r="H40" s="187" t="s">
        <v>175</v>
      </c>
      <c r="I40" s="187" t="s">
        <v>176</v>
      </c>
      <c r="J40" s="187" t="s">
        <v>177</v>
      </c>
      <c r="K40" s="187" t="s">
        <v>178</v>
      </c>
      <c r="L40" s="187" t="s">
        <v>96</v>
      </c>
      <c r="M40" s="188" t="s">
        <v>179</v>
      </c>
      <c r="N40" s="187" t="s">
        <v>180</v>
      </c>
      <c r="O40" s="216" t="s">
        <v>181</v>
      </c>
      <c r="P40" s="217" t="s">
        <v>182</v>
      </c>
    </row>
    <row r="41" spans="1:16" ht="16.5" thickBot="1" x14ac:dyDescent="0.3">
      <c r="A41" s="182" t="s">
        <v>143</v>
      </c>
      <c r="B41" s="193">
        <f>B36+B19</f>
        <v>48848.916666666664</v>
      </c>
      <c r="C41" s="193">
        <f>C36+C19</f>
        <v>24934.666666666664</v>
      </c>
      <c r="D41" s="193">
        <f>D36+D19</f>
        <v>21151.166666666668</v>
      </c>
      <c r="E41" s="193">
        <f>E36+E19</f>
        <v>16625.333333333332</v>
      </c>
      <c r="F41" s="194">
        <f>SUM(B41:E41)</f>
        <v>111560.08333333333</v>
      </c>
      <c r="G41" s="193">
        <f>(SUM(G7:G18)+SUM(G24:G35))/12</f>
        <v>0</v>
      </c>
      <c r="H41" s="193">
        <f>(SUM(H7:H18)+SUM(H24:H35))/12</f>
        <v>0</v>
      </c>
      <c r="I41" s="193">
        <f>(SUM(I7:I18)+SUM(I24:I35))/12</f>
        <v>0</v>
      </c>
      <c r="J41" s="193">
        <f>(SUM(J7:J18)+SUM(J24:J35))/12</f>
        <v>0</v>
      </c>
      <c r="K41" s="193">
        <f>K36+K19</f>
        <v>4906.333333333333</v>
      </c>
      <c r="L41" s="193">
        <f>L36+L19</f>
        <v>123861.83333333333</v>
      </c>
      <c r="M41" s="194">
        <f>SUM(K41:L41)</f>
        <v>128768.16666666666</v>
      </c>
      <c r="N41" s="193">
        <f>N36+N19</f>
        <v>361.5</v>
      </c>
      <c r="O41" s="193">
        <f>O36+O19</f>
        <v>3005.6666666666665</v>
      </c>
      <c r="P41" s="228">
        <f>F41+M41+N41+O41</f>
        <v>243695.41666666666</v>
      </c>
    </row>
    <row r="42" spans="1:16" ht="16.5" thickTop="1" x14ac:dyDescent="0.25"/>
    <row r="46" spans="1:16" x14ac:dyDescent="0.25"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</row>
    <row r="47" spans="1:16" ht="16.5" x14ac:dyDescent="0.3">
      <c r="B47" s="229"/>
      <c r="C47" s="229"/>
      <c r="D47" s="229"/>
      <c r="E47" s="229"/>
      <c r="F47" s="229"/>
      <c r="G47" s="229"/>
      <c r="H47" s="229"/>
      <c r="I47" s="229"/>
      <c r="J47" s="230"/>
      <c r="K47" s="230"/>
      <c r="L47" s="230"/>
      <c r="M47" s="202"/>
    </row>
  </sheetData>
  <phoneticPr fontId="0" type="noConversion"/>
  <printOptions gridLines="1"/>
  <pageMargins left="0.5" right="0.5" top="1" bottom="1" header="0.5" footer="0.5"/>
  <pageSetup scale="74" orientation="landscape" r:id="rId1"/>
  <headerFooter alignWithMargins="0">
    <oddHeader>&amp;R3 of 4</oddHeader>
    <oddFooter>&amp;L&amp;"Times New Roman,Italic"&amp;8General Accounting - aj&amp;R&amp;"Times New Roman,Italic"&amp;8&amp;T&amp;D</oddFooter>
  </headerFooter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indexed="11"/>
    <pageSetUpPr fitToPage="1"/>
  </sheetPr>
  <dimension ref="A1:O42"/>
  <sheetViews>
    <sheetView zoomScale="90" zoomScaleNormal="90" workbookViewId="0">
      <selection activeCell="A17" sqref="A17:IV18"/>
    </sheetView>
  </sheetViews>
  <sheetFormatPr defaultRowHeight="15.75" x14ac:dyDescent="0.25"/>
  <cols>
    <col min="1" max="1" width="9.140625" style="182"/>
    <col min="2" max="2" width="10" style="182" bestFit="1" customWidth="1"/>
    <col min="3" max="14" width="10.85546875" style="182" customWidth="1"/>
    <col min="15" max="16384" width="9.140625" style="182"/>
  </cols>
  <sheetData>
    <row r="1" spans="1:15" x14ac:dyDescent="0.25">
      <c r="A1" s="182" t="s">
        <v>139</v>
      </c>
    </row>
    <row r="2" spans="1:15" x14ac:dyDescent="0.25">
      <c r="A2" s="183" t="s">
        <v>144</v>
      </c>
      <c r="C2" s="183"/>
      <c r="M2" s="201"/>
    </row>
    <row r="3" spans="1:15" x14ac:dyDescent="0.25">
      <c r="A3" s="182" t="e">
        <f>+#REF!</f>
        <v>#REF!</v>
      </c>
      <c r="B3" s="202"/>
      <c r="M3" s="201"/>
    </row>
    <row r="4" spans="1:15" x14ac:dyDescent="0.25">
      <c r="B4" s="203"/>
      <c r="L4" s="203"/>
      <c r="M4" s="201"/>
    </row>
    <row r="5" spans="1:15" x14ac:dyDescent="0.25">
      <c r="B5" s="195" t="s">
        <v>145</v>
      </c>
      <c r="C5" s="184"/>
      <c r="D5" s="184"/>
      <c r="E5" s="184"/>
      <c r="F5" s="184"/>
      <c r="G5" s="184"/>
      <c r="H5" s="184"/>
      <c r="I5" s="184"/>
      <c r="J5" s="204" t="s">
        <v>146</v>
      </c>
      <c r="K5" s="184"/>
      <c r="L5" s="195" t="s">
        <v>1</v>
      </c>
      <c r="M5" s="205" t="s">
        <v>1</v>
      </c>
    </row>
    <row r="6" spans="1:15" ht="31.5" x14ac:dyDescent="0.25">
      <c r="A6" s="185" t="s">
        <v>140</v>
      </c>
      <c r="B6" s="188" t="s">
        <v>147</v>
      </c>
      <c r="C6" s="206" t="s">
        <v>148</v>
      </c>
      <c r="D6" s="206" t="s">
        <v>149</v>
      </c>
      <c r="E6" s="206" t="s">
        <v>150</v>
      </c>
      <c r="F6" s="206" t="s">
        <v>151</v>
      </c>
      <c r="G6" s="206" t="s">
        <v>152</v>
      </c>
      <c r="H6" s="206" t="s">
        <v>153</v>
      </c>
      <c r="I6" s="206" t="s">
        <v>154</v>
      </c>
      <c r="J6" s="207" t="s">
        <v>155</v>
      </c>
      <c r="K6" s="206" t="s">
        <v>156</v>
      </c>
      <c r="L6" s="188" t="s">
        <v>157</v>
      </c>
      <c r="M6" s="208" t="s">
        <v>158</v>
      </c>
    </row>
    <row r="7" spans="1:15" x14ac:dyDescent="0.25">
      <c r="A7" s="189" t="e">
        <f>+#REF!</f>
        <v>#REF!</v>
      </c>
      <c r="B7" s="197">
        <v>170851</v>
      </c>
      <c r="C7" s="197">
        <v>22197</v>
      </c>
      <c r="D7" s="197">
        <v>128739</v>
      </c>
      <c r="E7" s="197">
        <v>58721</v>
      </c>
      <c r="F7" s="197">
        <v>22057</v>
      </c>
      <c r="G7" s="197">
        <v>18451</v>
      </c>
      <c r="H7" s="197">
        <v>4232</v>
      </c>
      <c r="I7" s="196" t="s">
        <v>159</v>
      </c>
      <c r="J7" s="209"/>
      <c r="K7" s="197">
        <v>32107</v>
      </c>
      <c r="L7" s="191">
        <f>SUM(C7:K7)-J7</f>
        <v>286504</v>
      </c>
      <c r="M7" s="210">
        <f>B7+L7</f>
        <v>457355</v>
      </c>
      <c r="N7" s="192"/>
    </row>
    <row r="8" spans="1:15" x14ac:dyDescent="0.25">
      <c r="A8" s="189" t="e">
        <f>+#REF!</f>
        <v>#REF!</v>
      </c>
      <c r="B8" s="197">
        <v>172215</v>
      </c>
      <c r="C8" s="197">
        <v>22431</v>
      </c>
      <c r="D8" s="197">
        <v>130419</v>
      </c>
      <c r="E8" s="197">
        <v>59181</v>
      </c>
      <c r="F8" s="197">
        <v>22361</v>
      </c>
      <c r="G8" s="197">
        <v>18802</v>
      </c>
      <c r="H8" s="197">
        <v>4268</v>
      </c>
      <c r="I8" s="196" t="s">
        <v>159</v>
      </c>
      <c r="J8" s="209"/>
      <c r="K8" s="197">
        <v>32482</v>
      </c>
      <c r="L8" s="191">
        <f t="shared" ref="L8:L18" si="0">SUM(C8:K8)-J8</f>
        <v>289944</v>
      </c>
      <c r="M8" s="210">
        <f>B8+L8</f>
        <v>462159</v>
      </c>
      <c r="N8" s="192"/>
    </row>
    <row r="9" spans="1:15" x14ac:dyDescent="0.25">
      <c r="A9" s="189" t="e">
        <f>+#REF!</f>
        <v>#REF!</v>
      </c>
      <c r="B9" s="197">
        <v>174325</v>
      </c>
      <c r="C9" s="197">
        <v>22715</v>
      </c>
      <c r="D9" s="197">
        <v>131730</v>
      </c>
      <c r="E9" s="197">
        <v>59640</v>
      </c>
      <c r="F9" s="197">
        <v>22602</v>
      </c>
      <c r="G9" s="197">
        <v>19127</v>
      </c>
      <c r="H9" s="197">
        <v>4315</v>
      </c>
      <c r="I9" s="196" t="s">
        <v>159</v>
      </c>
      <c r="J9" s="209"/>
      <c r="K9" s="197">
        <v>32997</v>
      </c>
      <c r="L9" s="191">
        <f t="shared" si="0"/>
        <v>293126</v>
      </c>
      <c r="M9" s="210">
        <f>B9+L9</f>
        <v>467451</v>
      </c>
      <c r="N9" s="192"/>
    </row>
    <row r="10" spans="1:15" x14ac:dyDescent="0.25">
      <c r="A10" s="189" t="e">
        <f>+#REF!</f>
        <v>#REF!</v>
      </c>
      <c r="B10" s="197">
        <v>176029</v>
      </c>
      <c r="C10" s="197">
        <v>22888</v>
      </c>
      <c r="D10" s="197">
        <v>132291</v>
      </c>
      <c r="E10" s="197">
        <v>60416</v>
      </c>
      <c r="F10" s="197">
        <v>22805</v>
      </c>
      <c r="G10" s="197">
        <v>19133</v>
      </c>
      <c r="H10" s="197">
        <v>4328</v>
      </c>
      <c r="I10" s="196" t="s">
        <v>159</v>
      </c>
      <c r="J10" s="209"/>
      <c r="K10" s="197">
        <v>33261</v>
      </c>
      <c r="L10" s="191">
        <f t="shared" si="0"/>
        <v>295122</v>
      </c>
      <c r="M10" s="210">
        <f t="shared" ref="M10:M17" si="1">B10+L10</f>
        <v>471151</v>
      </c>
      <c r="N10" s="192"/>
      <c r="O10" s="199"/>
    </row>
    <row r="11" spans="1:15" x14ac:dyDescent="0.25">
      <c r="A11" s="189" t="e">
        <f>+#REF!</f>
        <v>#REF!</v>
      </c>
      <c r="B11" s="197">
        <v>176190</v>
      </c>
      <c r="C11" s="197">
        <v>22910</v>
      </c>
      <c r="D11" s="197">
        <v>132523</v>
      </c>
      <c r="E11" s="197">
        <v>60528</v>
      </c>
      <c r="F11" s="197">
        <v>22732</v>
      </c>
      <c r="G11" s="197">
        <v>19235</v>
      </c>
      <c r="H11" s="197">
        <v>4336</v>
      </c>
      <c r="I11" s="196" t="s">
        <v>159</v>
      </c>
      <c r="J11" s="209"/>
      <c r="K11" s="197">
        <v>33198</v>
      </c>
      <c r="L11" s="191">
        <f t="shared" si="0"/>
        <v>295462</v>
      </c>
      <c r="M11" s="210">
        <f t="shared" si="1"/>
        <v>471652</v>
      </c>
      <c r="N11" s="192"/>
    </row>
    <row r="12" spans="1:15" x14ac:dyDescent="0.25">
      <c r="A12" s="189" t="e">
        <f>+#REF!</f>
        <v>#REF!</v>
      </c>
      <c r="B12" s="197">
        <v>176270</v>
      </c>
      <c r="C12" s="197">
        <v>22898</v>
      </c>
      <c r="D12" s="197">
        <v>133024</v>
      </c>
      <c r="E12" s="197">
        <v>60441</v>
      </c>
      <c r="F12" s="197">
        <v>22847</v>
      </c>
      <c r="G12" s="197">
        <v>19348</v>
      </c>
      <c r="H12" s="197">
        <v>4345</v>
      </c>
      <c r="I12" s="196" t="s">
        <v>159</v>
      </c>
      <c r="J12" s="209"/>
      <c r="K12" s="197">
        <v>33071</v>
      </c>
      <c r="L12" s="191">
        <f t="shared" si="0"/>
        <v>295974</v>
      </c>
      <c r="M12" s="210">
        <f t="shared" si="1"/>
        <v>472244</v>
      </c>
      <c r="N12" s="192"/>
    </row>
    <row r="13" spans="1:15" x14ac:dyDescent="0.25">
      <c r="A13" s="189" t="e">
        <f>+#REF!</f>
        <v>#REF!</v>
      </c>
      <c r="B13" s="197">
        <v>174330</v>
      </c>
      <c r="C13" s="197">
        <v>22595</v>
      </c>
      <c r="D13" s="197">
        <v>131781</v>
      </c>
      <c r="E13" s="197">
        <v>59702</v>
      </c>
      <c r="F13" s="197">
        <v>22691</v>
      </c>
      <c r="G13" s="197">
        <v>18994</v>
      </c>
      <c r="H13" s="197">
        <v>4309</v>
      </c>
      <c r="I13" s="196" t="s">
        <v>159</v>
      </c>
      <c r="J13" s="209"/>
      <c r="K13" s="197">
        <v>33061</v>
      </c>
      <c r="L13" s="191">
        <f t="shared" si="0"/>
        <v>293133</v>
      </c>
      <c r="M13" s="210">
        <f t="shared" si="1"/>
        <v>467463</v>
      </c>
      <c r="N13" s="192"/>
    </row>
    <row r="14" spans="1:15" x14ac:dyDescent="0.25">
      <c r="A14" s="189" t="e">
        <f>+#REF!</f>
        <v>#REF!</v>
      </c>
      <c r="B14" s="197">
        <v>174308</v>
      </c>
      <c r="C14" s="197">
        <v>22466</v>
      </c>
      <c r="D14" s="197">
        <v>131032</v>
      </c>
      <c r="E14" s="197">
        <v>59667</v>
      </c>
      <c r="F14" s="197">
        <v>22613</v>
      </c>
      <c r="G14" s="197">
        <v>18900</v>
      </c>
      <c r="H14" s="197">
        <v>4277</v>
      </c>
      <c r="I14" s="196" t="s">
        <v>159</v>
      </c>
      <c r="J14" s="209"/>
      <c r="K14" s="197">
        <v>32746</v>
      </c>
      <c r="L14" s="191">
        <f t="shared" si="0"/>
        <v>291701</v>
      </c>
      <c r="M14" s="210">
        <f t="shared" si="1"/>
        <v>466009</v>
      </c>
      <c r="N14" s="192"/>
    </row>
    <row r="15" spans="1:15" x14ac:dyDescent="0.25">
      <c r="A15" s="189" t="e">
        <f>+#REF!</f>
        <v>#REF!</v>
      </c>
      <c r="B15" s="197">
        <v>171739</v>
      </c>
      <c r="C15" s="197">
        <v>22225</v>
      </c>
      <c r="D15" s="197">
        <v>130023</v>
      </c>
      <c r="E15" s="197">
        <v>59309</v>
      </c>
      <c r="F15" s="197">
        <v>22362</v>
      </c>
      <c r="G15" s="197">
        <v>18440</v>
      </c>
      <c r="H15" s="197">
        <v>4260</v>
      </c>
      <c r="I15" s="196" t="s">
        <v>159</v>
      </c>
      <c r="J15" s="209"/>
      <c r="K15" s="197">
        <v>32356</v>
      </c>
      <c r="L15" s="191">
        <f t="shared" si="0"/>
        <v>288975</v>
      </c>
      <c r="M15" s="210">
        <f t="shared" si="1"/>
        <v>460714</v>
      </c>
      <c r="N15" s="192"/>
    </row>
    <row r="16" spans="1:15" x14ac:dyDescent="0.25">
      <c r="A16" s="189" t="e">
        <f>+#REF!</f>
        <v>#REF!</v>
      </c>
      <c r="B16" s="197">
        <v>170639</v>
      </c>
      <c r="C16" s="197">
        <v>22080</v>
      </c>
      <c r="D16" s="197">
        <v>129423</v>
      </c>
      <c r="E16" s="197">
        <v>58805</v>
      </c>
      <c r="F16" s="197">
        <v>22365</v>
      </c>
      <c r="G16" s="197">
        <v>18256</v>
      </c>
      <c r="H16" s="197">
        <v>4210</v>
      </c>
      <c r="I16" s="196" t="s">
        <v>159</v>
      </c>
      <c r="J16" s="209"/>
      <c r="K16" s="197">
        <v>32162</v>
      </c>
      <c r="L16" s="191">
        <f t="shared" si="0"/>
        <v>287301</v>
      </c>
      <c r="M16" s="210">
        <f t="shared" si="1"/>
        <v>457940</v>
      </c>
      <c r="N16" s="192"/>
    </row>
    <row r="17" spans="1:14" x14ac:dyDescent="0.25">
      <c r="A17" s="189" t="e">
        <f>+#REF!</f>
        <v>#REF!</v>
      </c>
      <c r="B17" s="197">
        <v>170170</v>
      </c>
      <c r="C17" s="197">
        <v>0</v>
      </c>
      <c r="D17" s="197">
        <v>129309</v>
      </c>
      <c r="E17" s="197">
        <v>58577</v>
      </c>
      <c r="F17" s="197">
        <v>22082</v>
      </c>
      <c r="G17" s="197">
        <v>0</v>
      </c>
      <c r="H17" s="197">
        <v>0</v>
      </c>
      <c r="I17" s="196" t="s">
        <v>159</v>
      </c>
      <c r="J17" s="209"/>
      <c r="K17" s="197">
        <v>0</v>
      </c>
      <c r="L17" s="191">
        <f t="shared" si="0"/>
        <v>209968</v>
      </c>
      <c r="M17" s="210">
        <f t="shared" si="1"/>
        <v>380138</v>
      </c>
      <c r="N17" s="192"/>
    </row>
    <row r="18" spans="1:14" x14ac:dyDescent="0.25">
      <c r="A18" s="189" t="e">
        <f>+#REF!</f>
        <v>#REF!</v>
      </c>
      <c r="B18" s="197">
        <v>169348</v>
      </c>
      <c r="C18" s="197">
        <v>0</v>
      </c>
      <c r="D18" s="197">
        <v>128938</v>
      </c>
      <c r="E18" s="197">
        <v>58210</v>
      </c>
      <c r="F18" s="197">
        <v>21981</v>
      </c>
      <c r="G18" s="197">
        <v>0</v>
      </c>
      <c r="H18" s="197">
        <v>0</v>
      </c>
      <c r="I18" s="196" t="s">
        <v>159</v>
      </c>
      <c r="J18" s="209"/>
      <c r="K18" s="197">
        <v>0</v>
      </c>
      <c r="L18" s="191">
        <f t="shared" si="0"/>
        <v>209129</v>
      </c>
      <c r="M18" s="210">
        <f>B18+L18</f>
        <v>378477</v>
      </c>
      <c r="N18" s="192"/>
    </row>
    <row r="19" spans="1:14" ht="16.5" thickBot="1" x14ac:dyDescent="0.3">
      <c r="A19" s="182" t="s">
        <v>141</v>
      </c>
      <c r="B19" s="194">
        <f>SUM(B7:B18)/12</f>
        <v>173034.5</v>
      </c>
      <c r="C19" s="194">
        <f t="shared" ref="C19:K19" si="2">SUM(C7:C18)/12</f>
        <v>18783.75</v>
      </c>
      <c r="D19" s="194">
        <f t="shared" si="2"/>
        <v>130769.33333333333</v>
      </c>
      <c r="E19" s="194">
        <f t="shared" si="2"/>
        <v>59433.083333333336</v>
      </c>
      <c r="F19" s="194">
        <f t="shared" si="2"/>
        <v>22458.166666666668</v>
      </c>
      <c r="G19" s="194">
        <f t="shared" si="2"/>
        <v>15723.833333333334</v>
      </c>
      <c r="H19" s="194">
        <f t="shared" si="2"/>
        <v>3573.3333333333335</v>
      </c>
      <c r="I19" s="194">
        <f t="shared" si="2"/>
        <v>0</v>
      </c>
      <c r="J19" s="194">
        <f t="shared" si="2"/>
        <v>0</v>
      </c>
      <c r="K19" s="194">
        <f t="shared" si="2"/>
        <v>27286.75</v>
      </c>
      <c r="L19" s="194">
        <f>SUM(L7:L18)/12</f>
        <v>278028.25</v>
      </c>
      <c r="M19" s="194">
        <f>SUM(M7:M18)/12</f>
        <v>451062.75</v>
      </c>
    </row>
    <row r="20" spans="1:14" ht="16.5" thickTop="1" x14ac:dyDescent="0.25"/>
    <row r="21" spans="1:14" x14ac:dyDescent="0.25">
      <c r="B21" s="203"/>
      <c r="L21" s="203"/>
    </row>
    <row r="22" spans="1:14" x14ac:dyDescent="0.25">
      <c r="B22" s="195" t="s">
        <v>145</v>
      </c>
      <c r="C22" s="184"/>
      <c r="D22" s="184"/>
      <c r="E22" s="184"/>
      <c r="F22" s="184"/>
      <c r="G22" s="184"/>
      <c r="H22" s="184"/>
      <c r="I22" s="184"/>
      <c r="J22" s="204" t="s">
        <v>146</v>
      </c>
      <c r="K22" s="184"/>
      <c r="L22" s="195" t="s">
        <v>1</v>
      </c>
      <c r="M22" s="205" t="s">
        <v>1</v>
      </c>
    </row>
    <row r="23" spans="1:14" ht="31.5" x14ac:dyDescent="0.25">
      <c r="A23" s="185" t="s">
        <v>142</v>
      </c>
      <c r="B23" s="188" t="s">
        <v>147</v>
      </c>
      <c r="C23" s="206" t="s">
        <v>148</v>
      </c>
      <c r="D23" s="206" t="s">
        <v>149</v>
      </c>
      <c r="E23" s="206" t="s">
        <v>150</v>
      </c>
      <c r="F23" s="206" t="s">
        <v>151</v>
      </c>
      <c r="G23" s="206" t="s">
        <v>152</v>
      </c>
      <c r="H23" s="206" t="s">
        <v>153</v>
      </c>
      <c r="I23" s="206" t="s">
        <v>154</v>
      </c>
      <c r="J23" s="207" t="s">
        <v>155</v>
      </c>
      <c r="K23" s="206" t="s">
        <v>156</v>
      </c>
      <c r="L23" s="188" t="s">
        <v>157</v>
      </c>
      <c r="M23" s="208" t="s">
        <v>158</v>
      </c>
    </row>
    <row r="24" spans="1:14" x14ac:dyDescent="0.25">
      <c r="A24" s="189" t="e">
        <f>+A7</f>
        <v>#REF!</v>
      </c>
      <c r="B24" s="197">
        <v>201</v>
      </c>
      <c r="C24" s="197">
        <v>7</v>
      </c>
      <c r="D24" s="197">
        <v>100</v>
      </c>
      <c r="E24" s="197">
        <v>17</v>
      </c>
      <c r="F24" s="197">
        <v>30</v>
      </c>
      <c r="G24" s="197">
        <v>53</v>
      </c>
      <c r="H24" s="197">
        <v>18</v>
      </c>
      <c r="I24" s="190">
        <v>0</v>
      </c>
      <c r="J24" s="209"/>
      <c r="K24" s="197">
        <v>165</v>
      </c>
      <c r="L24" s="191">
        <f>SUM(C24:K24)-J24</f>
        <v>390</v>
      </c>
      <c r="M24" s="210">
        <f>B24+L24</f>
        <v>591</v>
      </c>
    </row>
    <row r="25" spans="1:14" x14ac:dyDescent="0.25">
      <c r="A25" s="189" t="e">
        <f t="shared" ref="A25:A35" si="3">+A8</f>
        <v>#REF!</v>
      </c>
      <c r="B25" s="197">
        <v>200</v>
      </c>
      <c r="C25" s="197">
        <v>7</v>
      </c>
      <c r="D25" s="197">
        <v>100</v>
      </c>
      <c r="E25" s="197">
        <v>17</v>
      </c>
      <c r="F25" s="197">
        <v>32</v>
      </c>
      <c r="G25" s="197">
        <v>53</v>
      </c>
      <c r="H25" s="197">
        <v>18</v>
      </c>
      <c r="I25" s="190">
        <v>0</v>
      </c>
      <c r="J25" s="209"/>
      <c r="K25" s="197">
        <v>141</v>
      </c>
      <c r="L25" s="191">
        <f>SUM(C25:K25)-J25</f>
        <v>368</v>
      </c>
      <c r="M25" s="210">
        <f t="shared" ref="M25:M35" si="4">B25+L25</f>
        <v>568</v>
      </c>
    </row>
    <row r="26" spans="1:14" x14ac:dyDescent="0.25">
      <c r="A26" s="189" t="e">
        <f t="shared" si="3"/>
        <v>#REF!</v>
      </c>
      <c r="B26" s="197">
        <v>199</v>
      </c>
      <c r="C26" s="197">
        <v>7</v>
      </c>
      <c r="D26" s="197">
        <v>100</v>
      </c>
      <c r="E26" s="197">
        <v>17</v>
      </c>
      <c r="F26" s="197">
        <v>33</v>
      </c>
      <c r="G26" s="197">
        <v>53</v>
      </c>
      <c r="H26" s="197">
        <v>18</v>
      </c>
      <c r="I26" s="190">
        <v>0</v>
      </c>
      <c r="J26" s="209"/>
      <c r="K26" s="197">
        <v>138</v>
      </c>
      <c r="L26" s="191">
        <f t="shared" ref="L26:L33" si="5">SUM(C26:K26)-J26</f>
        <v>366</v>
      </c>
      <c r="M26" s="210">
        <f t="shared" si="4"/>
        <v>565</v>
      </c>
    </row>
    <row r="27" spans="1:14" x14ac:dyDescent="0.25">
      <c r="A27" s="189" t="e">
        <f t="shared" si="3"/>
        <v>#REF!</v>
      </c>
      <c r="B27" s="197">
        <v>199</v>
      </c>
      <c r="C27" s="197">
        <v>7</v>
      </c>
      <c r="D27" s="197">
        <v>100</v>
      </c>
      <c r="E27" s="197">
        <v>19</v>
      </c>
      <c r="F27" s="197">
        <v>34</v>
      </c>
      <c r="G27" s="197">
        <v>53</v>
      </c>
      <c r="H27" s="197">
        <v>18</v>
      </c>
      <c r="I27" s="190">
        <v>0</v>
      </c>
      <c r="J27" s="209"/>
      <c r="K27" s="197">
        <v>139</v>
      </c>
      <c r="L27" s="191">
        <f t="shared" si="5"/>
        <v>370</v>
      </c>
      <c r="M27" s="210">
        <f t="shared" si="4"/>
        <v>569</v>
      </c>
    </row>
    <row r="28" spans="1:14" x14ac:dyDescent="0.25">
      <c r="A28" s="189" t="e">
        <f t="shared" si="3"/>
        <v>#REF!</v>
      </c>
      <c r="B28" s="197">
        <v>198</v>
      </c>
      <c r="C28" s="197">
        <v>7</v>
      </c>
      <c r="D28" s="197">
        <v>100</v>
      </c>
      <c r="E28" s="197">
        <v>19</v>
      </c>
      <c r="F28" s="197">
        <v>35</v>
      </c>
      <c r="G28" s="197">
        <v>53</v>
      </c>
      <c r="H28" s="197">
        <v>18</v>
      </c>
      <c r="I28" s="190">
        <v>0</v>
      </c>
      <c r="J28" s="209"/>
      <c r="K28" s="197">
        <v>138</v>
      </c>
      <c r="L28" s="191">
        <f t="shared" si="5"/>
        <v>370</v>
      </c>
      <c r="M28" s="210">
        <f t="shared" si="4"/>
        <v>568</v>
      </c>
    </row>
    <row r="29" spans="1:14" x14ac:dyDescent="0.25">
      <c r="A29" s="189" t="e">
        <f t="shared" si="3"/>
        <v>#REF!</v>
      </c>
      <c r="B29" s="197">
        <v>199</v>
      </c>
      <c r="C29" s="197">
        <v>7</v>
      </c>
      <c r="D29" s="197">
        <v>102</v>
      </c>
      <c r="E29" s="197">
        <v>19</v>
      </c>
      <c r="F29" s="197">
        <v>41</v>
      </c>
      <c r="G29" s="197">
        <v>53</v>
      </c>
      <c r="H29" s="197">
        <v>18</v>
      </c>
      <c r="I29" s="190">
        <v>0</v>
      </c>
      <c r="J29" s="209"/>
      <c r="K29" s="197">
        <v>138</v>
      </c>
      <c r="L29" s="191">
        <f t="shared" si="5"/>
        <v>378</v>
      </c>
      <c r="M29" s="210">
        <f t="shared" si="4"/>
        <v>577</v>
      </c>
    </row>
    <row r="30" spans="1:14" x14ac:dyDescent="0.25">
      <c r="A30" s="189" t="e">
        <f t="shared" si="3"/>
        <v>#REF!</v>
      </c>
      <c r="B30" s="197">
        <v>199</v>
      </c>
      <c r="C30" s="197">
        <v>7</v>
      </c>
      <c r="D30" s="197">
        <v>103</v>
      </c>
      <c r="E30" s="197">
        <v>19</v>
      </c>
      <c r="F30" s="197">
        <v>41</v>
      </c>
      <c r="G30" s="197">
        <v>53</v>
      </c>
      <c r="H30" s="197">
        <v>18</v>
      </c>
      <c r="I30" s="190">
        <v>0</v>
      </c>
      <c r="J30" s="209"/>
      <c r="K30" s="197">
        <v>138</v>
      </c>
      <c r="L30" s="191">
        <f t="shared" si="5"/>
        <v>379</v>
      </c>
      <c r="M30" s="210">
        <f t="shared" si="4"/>
        <v>578</v>
      </c>
    </row>
    <row r="31" spans="1:14" x14ac:dyDescent="0.25">
      <c r="A31" s="189" t="e">
        <f t="shared" si="3"/>
        <v>#REF!</v>
      </c>
      <c r="B31" s="197">
        <v>199</v>
      </c>
      <c r="C31" s="197">
        <v>7</v>
      </c>
      <c r="D31" s="197">
        <v>103</v>
      </c>
      <c r="E31" s="197">
        <v>19</v>
      </c>
      <c r="F31" s="197">
        <v>42</v>
      </c>
      <c r="G31" s="197">
        <v>53</v>
      </c>
      <c r="H31" s="197">
        <v>18</v>
      </c>
      <c r="I31" s="190">
        <v>0</v>
      </c>
      <c r="J31" s="209"/>
      <c r="K31" s="197">
        <v>138</v>
      </c>
      <c r="L31" s="191">
        <f t="shared" si="5"/>
        <v>380</v>
      </c>
      <c r="M31" s="210">
        <f t="shared" si="4"/>
        <v>579</v>
      </c>
    </row>
    <row r="32" spans="1:14" x14ac:dyDescent="0.25">
      <c r="A32" s="189" t="e">
        <f t="shared" si="3"/>
        <v>#REF!</v>
      </c>
      <c r="B32" s="197">
        <v>202</v>
      </c>
      <c r="C32" s="197">
        <v>7</v>
      </c>
      <c r="D32" s="197">
        <v>104</v>
      </c>
      <c r="E32" s="197">
        <v>19</v>
      </c>
      <c r="F32" s="197">
        <v>43</v>
      </c>
      <c r="G32" s="197">
        <v>53</v>
      </c>
      <c r="H32" s="197">
        <v>18</v>
      </c>
      <c r="I32" s="190">
        <v>0</v>
      </c>
      <c r="J32" s="209"/>
      <c r="K32" s="197">
        <v>137</v>
      </c>
      <c r="L32" s="191">
        <f t="shared" si="5"/>
        <v>381</v>
      </c>
      <c r="M32" s="210">
        <f t="shared" si="4"/>
        <v>583</v>
      </c>
    </row>
    <row r="33" spans="1:13" x14ac:dyDescent="0.25">
      <c r="A33" s="189" t="e">
        <f t="shared" si="3"/>
        <v>#REF!</v>
      </c>
      <c r="B33" s="197">
        <v>202</v>
      </c>
      <c r="C33" s="197">
        <v>7</v>
      </c>
      <c r="D33" s="197">
        <v>104</v>
      </c>
      <c r="E33" s="197">
        <v>19</v>
      </c>
      <c r="F33" s="197">
        <v>47</v>
      </c>
      <c r="G33" s="197">
        <v>53</v>
      </c>
      <c r="H33" s="197">
        <v>18</v>
      </c>
      <c r="I33" s="190">
        <v>0</v>
      </c>
      <c r="J33" s="209"/>
      <c r="K33" s="197">
        <v>138</v>
      </c>
      <c r="L33" s="191">
        <f t="shared" si="5"/>
        <v>386</v>
      </c>
      <c r="M33" s="210">
        <f t="shared" si="4"/>
        <v>588</v>
      </c>
    </row>
    <row r="34" spans="1:13" x14ac:dyDescent="0.25">
      <c r="A34" s="189" t="e">
        <f t="shared" si="3"/>
        <v>#REF!</v>
      </c>
      <c r="B34" s="197">
        <v>204</v>
      </c>
      <c r="C34" s="197">
        <v>0</v>
      </c>
      <c r="D34" s="197">
        <v>105</v>
      </c>
      <c r="E34" s="197">
        <v>19</v>
      </c>
      <c r="F34" s="197">
        <v>47</v>
      </c>
      <c r="G34" s="197">
        <v>0</v>
      </c>
      <c r="H34" s="197">
        <v>0</v>
      </c>
      <c r="I34" s="190">
        <v>0</v>
      </c>
      <c r="J34" s="209"/>
      <c r="K34" s="197">
        <v>0</v>
      </c>
      <c r="L34" s="191">
        <f>SUM(C34:K34)-J34</f>
        <v>171</v>
      </c>
      <c r="M34" s="210">
        <f t="shared" si="4"/>
        <v>375</v>
      </c>
    </row>
    <row r="35" spans="1:13" x14ac:dyDescent="0.25">
      <c r="A35" s="189" t="e">
        <f t="shared" si="3"/>
        <v>#REF!</v>
      </c>
      <c r="B35" s="197">
        <v>204</v>
      </c>
      <c r="C35" s="197">
        <v>0</v>
      </c>
      <c r="D35" s="197">
        <v>104</v>
      </c>
      <c r="E35" s="197">
        <v>19</v>
      </c>
      <c r="F35" s="197">
        <v>49</v>
      </c>
      <c r="G35" s="197">
        <v>0</v>
      </c>
      <c r="H35" s="197">
        <v>0</v>
      </c>
      <c r="I35" s="190">
        <v>0</v>
      </c>
      <c r="J35" s="209"/>
      <c r="K35" s="197">
        <v>0</v>
      </c>
      <c r="L35" s="191">
        <f>SUM(C35:K35)-J35</f>
        <v>172</v>
      </c>
      <c r="M35" s="210">
        <f t="shared" si="4"/>
        <v>376</v>
      </c>
    </row>
    <row r="36" spans="1:13" ht="16.5" thickBot="1" x14ac:dyDescent="0.3">
      <c r="A36" s="182" t="s">
        <v>141</v>
      </c>
      <c r="B36" s="194">
        <f>SUM(B24:B35)/12</f>
        <v>200.5</v>
      </c>
      <c r="C36" s="193">
        <f t="shared" ref="C36:I36" si="6">SUM(C24:C35)/12</f>
        <v>5.833333333333333</v>
      </c>
      <c r="D36" s="193">
        <f t="shared" si="6"/>
        <v>102.08333333333333</v>
      </c>
      <c r="E36" s="193">
        <f t="shared" si="6"/>
        <v>18.5</v>
      </c>
      <c r="F36" s="193">
        <f t="shared" si="6"/>
        <v>39.5</v>
      </c>
      <c r="G36" s="193">
        <f t="shared" si="6"/>
        <v>44.166666666666664</v>
      </c>
      <c r="H36" s="193">
        <f t="shared" si="6"/>
        <v>15</v>
      </c>
      <c r="I36" s="193">
        <f t="shared" si="6"/>
        <v>0</v>
      </c>
      <c r="J36" s="211"/>
      <c r="K36" s="193">
        <f>SUM(K24:K35)/12</f>
        <v>117.5</v>
      </c>
      <c r="L36" s="194">
        <f>SUM(L24:L35)/12</f>
        <v>342.58333333333331</v>
      </c>
      <c r="M36" s="194">
        <f>SUM(M24:M35)/12</f>
        <v>543.08333333333337</v>
      </c>
    </row>
    <row r="37" spans="1:13" ht="16.5" thickTop="1" x14ac:dyDescent="0.25"/>
    <row r="38" spans="1:13" x14ac:dyDescent="0.25">
      <c r="B38" s="203"/>
      <c r="L38" s="203"/>
    </row>
    <row r="39" spans="1:13" x14ac:dyDescent="0.25">
      <c r="B39" s="195" t="s">
        <v>145</v>
      </c>
      <c r="C39" s="184"/>
      <c r="D39" s="184"/>
      <c r="E39" s="184"/>
      <c r="F39" s="184"/>
      <c r="G39" s="184"/>
      <c r="H39" s="184"/>
      <c r="I39" s="184"/>
      <c r="J39" s="204" t="s">
        <v>146</v>
      </c>
      <c r="K39" s="184"/>
      <c r="L39" s="195" t="s">
        <v>1</v>
      </c>
      <c r="M39" s="205" t="s">
        <v>1</v>
      </c>
    </row>
    <row r="40" spans="1:13" ht="31.5" x14ac:dyDescent="0.25">
      <c r="A40" s="185" t="s">
        <v>1</v>
      </c>
      <c r="B40" s="188" t="s">
        <v>147</v>
      </c>
      <c r="C40" s="212" t="s">
        <v>148</v>
      </c>
      <c r="D40" s="206" t="s">
        <v>149</v>
      </c>
      <c r="E40" s="206" t="s">
        <v>150</v>
      </c>
      <c r="F40" s="206" t="s">
        <v>151</v>
      </c>
      <c r="G40" s="206" t="s">
        <v>152</v>
      </c>
      <c r="H40" s="206" t="s">
        <v>153</v>
      </c>
      <c r="I40" s="206" t="s">
        <v>154</v>
      </c>
      <c r="J40" s="207" t="s">
        <v>155</v>
      </c>
      <c r="K40" s="206" t="s">
        <v>156</v>
      </c>
      <c r="L40" s="188" t="s">
        <v>157</v>
      </c>
      <c r="M40" s="208" t="s">
        <v>158</v>
      </c>
    </row>
    <row r="41" spans="1:13" ht="16.5" thickBot="1" x14ac:dyDescent="0.3">
      <c r="A41" s="182" t="s">
        <v>143</v>
      </c>
      <c r="B41" s="194">
        <f>B19+B36</f>
        <v>173235</v>
      </c>
      <c r="C41" s="193">
        <f>C19+C36</f>
        <v>18789.583333333332</v>
      </c>
      <c r="D41" s="193">
        <f t="shared" ref="D41:K41" si="7">D19+D36</f>
        <v>130871.41666666666</v>
      </c>
      <c r="E41" s="193">
        <f t="shared" si="7"/>
        <v>59451.583333333336</v>
      </c>
      <c r="F41" s="193">
        <f t="shared" si="7"/>
        <v>22497.666666666668</v>
      </c>
      <c r="G41" s="193">
        <f t="shared" si="7"/>
        <v>15768</v>
      </c>
      <c r="H41" s="193">
        <f t="shared" si="7"/>
        <v>3588.3333333333335</v>
      </c>
      <c r="I41" s="193">
        <f t="shared" si="7"/>
        <v>0</v>
      </c>
      <c r="J41" s="213"/>
      <c r="K41" s="193">
        <f t="shared" si="7"/>
        <v>27404.25</v>
      </c>
      <c r="L41" s="194">
        <f>SUM(C41:K41)</f>
        <v>278370.83333333337</v>
      </c>
      <c r="M41" s="194">
        <f>L41+B41</f>
        <v>451605.83333333337</v>
      </c>
    </row>
    <row r="42" spans="1:13" ht="16.5" thickTop="1" x14ac:dyDescent="0.25"/>
  </sheetData>
  <phoneticPr fontId="0" type="noConversion"/>
  <printOptions gridLines="1"/>
  <pageMargins left="0.5" right="0.5" top="1" bottom="1" header="0.5" footer="0.5"/>
  <pageSetup scale="69" orientation="landscape" r:id="rId1"/>
  <headerFooter alignWithMargins="0">
    <oddHeader>&amp;R2of 4</oddHeader>
    <oddFooter>&amp;L&amp;"Times New Roman,Italic"&amp;8General Accounting - aj&amp;R&amp;"Times New Roman,Italic"&amp;8&amp;T&amp;D</oddFooter>
  </headerFooter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9">
    <tabColor indexed="11"/>
    <pageSetUpPr fitToPage="1"/>
  </sheetPr>
  <dimension ref="A1:K42"/>
  <sheetViews>
    <sheetView zoomScale="85" zoomScaleNormal="90" workbookViewId="0">
      <selection activeCell="A17" sqref="A17:IV18"/>
    </sheetView>
  </sheetViews>
  <sheetFormatPr defaultRowHeight="15.75" x14ac:dyDescent="0.25"/>
  <cols>
    <col min="1" max="1" width="13" style="182" customWidth="1"/>
    <col min="2" max="5" width="10.85546875" style="182" customWidth="1"/>
    <col min="6" max="7" width="10.42578125" style="182" bestFit="1" customWidth="1"/>
    <col min="8" max="10" width="10.85546875" style="182" customWidth="1"/>
    <col min="11" max="16384" width="9.140625" style="182"/>
  </cols>
  <sheetData>
    <row r="1" spans="1:11" x14ac:dyDescent="0.25">
      <c r="A1" s="182" t="s">
        <v>139</v>
      </c>
    </row>
    <row r="2" spans="1:11" x14ac:dyDescent="0.25">
      <c r="A2" s="183" t="s">
        <v>144</v>
      </c>
      <c r="B2" s="183"/>
      <c r="I2" s="201"/>
    </row>
    <row r="3" spans="1:11" x14ac:dyDescent="0.25">
      <c r="A3" s="182" t="e">
        <f>+#REF!</f>
        <v>#REF!</v>
      </c>
      <c r="I3" s="201"/>
    </row>
    <row r="4" spans="1:11" x14ac:dyDescent="0.25">
      <c r="I4" s="201"/>
    </row>
    <row r="5" spans="1:11" x14ac:dyDescent="0.25">
      <c r="B5" s="184"/>
      <c r="C5" s="184"/>
      <c r="D5" s="184"/>
      <c r="E5" s="184"/>
      <c r="F5" s="184"/>
      <c r="G5" s="184"/>
      <c r="H5" s="184"/>
      <c r="I5" s="231" t="s">
        <v>1</v>
      </c>
    </row>
    <row r="6" spans="1:11" ht="31.5" x14ac:dyDescent="0.25">
      <c r="A6" s="185" t="s">
        <v>140</v>
      </c>
      <c r="B6" s="206" t="s">
        <v>148</v>
      </c>
      <c r="C6" s="206" t="s">
        <v>152</v>
      </c>
      <c r="D6" s="206" t="s">
        <v>153</v>
      </c>
      <c r="E6" s="206" t="s">
        <v>154</v>
      </c>
      <c r="F6" s="206" t="s">
        <v>183</v>
      </c>
      <c r="G6" s="206" t="s">
        <v>184</v>
      </c>
      <c r="H6" s="206" t="s">
        <v>156</v>
      </c>
      <c r="I6" s="232" t="s">
        <v>185</v>
      </c>
    </row>
    <row r="7" spans="1:11" x14ac:dyDescent="0.25">
      <c r="A7" s="189" t="e">
        <f>+#REF!</f>
        <v>#REF!</v>
      </c>
      <c r="B7" s="197">
        <v>0</v>
      </c>
      <c r="C7" s="197">
        <v>0</v>
      </c>
      <c r="D7" s="197">
        <v>0</v>
      </c>
      <c r="E7" s="196" t="s">
        <v>159</v>
      </c>
      <c r="F7" s="197">
        <v>0</v>
      </c>
      <c r="G7" s="197">
        <v>0</v>
      </c>
      <c r="H7" s="197">
        <v>0</v>
      </c>
      <c r="I7" s="233">
        <f>SUM(B7:H7)</f>
        <v>0</v>
      </c>
      <c r="J7" s="192"/>
    </row>
    <row r="8" spans="1:11" x14ac:dyDescent="0.25">
      <c r="A8" s="189" t="e">
        <f>+#REF!</f>
        <v>#REF!</v>
      </c>
      <c r="B8" s="197">
        <v>0</v>
      </c>
      <c r="C8" s="197">
        <v>0</v>
      </c>
      <c r="D8" s="197">
        <v>0</v>
      </c>
      <c r="E8" s="196" t="s">
        <v>159</v>
      </c>
      <c r="F8" s="197">
        <v>0</v>
      </c>
      <c r="G8" s="197">
        <v>0</v>
      </c>
      <c r="H8" s="197">
        <v>0</v>
      </c>
      <c r="I8" s="233">
        <f t="shared" ref="I8:I18" si="0">SUM(B8:H8)</f>
        <v>0</v>
      </c>
      <c r="J8" s="192"/>
    </row>
    <row r="9" spans="1:11" x14ac:dyDescent="0.25">
      <c r="A9" s="189" t="e">
        <f>+#REF!</f>
        <v>#REF!</v>
      </c>
      <c r="B9" s="197">
        <v>0</v>
      </c>
      <c r="C9" s="197">
        <v>0</v>
      </c>
      <c r="D9" s="197">
        <v>0</v>
      </c>
      <c r="E9" s="196" t="s">
        <v>159</v>
      </c>
      <c r="F9" s="197">
        <v>0</v>
      </c>
      <c r="G9" s="197">
        <v>0</v>
      </c>
      <c r="H9" s="197">
        <v>0</v>
      </c>
      <c r="I9" s="233">
        <f t="shared" si="0"/>
        <v>0</v>
      </c>
      <c r="J9" s="192"/>
    </row>
    <row r="10" spans="1:11" x14ac:dyDescent="0.25">
      <c r="A10" s="189" t="e">
        <f>+#REF!</f>
        <v>#REF!</v>
      </c>
      <c r="B10" s="197">
        <v>0</v>
      </c>
      <c r="C10" s="197">
        <v>0</v>
      </c>
      <c r="D10" s="197">
        <v>0</v>
      </c>
      <c r="E10" s="196" t="s">
        <v>159</v>
      </c>
      <c r="F10" s="197">
        <v>0</v>
      </c>
      <c r="G10" s="197">
        <v>0</v>
      </c>
      <c r="H10" s="197">
        <v>0</v>
      </c>
      <c r="I10" s="233">
        <f t="shared" si="0"/>
        <v>0</v>
      </c>
      <c r="J10" s="192"/>
      <c r="K10" s="199"/>
    </row>
    <row r="11" spans="1:11" x14ac:dyDescent="0.25">
      <c r="A11" s="189" t="e">
        <f>+#REF!</f>
        <v>#REF!</v>
      </c>
      <c r="B11" s="197">
        <v>0</v>
      </c>
      <c r="C11" s="197">
        <v>0</v>
      </c>
      <c r="D11" s="197">
        <v>0</v>
      </c>
      <c r="E11" s="196" t="s">
        <v>159</v>
      </c>
      <c r="F11" s="197">
        <v>0</v>
      </c>
      <c r="G11" s="197">
        <v>0</v>
      </c>
      <c r="H11" s="197">
        <v>0</v>
      </c>
      <c r="I11" s="233">
        <f t="shared" si="0"/>
        <v>0</v>
      </c>
      <c r="J11" s="192"/>
    </row>
    <row r="12" spans="1:11" x14ac:dyDescent="0.25">
      <c r="A12" s="189" t="e">
        <f>+#REF!</f>
        <v>#REF!</v>
      </c>
      <c r="B12" s="197">
        <v>0</v>
      </c>
      <c r="C12" s="197">
        <v>0</v>
      </c>
      <c r="D12" s="197">
        <v>0</v>
      </c>
      <c r="E12" s="196" t="s">
        <v>159</v>
      </c>
      <c r="F12" s="197">
        <v>0</v>
      </c>
      <c r="G12" s="197">
        <v>0</v>
      </c>
      <c r="H12" s="197">
        <v>0</v>
      </c>
      <c r="I12" s="233">
        <f t="shared" si="0"/>
        <v>0</v>
      </c>
      <c r="J12" s="192"/>
    </row>
    <row r="13" spans="1:11" x14ac:dyDescent="0.25">
      <c r="A13" s="189" t="e">
        <f>+#REF!</f>
        <v>#REF!</v>
      </c>
      <c r="B13" s="197">
        <v>0</v>
      </c>
      <c r="C13" s="197">
        <v>0</v>
      </c>
      <c r="D13" s="197">
        <v>0</v>
      </c>
      <c r="E13" s="196" t="s">
        <v>159</v>
      </c>
      <c r="F13" s="197">
        <v>0</v>
      </c>
      <c r="G13" s="197">
        <v>0</v>
      </c>
      <c r="H13" s="197">
        <v>0</v>
      </c>
      <c r="I13" s="233">
        <f t="shared" si="0"/>
        <v>0</v>
      </c>
      <c r="J13" s="192"/>
    </row>
    <row r="14" spans="1:11" x14ac:dyDescent="0.25">
      <c r="A14" s="189" t="e">
        <f>+#REF!</f>
        <v>#REF!</v>
      </c>
      <c r="B14" s="197">
        <v>0</v>
      </c>
      <c r="C14" s="197">
        <v>0</v>
      </c>
      <c r="D14" s="197">
        <v>0</v>
      </c>
      <c r="E14" s="196" t="s">
        <v>159</v>
      </c>
      <c r="F14" s="197">
        <v>0</v>
      </c>
      <c r="G14" s="197">
        <v>0</v>
      </c>
      <c r="H14" s="197">
        <v>0</v>
      </c>
      <c r="I14" s="233">
        <f t="shared" si="0"/>
        <v>0</v>
      </c>
      <c r="J14" s="192"/>
    </row>
    <row r="15" spans="1:11" x14ac:dyDescent="0.25">
      <c r="A15" s="189" t="e">
        <f>+#REF!</f>
        <v>#REF!</v>
      </c>
      <c r="B15" s="197">
        <v>0</v>
      </c>
      <c r="C15" s="197">
        <v>0</v>
      </c>
      <c r="D15" s="197">
        <v>0</v>
      </c>
      <c r="E15" s="196" t="s">
        <v>159</v>
      </c>
      <c r="F15" s="197">
        <v>0</v>
      </c>
      <c r="G15" s="197">
        <v>0</v>
      </c>
      <c r="H15" s="197">
        <v>0</v>
      </c>
      <c r="I15" s="233">
        <f t="shared" si="0"/>
        <v>0</v>
      </c>
      <c r="J15" s="192"/>
    </row>
    <row r="16" spans="1:11" x14ac:dyDescent="0.25">
      <c r="A16" s="189" t="e">
        <f>+#REF!</f>
        <v>#REF!</v>
      </c>
      <c r="B16" s="197">
        <v>0</v>
      </c>
      <c r="C16" s="197">
        <v>0</v>
      </c>
      <c r="D16" s="197">
        <v>0</v>
      </c>
      <c r="E16" s="196" t="s">
        <v>159</v>
      </c>
      <c r="F16" s="197">
        <v>0</v>
      </c>
      <c r="G16" s="197">
        <v>0</v>
      </c>
      <c r="H16" s="197">
        <v>0</v>
      </c>
      <c r="I16" s="233">
        <f t="shared" si="0"/>
        <v>0</v>
      </c>
      <c r="J16" s="192"/>
    </row>
    <row r="17" spans="1:10" x14ac:dyDescent="0.25">
      <c r="A17" s="189" t="e">
        <f>+#REF!</f>
        <v>#REF!</v>
      </c>
      <c r="B17" s="234">
        <v>22051</v>
      </c>
      <c r="C17" s="234">
        <v>18343</v>
      </c>
      <c r="D17" s="234">
        <v>4224</v>
      </c>
      <c r="E17" s="200" t="s">
        <v>159</v>
      </c>
      <c r="F17" s="234">
        <v>415</v>
      </c>
      <c r="G17" s="234">
        <v>3456</v>
      </c>
      <c r="H17" s="234">
        <v>32236</v>
      </c>
      <c r="I17" s="233">
        <f t="shared" si="0"/>
        <v>80725</v>
      </c>
      <c r="J17" s="192"/>
    </row>
    <row r="18" spans="1:10" x14ac:dyDescent="0.25">
      <c r="A18" s="189" t="e">
        <f>+#REF!</f>
        <v>#REF!</v>
      </c>
      <c r="B18" s="234">
        <v>22016</v>
      </c>
      <c r="C18" s="234">
        <v>18272</v>
      </c>
      <c r="D18" s="234">
        <v>4201</v>
      </c>
      <c r="E18" s="200" t="s">
        <v>159</v>
      </c>
      <c r="F18" s="234">
        <v>413</v>
      </c>
      <c r="G18" s="234">
        <v>3426</v>
      </c>
      <c r="H18" s="234">
        <v>32103</v>
      </c>
      <c r="I18" s="233">
        <f t="shared" si="0"/>
        <v>80431</v>
      </c>
      <c r="J18" s="192"/>
    </row>
    <row r="19" spans="1:10" ht="16.5" thickBot="1" x14ac:dyDescent="0.3">
      <c r="A19" s="182" t="s">
        <v>141</v>
      </c>
      <c r="B19" s="194">
        <f t="shared" ref="B19:I19" si="1">SUM(B7:B18)/2</f>
        <v>22033.5</v>
      </c>
      <c r="C19" s="194">
        <f t="shared" si="1"/>
        <v>18307.5</v>
      </c>
      <c r="D19" s="194">
        <f t="shared" si="1"/>
        <v>4212.5</v>
      </c>
      <c r="E19" s="194">
        <f t="shared" si="1"/>
        <v>0</v>
      </c>
      <c r="F19" s="194">
        <f t="shared" si="1"/>
        <v>414</v>
      </c>
      <c r="G19" s="194">
        <f t="shared" si="1"/>
        <v>3441</v>
      </c>
      <c r="H19" s="194">
        <f t="shared" si="1"/>
        <v>32169.5</v>
      </c>
      <c r="I19" s="194">
        <f t="shared" si="1"/>
        <v>80578</v>
      </c>
    </row>
    <row r="20" spans="1:10" ht="16.5" thickTop="1" x14ac:dyDescent="0.25">
      <c r="F20" s="199"/>
      <c r="G20" s="199"/>
    </row>
    <row r="22" spans="1:10" x14ac:dyDescent="0.25">
      <c r="B22" s="184"/>
      <c r="C22" s="184"/>
      <c r="D22" s="184"/>
      <c r="E22" s="184"/>
      <c r="F22" s="184"/>
      <c r="G22" s="184"/>
      <c r="H22" s="184"/>
      <c r="I22" s="231" t="s">
        <v>1</v>
      </c>
    </row>
    <row r="23" spans="1:10" ht="31.5" x14ac:dyDescent="0.25">
      <c r="A23" s="185" t="s">
        <v>142</v>
      </c>
      <c r="B23" s="206" t="s">
        <v>148</v>
      </c>
      <c r="C23" s="206" t="s">
        <v>152</v>
      </c>
      <c r="D23" s="206" t="s">
        <v>153</v>
      </c>
      <c r="E23" s="206" t="s">
        <v>154</v>
      </c>
      <c r="F23" s="206" t="s">
        <v>183</v>
      </c>
      <c r="G23" s="206" t="s">
        <v>184</v>
      </c>
      <c r="H23" s="206" t="s">
        <v>156</v>
      </c>
      <c r="I23" s="232" t="str">
        <f>+I6</f>
        <v>Liberty</v>
      </c>
    </row>
    <row r="24" spans="1:10" x14ac:dyDescent="0.25">
      <c r="A24" s="189" t="e">
        <f t="shared" ref="A24:A35" si="2">+A7</f>
        <v>#REF!</v>
      </c>
      <c r="B24" s="197">
        <v>0</v>
      </c>
      <c r="C24" s="197">
        <v>0</v>
      </c>
      <c r="D24" s="197">
        <v>0</v>
      </c>
      <c r="E24" s="196" t="s">
        <v>159</v>
      </c>
      <c r="F24" s="197">
        <v>0</v>
      </c>
      <c r="G24" s="197">
        <v>0</v>
      </c>
      <c r="H24" s="197">
        <v>0</v>
      </c>
      <c r="I24" s="233">
        <f>SUM(B24:H24)</f>
        <v>0</v>
      </c>
    </row>
    <row r="25" spans="1:10" x14ac:dyDescent="0.25">
      <c r="A25" s="189" t="e">
        <f t="shared" si="2"/>
        <v>#REF!</v>
      </c>
      <c r="B25" s="197">
        <v>0</v>
      </c>
      <c r="C25" s="197">
        <v>0</v>
      </c>
      <c r="D25" s="197">
        <v>0</v>
      </c>
      <c r="E25" s="196" t="s">
        <v>159</v>
      </c>
      <c r="F25" s="197">
        <v>0</v>
      </c>
      <c r="G25" s="197">
        <v>0</v>
      </c>
      <c r="H25" s="197">
        <v>0</v>
      </c>
      <c r="I25" s="233">
        <f t="shared" ref="I25:I35" si="3">SUM(B25:H25)</f>
        <v>0</v>
      </c>
    </row>
    <row r="26" spans="1:10" x14ac:dyDescent="0.25">
      <c r="A26" s="189" t="e">
        <f t="shared" si="2"/>
        <v>#REF!</v>
      </c>
      <c r="B26" s="197">
        <v>0</v>
      </c>
      <c r="C26" s="197">
        <v>0</v>
      </c>
      <c r="D26" s="197">
        <v>0</v>
      </c>
      <c r="E26" s="196" t="s">
        <v>159</v>
      </c>
      <c r="F26" s="197">
        <v>0</v>
      </c>
      <c r="G26" s="197">
        <v>0</v>
      </c>
      <c r="H26" s="197">
        <v>0</v>
      </c>
      <c r="I26" s="233">
        <f t="shared" si="3"/>
        <v>0</v>
      </c>
    </row>
    <row r="27" spans="1:10" x14ac:dyDescent="0.25">
      <c r="A27" s="189" t="e">
        <f t="shared" si="2"/>
        <v>#REF!</v>
      </c>
      <c r="B27" s="197">
        <v>0</v>
      </c>
      <c r="C27" s="197">
        <v>0</v>
      </c>
      <c r="D27" s="197">
        <v>0</v>
      </c>
      <c r="E27" s="196" t="s">
        <v>159</v>
      </c>
      <c r="F27" s="197">
        <v>0</v>
      </c>
      <c r="G27" s="197">
        <v>0</v>
      </c>
      <c r="H27" s="197">
        <v>0</v>
      </c>
      <c r="I27" s="233">
        <f t="shared" si="3"/>
        <v>0</v>
      </c>
    </row>
    <row r="28" spans="1:10" x14ac:dyDescent="0.25">
      <c r="A28" s="189" t="e">
        <f t="shared" si="2"/>
        <v>#REF!</v>
      </c>
      <c r="B28" s="197">
        <v>0</v>
      </c>
      <c r="C28" s="197">
        <v>0</v>
      </c>
      <c r="D28" s="197">
        <v>0</v>
      </c>
      <c r="E28" s="196" t="s">
        <v>159</v>
      </c>
      <c r="F28" s="197">
        <v>0</v>
      </c>
      <c r="G28" s="197">
        <v>0</v>
      </c>
      <c r="H28" s="197">
        <v>0</v>
      </c>
      <c r="I28" s="233">
        <f t="shared" si="3"/>
        <v>0</v>
      </c>
    </row>
    <row r="29" spans="1:10" x14ac:dyDescent="0.25">
      <c r="A29" s="189" t="e">
        <f t="shared" si="2"/>
        <v>#REF!</v>
      </c>
      <c r="B29" s="197">
        <v>0</v>
      </c>
      <c r="C29" s="197">
        <v>0</v>
      </c>
      <c r="D29" s="197">
        <v>0</v>
      </c>
      <c r="E29" s="196" t="s">
        <v>159</v>
      </c>
      <c r="F29" s="197">
        <v>0</v>
      </c>
      <c r="G29" s="197">
        <v>0</v>
      </c>
      <c r="H29" s="197">
        <v>0</v>
      </c>
      <c r="I29" s="233">
        <f t="shared" si="3"/>
        <v>0</v>
      </c>
    </row>
    <row r="30" spans="1:10" x14ac:dyDescent="0.25">
      <c r="A30" s="189" t="e">
        <f t="shared" si="2"/>
        <v>#REF!</v>
      </c>
      <c r="B30" s="197">
        <v>0</v>
      </c>
      <c r="C30" s="197">
        <v>0</v>
      </c>
      <c r="D30" s="197">
        <v>0</v>
      </c>
      <c r="E30" s="196" t="s">
        <v>159</v>
      </c>
      <c r="F30" s="197">
        <v>0</v>
      </c>
      <c r="G30" s="197">
        <v>0</v>
      </c>
      <c r="H30" s="197">
        <v>0</v>
      </c>
      <c r="I30" s="233">
        <f t="shared" si="3"/>
        <v>0</v>
      </c>
    </row>
    <row r="31" spans="1:10" x14ac:dyDescent="0.25">
      <c r="A31" s="189" t="e">
        <f t="shared" si="2"/>
        <v>#REF!</v>
      </c>
      <c r="B31" s="197">
        <v>0</v>
      </c>
      <c r="C31" s="197">
        <v>0</v>
      </c>
      <c r="D31" s="197">
        <v>0</v>
      </c>
      <c r="E31" s="196" t="s">
        <v>159</v>
      </c>
      <c r="F31" s="197">
        <v>0</v>
      </c>
      <c r="G31" s="197">
        <v>0</v>
      </c>
      <c r="H31" s="197">
        <v>0</v>
      </c>
      <c r="I31" s="233">
        <f t="shared" si="3"/>
        <v>0</v>
      </c>
    </row>
    <row r="32" spans="1:10" x14ac:dyDescent="0.25">
      <c r="A32" s="189" t="e">
        <f t="shared" si="2"/>
        <v>#REF!</v>
      </c>
      <c r="B32" s="197">
        <v>0</v>
      </c>
      <c r="C32" s="197">
        <v>0</v>
      </c>
      <c r="D32" s="197">
        <v>0</v>
      </c>
      <c r="E32" s="196" t="s">
        <v>159</v>
      </c>
      <c r="F32" s="197">
        <v>0</v>
      </c>
      <c r="G32" s="197">
        <v>0</v>
      </c>
      <c r="H32" s="197">
        <v>0</v>
      </c>
      <c r="I32" s="233">
        <f t="shared" si="3"/>
        <v>0</v>
      </c>
    </row>
    <row r="33" spans="1:9" x14ac:dyDescent="0.25">
      <c r="A33" s="189" t="e">
        <f t="shared" si="2"/>
        <v>#REF!</v>
      </c>
      <c r="B33" s="197">
        <v>0</v>
      </c>
      <c r="C33" s="197">
        <v>0</v>
      </c>
      <c r="D33" s="197">
        <v>0</v>
      </c>
      <c r="E33" s="196" t="s">
        <v>159</v>
      </c>
      <c r="F33" s="197">
        <v>0</v>
      </c>
      <c r="G33" s="197">
        <v>0</v>
      </c>
      <c r="H33" s="197">
        <v>0</v>
      </c>
      <c r="I33" s="233">
        <f t="shared" si="3"/>
        <v>0</v>
      </c>
    </row>
    <row r="34" spans="1:9" x14ac:dyDescent="0.25">
      <c r="A34" s="189" t="e">
        <f t="shared" si="2"/>
        <v>#REF!</v>
      </c>
      <c r="B34" s="197">
        <v>7</v>
      </c>
      <c r="C34" s="197">
        <v>54</v>
      </c>
      <c r="D34" s="197">
        <v>18</v>
      </c>
      <c r="E34" s="190">
        <v>0</v>
      </c>
      <c r="F34" s="190">
        <v>0</v>
      </c>
      <c r="G34" s="190">
        <v>0</v>
      </c>
      <c r="H34" s="197">
        <v>138</v>
      </c>
      <c r="I34" s="233">
        <f t="shared" si="3"/>
        <v>217</v>
      </c>
    </row>
    <row r="35" spans="1:9" x14ac:dyDescent="0.25">
      <c r="A35" s="189" t="e">
        <f t="shared" si="2"/>
        <v>#REF!</v>
      </c>
      <c r="B35" s="197">
        <v>7</v>
      </c>
      <c r="C35" s="197">
        <v>54</v>
      </c>
      <c r="D35" s="197">
        <v>18</v>
      </c>
      <c r="E35" s="190">
        <v>0</v>
      </c>
      <c r="F35" s="190">
        <v>0</v>
      </c>
      <c r="G35" s="190">
        <v>0</v>
      </c>
      <c r="H35" s="197">
        <v>137</v>
      </c>
      <c r="I35" s="233">
        <f t="shared" si="3"/>
        <v>216</v>
      </c>
    </row>
    <row r="36" spans="1:9" ht="16.5" thickBot="1" x14ac:dyDescent="0.3">
      <c r="A36" s="182" t="s">
        <v>141</v>
      </c>
      <c r="B36" s="193">
        <f t="shared" ref="B36:I36" si="4">SUM(B24:B35)/2</f>
        <v>7</v>
      </c>
      <c r="C36" s="193">
        <f t="shared" si="4"/>
        <v>54</v>
      </c>
      <c r="D36" s="193">
        <f t="shared" si="4"/>
        <v>18</v>
      </c>
      <c r="E36" s="193">
        <f t="shared" si="4"/>
        <v>0</v>
      </c>
      <c r="F36" s="193">
        <f t="shared" si="4"/>
        <v>0</v>
      </c>
      <c r="G36" s="193">
        <f t="shared" si="4"/>
        <v>0</v>
      </c>
      <c r="H36" s="193">
        <f t="shared" si="4"/>
        <v>137.5</v>
      </c>
      <c r="I36" s="194">
        <f t="shared" si="4"/>
        <v>216.5</v>
      </c>
    </row>
    <row r="37" spans="1:9" ht="16.5" thickTop="1" x14ac:dyDescent="0.25"/>
    <row r="39" spans="1:9" x14ac:dyDescent="0.25">
      <c r="B39" s="184"/>
      <c r="C39" s="184"/>
      <c r="D39" s="184"/>
      <c r="E39" s="184"/>
      <c r="F39" s="184"/>
      <c r="G39" s="184"/>
      <c r="H39" s="184"/>
      <c r="I39" s="231" t="s">
        <v>1</v>
      </c>
    </row>
    <row r="40" spans="1:9" ht="31.5" x14ac:dyDescent="0.25">
      <c r="A40" s="185" t="s">
        <v>1</v>
      </c>
      <c r="B40" s="206" t="s">
        <v>148</v>
      </c>
      <c r="C40" s="206" t="s">
        <v>152</v>
      </c>
      <c r="D40" s="206" t="s">
        <v>153</v>
      </c>
      <c r="E40" s="206" t="s">
        <v>154</v>
      </c>
      <c r="F40" s="206" t="s">
        <v>183</v>
      </c>
      <c r="G40" s="206" t="s">
        <v>184</v>
      </c>
      <c r="H40" s="206" t="s">
        <v>156</v>
      </c>
      <c r="I40" s="232" t="str">
        <f>+I23</f>
        <v>Liberty</v>
      </c>
    </row>
    <row r="41" spans="1:9" ht="16.5" thickBot="1" x14ac:dyDescent="0.3">
      <c r="A41" s="182" t="s">
        <v>186</v>
      </c>
      <c r="B41" s="235">
        <f t="shared" ref="B41:H41" si="5">B19+B36</f>
        <v>22040.5</v>
      </c>
      <c r="C41" s="235">
        <f t="shared" si="5"/>
        <v>18361.5</v>
      </c>
      <c r="D41" s="235">
        <f t="shared" si="5"/>
        <v>4230.5</v>
      </c>
      <c r="E41" s="235">
        <f t="shared" si="5"/>
        <v>0</v>
      </c>
      <c r="F41" s="235">
        <f t="shared" si="5"/>
        <v>414</v>
      </c>
      <c r="G41" s="235">
        <f t="shared" si="5"/>
        <v>3441</v>
      </c>
      <c r="H41" s="235">
        <f t="shared" si="5"/>
        <v>32307</v>
      </c>
      <c r="I41" s="194">
        <f>SUM(B41:H41)</f>
        <v>80794.5</v>
      </c>
    </row>
    <row r="42" spans="1:9" ht="16.5" thickTop="1" x14ac:dyDescent="0.25"/>
  </sheetData>
  <phoneticPr fontId="0" type="noConversion"/>
  <printOptions gridLines="1"/>
  <pageMargins left="0.5" right="0.5" top="1" bottom="1" header="0.5" footer="0.5"/>
  <pageSetup scale="69" orientation="landscape" r:id="rId1"/>
  <headerFooter alignWithMargins="0">
    <oddHeader>&amp;R2of 4</oddHeader>
    <oddFooter>&amp;L&amp;"Times New Roman,Italic"&amp;8General Accounting - aj&amp;R&amp;"Times New Roman,Italic"&amp;8&amp;T&amp;D</oddFooter>
  </headerFooter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2">
    <tabColor indexed="11"/>
    <pageSetUpPr fitToPage="1"/>
  </sheetPr>
  <dimension ref="A1:K42"/>
  <sheetViews>
    <sheetView topLeftCell="A7" zoomScale="85" zoomScaleNormal="90" workbookViewId="0">
      <selection activeCell="B19" sqref="B19"/>
    </sheetView>
  </sheetViews>
  <sheetFormatPr defaultRowHeight="15.75" x14ac:dyDescent="0.25"/>
  <cols>
    <col min="1" max="1" width="13" style="182" customWidth="1"/>
    <col min="2" max="5" width="10.85546875" style="182" customWidth="1"/>
    <col min="6" max="7" width="10.42578125" style="182" bestFit="1" customWidth="1"/>
    <col min="8" max="10" width="10.85546875" style="182" customWidth="1"/>
    <col min="11" max="16384" width="9.140625" style="182"/>
  </cols>
  <sheetData>
    <row r="1" spans="1:11" x14ac:dyDescent="0.25">
      <c r="A1" s="182" t="s">
        <v>139</v>
      </c>
    </row>
    <row r="2" spans="1:11" x14ac:dyDescent="0.25">
      <c r="A2" s="183" t="s">
        <v>144</v>
      </c>
      <c r="B2" s="183"/>
      <c r="I2" s="201"/>
    </row>
    <row r="3" spans="1:11" x14ac:dyDescent="0.25">
      <c r="A3" s="182" t="e">
        <f>+#REF!</f>
        <v>#REF!</v>
      </c>
      <c r="I3" s="201"/>
    </row>
    <row r="4" spans="1:11" x14ac:dyDescent="0.25">
      <c r="I4" s="201"/>
    </row>
    <row r="5" spans="1:11" x14ac:dyDescent="0.25">
      <c r="B5" s="184"/>
      <c r="C5" s="184"/>
      <c r="D5" s="184"/>
      <c r="E5" s="184"/>
      <c r="F5" s="184"/>
      <c r="G5" s="184"/>
      <c r="H5" s="184"/>
      <c r="I5" s="231" t="s">
        <v>1</v>
      </c>
    </row>
    <row r="6" spans="1:11" ht="31.5" x14ac:dyDescent="0.25">
      <c r="A6" s="185" t="s">
        <v>140</v>
      </c>
      <c r="B6" s="206" t="s">
        <v>148</v>
      </c>
      <c r="C6" s="206" t="s">
        <v>152</v>
      </c>
      <c r="D6" s="206" t="s">
        <v>153</v>
      </c>
      <c r="E6" s="206" t="s">
        <v>154</v>
      </c>
      <c r="F6" s="206" t="s">
        <v>183</v>
      </c>
      <c r="G6" s="206" t="s">
        <v>184</v>
      </c>
      <c r="H6" s="206" t="s">
        <v>156</v>
      </c>
      <c r="I6" s="232" t="s">
        <v>185</v>
      </c>
    </row>
    <row r="7" spans="1:11" x14ac:dyDescent="0.25">
      <c r="A7" s="189" t="e">
        <f>+#REF!</f>
        <v>#REF!</v>
      </c>
      <c r="B7" s="197">
        <v>0</v>
      </c>
      <c r="C7" s="197">
        <v>0</v>
      </c>
      <c r="D7" s="197">
        <v>0</v>
      </c>
      <c r="E7" s="196" t="s">
        <v>159</v>
      </c>
      <c r="F7" s="197">
        <v>0</v>
      </c>
      <c r="G7" s="197">
        <v>0</v>
      </c>
      <c r="H7" s="197">
        <v>0</v>
      </c>
      <c r="I7" s="233">
        <f>SUM(B7:H7)</f>
        <v>0</v>
      </c>
      <c r="J7" s="192"/>
    </row>
    <row r="8" spans="1:11" x14ac:dyDescent="0.25">
      <c r="A8" s="189" t="e">
        <f>+#REF!</f>
        <v>#REF!</v>
      </c>
      <c r="B8" s="197">
        <v>0</v>
      </c>
      <c r="C8" s="197">
        <v>0</v>
      </c>
      <c r="D8" s="197">
        <v>0</v>
      </c>
      <c r="E8" s="196" t="s">
        <v>159</v>
      </c>
      <c r="F8" s="197">
        <v>0</v>
      </c>
      <c r="G8" s="197">
        <v>0</v>
      </c>
      <c r="H8" s="197">
        <v>0</v>
      </c>
      <c r="I8" s="233">
        <f t="shared" ref="I8:I18" si="0">SUM(B8:H8)</f>
        <v>0</v>
      </c>
      <c r="J8" s="192"/>
    </row>
    <row r="9" spans="1:11" x14ac:dyDescent="0.25">
      <c r="A9" s="189" t="e">
        <f>+#REF!</f>
        <v>#REF!</v>
      </c>
      <c r="B9" s="197">
        <v>0</v>
      </c>
      <c r="C9" s="197">
        <v>0</v>
      </c>
      <c r="D9" s="197">
        <v>0</v>
      </c>
      <c r="E9" s="196" t="s">
        <v>159</v>
      </c>
      <c r="F9" s="197">
        <v>0</v>
      </c>
      <c r="G9" s="197">
        <v>0</v>
      </c>
      <c r="H9" s="197">
        <v>0</v>
      </c>
      <c r="I9" s="233">
        <f t="shared" si="0"/>
        <v>0</v>
      </c>
      <c r="J9" s="192"/>
    </row>
    <row r="10" spans="1:11" x14ac:dyDescent="0.25">
      <c r="A10" s="189" t="e">
        <f>+#REF!</f>
        <v>#REF!</v>
      </c>
      <c r="B10" s="197">
        <v>0</v>
      </c>
      <c r="C10" s="197">
        <v>0</v>
      </c>
      <c r="D10" s="197">
        <v>0</v>
      </c>
      <c r="E10" s="196" t="s">
        <v>159</v>
      </c>
      <c r="F10" s="197">
        <v>0</v>
      </c>
      <c r="G10" s="197">
        <v>0</v>
      </c>
      <c r="H10" s="197">
        <v>0</v>
      </c>
      <c r="I10" s="233">
        <f t="shared" si="0"/>
        <v>0</v>
      </c>
      <c r="J10" s="192"/>
      <c r="K10" s="199"/>
    </row>
    <row r="11" spans="1:11" x14ac:dyDescent="0.25">
      <c r="A11" s="189" t="e">
        <f>+#REF!</f>
        <v>#REF!</v>
      </c>
      <c r="B11" s="197">
        <v>0</v>
      </c>
      <c r="C11" s="197">
        <v>0</v>
      </c>
      <c r="D11" s="197">
        <v>0</v>
      </c>
      <c r="E11" s="196" t="s">
        <v>159</v>
      </c>
      <c r="F11" s="197">
        <v>0</v>
      </c>
      <c r="G11" s="197">
        <v>0</v>
      </c>
      <c r="H11" s="197">
        <v>0</v>
      </c>
      <c r="I11" s="233">
        <f t="shared" si="0"/>
        <v>0</v>
      </c>
      <c r="J11" s="192"/>
    </row>
    <row r="12" spans="1:11" x14ac:dyDescent="0.25">
      <c r="A12" s="189" t="e">
        <f>+#REF!</f>
        <v>#REF!</v>
      </c>
      <c r="B12" s="197">
        <v>0</v>
      </c>
      <c r="C12" s="197">
        <v>0</v>
      </c>
      <c r="D12" s="197">
        <v>0</v>
      </c>
      <c r="E12" s="196" t="s">
        <v>159</v>
      </c>
      <c r="F12" s="197">
        <v>0</v>
      </c>
      <c r="G12" s="197">
        <v>0</v>
      </c>
      <c r="H12" s="197">
        <v>0</v>
      </c>
      <c r="I12" s="233">
        <f t="shared" si="0"/>
        <v>0</v>
      </c>
      <c r="J12" s="192"/>
    </row>
    <row r="13" spans="1:11" x14ac:dyDescent="0.25">
      <c r="A13" s="189" t="e">
        <f>+#REF!</f>
        <v>#REF!</v>
      </c>
      <c r="B13" s="197">
        <v>0</v>
      </c>
      <c r="C13" s="197">
        <v>0</v>
      </c>
      <c r="D13" s="197">
        <v>0</v>
      </c>
      <c r="E13" s="196" t="s">
        <v>159</v>
      </c>
      <c r="F13" s="197">
        <v>0</v>
      </c>
      <c r="G13" s="197">
        <v>0</v>
      </c>
      <c r="H13" s="197">
        <v>0</v>
      </c>
      <c r="I13" s="233">
        <f t="shared" si="0"/>
        <v>0</v>
      </c>
      <c r="J13" s="192"/>
    </row>
    <row r="14" spans="1:11" x14ac:dyDescent="0.25">
      <c r="A14" s="189" t="e">
        <f>+#REF!</f>
        <v>#REF!</v>
      </c>
      <c r="B14" s="197">
        <v>0</v>
      </c>
      <c r="C14" s="197">
        <v>0</v>
      </c>
      <c r="D14" s="197">
        <v>0</v>
      </c>
      <c r="E14" s="196" t="s">
        <v>159</v>
      </c>
      <c r="F14" s="197">
        <v>0</v>
      </c>
      <c r="G14" s="197">
        <v>0</v>
      </c>
      <c r="H14" s="197">
        <v>0</v>
      </c>
      <c r="I14" s="233">
        <f t="shared" si="0"/>
        <v>0</v>
      </c>
      <c r="J14" s="192"/>
    </row>
    <row r="15" spans="1:11" x14ac:dyDescent="0.25">
      <c r="A15" s="189" t="e">
        <f>+#REF!</f>
        <v>#REF!</v>
      </c>
      <c r="B15" s="197">
        <v>0</v>
      </c>
      <c r="C15" s="197">
        <v>0</v>
      </c>
      <c r="D15" s="197">
        <v>0</v>
      </c>
      <c r="E15" s="196" t="s">
        <v>159</v>
      </c>
      <c r="F15" s="197">
        <v>0</v>
      </c>
      <c r="G15" s="197">
        <v>0</v>
      </c>
      <c r="H15" s="197">
        <v>0</v>
      </c>
      <c r="I15" s="233">
        <f t="shared" si="0"/>
        <v>0</v>
      </c>
      <c r="J15" s="192"/>
    </row>
    <row r="16" spans="1:11" x14ac:dyDescent="0.25">
      <c r="A16" s="189" t="e">
        <f>+#REF!</f>
        <v>#REF!</v>
      </c>
      <c r="B16" s="197">
        <v>0</v>
      </c>
      <c r="C16" s="197">
        <v>0</v>
      </c>
      <c r="D16" s="197">
        <v>0</v>
      </c>
      <c r="E16" s="196" t="s">
        <v>159</v>
      </c>
      <c r="F16" s="197">
        <v>0</v>
      </c>
      <c r="G16" s="197">
        <v>0</v>
      </c>
      <c r="H16" s="197">
        <v>0</v>
      </c>
      <c r="I16" s="233">
        <f t="shared" si="0"/>
        <v>0</v>
      </c>
      <c r="J16" s="192"/>
    </row>
    <row r="17" spans="1:10" x14ac:dyDescent="0.25">
      <c r="A17" s="189" t="e">
        <f>+#REF!</f>
        <v>#REF!</v>
      </c>
      <c r="B17" s="234">
        <v>22051</v>
      </c>
      <c r="C17" s="234">
        <v>18343</v>
      </c>
      <c r="D17" s="234">
        <v>4224</v>
      </c>
      <c r="E17" s="200" t="s">
        <v>159</v>
      </c>
      <c r="F17" s="234">
        <v>415</v>
      </c>
      <c r="G17" s="234">
        <v>3456</v>
      </c>
      <c r="H17" s="234">
        <v>32236</v>
      </c>
      <c r="I17" s="233">
        <f t="shared" si="0"/>
        <v>80725</v>
      </c>
      <c r="J17" s="192"/>
    </row>
    <row r="18" spans="1:10" x14ac:dyDescent="0.25">
      <c r="A18" s="189" t="e">
        <f>+#REF!</f>
        <v>#REF!</v>
      </c>
      <c r="B18" s="234">
        <v>22016</v>
      </c>
      <c r="C18" s="234">
        <v>18272</v>
      </c>
      <c r="D18" s="234">
        <v>4201</v>
      </c>
      <c r="E18" s="200" t="s">
        <v>159</v>
      </c>
      <c r="F18" s="234">
        <v>413</v>
      </c>
      <c r="G18" s="234">
        <v>3426</v>
      </c>
      <c r="H18" s="234">
        <v>32103</v>
      </c>
      <c r="I18" s="233">
        <f t="shared" si="0"/>
        <v>80431</v>
      </c>
      <c r="J18" s="192"/>
    </row>
    <row r="19" spans="1:10" ht="16.5" thickBot="1" x14ac:dyDescent="0.3">
      <c r="A19" s="182" t="s">
        <v>141</v>
      </c>
      <c r="B19" s="194">
        <f t="shared" ref="B19:I19" si="1">SUM(B7:B18)/2</f>
        <v>22033.5</v>
      </c>
      <c r="C19" s="194">
        <f t="shared" si="1"/>
        <v>18307.5</v>
      </c>
      <c r="D19" s="194">
        <f t="shared" si="1"/>
        <v>4212.5</v>
      </c>
      <c r="E19" s="194">
        <f t="shared" si="1"/>
        <v>0</v>
      </c>
      <c r="F19" s="194">
        <f t="shared" si="1"/>
        <v>414</v>
      </c>
      <c r="G19" s="194">
        <f t="shared" si="1"/>
        <v>3441</v>
      </c>
      <c r="H19" s="194">
        <f t="shared" si="1"/>
        <v>32169.5</v>
      </c>
      <c r="I19" s="194">
        <f t="shared" si="1"/>
        <v>80578</v>
      </c>
    </row>
    <row r="20" spans="1:10" ht="16.5" thickTop="1" x14ac:dyDescent="0.25">
      <c r="F20" s="199"/>
      <c r="G20" s="199"/>
    </row>
    <row r="22" spans="1:10" x14ac:dyDescent="0.25">
      <c r="B22" s="184"/>
      <c r="C22" s="184"/>
      <c r="D22" s="184"/>
      <c r="E22" s="184"/>
      <c r="F22" s="184"/>
      <c r="G22" s="184"/>
      <c r="H22" s="184"/>
      <c r="I22" s="231" t="s">
        <v>1</v>
      </c>
    </row>
    <row r="23" spans="1:10" ht="31.5" x14ac:dyDescent="0.25">
      <c r="A23" s="185" t="s">
        <v>142</v>
      </c>
      <c r="B23" s="206" t="s">
        <v>148</v>
      </c>
      <c r="C23" s="206" t="s">
        <v>152</v>
      </c>
      <c r="D23" s="206" t="s">
        <v>153</v>
      </c>
      <c r="E23" s="206" t="s">
        <v>154</v>
      </c>
      <c r="F23" s="206" t="s">
        <v>183</v>
      </c>
      <c r="G23" s="206" t="s">
        <v>184</v>
      </c>
      <c r="H23" s="206" t="s">
        <v>156</v>
      </c>
      <c r="I23" s="232" t="str">
        <f>+I6</f>
        <v>Liberty</v>
      </c>
    </row>
    <row r="24" spans="1:10" x14ac:dyDescent="0.25">
      <c r="A24" s="189" t="e">
        <f t="shared" ref="A24:A35" si="2">+A7</f>
        <v>#REF!</v>
      </c>
      <c r="B24" s="197">
        <v>0</v>
      </c>
      <c r="C24" s="197">
        <v>0</v>
      </c>
      <c r="D24" s="197">
        <v>0</v>
      </c>
      <c r="E24" s="196" t="s">
        <v>159</v>
      </c>
      <c r="F24" s="197">
        <v>0</v>
      </c>
      <c r="G24" s="197">
        <v>0</v>
      </c>
      <c r="H24" s="197">
        <v>0</v>
      </c>
      <c r="I24" s="233">
        <f>SUM(B24:H24)</f>
        <v>0</v>
      </c>
    </row>
    <row r="25" spans="1:10" x14ac:dyDescent="0.25">
      <c r="A25" s="189" t="e">
        <f t="shared" si="2"/>
        <v>#REF!</v>
      </c>
      <c r="B25" s="197">
        <v>0</v>
      </c>
      <c r="C25" s="197">
        <v>0</v>
      </c>
      <c r="D25" s="197">
        <v>0</v>
      </c>
      <c r="E25" s="196" t="s">
        <v>159</v>
      </c>
      <c r="F25" s="197">
        <v>0</v>
      </c>
      <c r="G25" s="197">
        <v>0</v>
      </c>
      <c r="H25" s="197">
        <v>0</v>
      </c>
      <c r="I25" s="233">
        <f t="shared" ref="I25:I35" si="3">SUM(B25:H25)</f>
        <v>0</v>
      </c>
    </row>
    <row r="26" spans="1:10" x14ac:dyDescent="0.25">
      <c r="A26" s="189" t="e">
        <f t="shared" si="2"/>
        <v>#REF!</v>
      </c>
      <c r="B26" s="197">
        <v>0</v>
      </c>
      <c r="C26" s="197">
        <v>0</v>
      </c>
      <c r="D26" s="197">
        <v>0</v>
      </c>
      <c r="E26" s="196" t="s">
        <v>159</v>
      </c>
      <c r="F26" s="197">
        <v>0</v>
      </c>
      <c r="G26" s="197">
        <v>0</v>
      </c>
      <c r="H26" s="197">
        <v>0</v>
      </c>
      <c r="I26" s="233">
        <f t="shared" si="3"/>
        <v>0</v>
      </c>
    </row>
    <row r="27" spans="1:10" x14ac:dyDescent="0.25">
      <c r="A27" s="189" t="e">
        <f t="shared" si="2"/>
        <v>#REF!</v>
      </c>
      <c r="B27" s="197">
        <v>0</v>
      </c>
      <c r="C27" s="197">
        <v>0</v>
      </c>
      <c r="D27" s="197">
        <v>0</v>
      </c>
      <c r="E27" s="196" t="s">
        <v>159</v>
      </c>
      <c r="F27" s="197">
        <v>0</v>
      </c>
      <c r="G27" s="197">
        <v>0</v>
      </c>
      <c r="H27" s="197">
        <v>0</v>
      </c>
      <c r="I27" s="233">
        <f t="shared" si="3"/>
        <v>0</v>
      </c>
    </row>
    <row r="28" spans="1:10" x14ac:dyDescent="0.25">
      <c r="A28" s="189" t="e">
        <f t="shared" si="2"/>
        <v>#REF!</v>
      </c>
      <c r="B28" s="197">
        <v>0</v>
      </c>
      <c r="C28" s="197">
        <v>0</v>
      </c>
      <c r="D28" s="197">
        <v>0</v>
      </c>
      <c r="E28" s="196" t="s">
        <v>159</v>
      </c>
      <c r="F28" s="197">
        <v>0</v>
      </c>
      <c r="G28" s="197">
        <v>0</v>
      </c>
      <c r="H28" s="197">
        <v>0</v>
      </c>
      <c r="I28" s="233">
        <f t="shared" si="3"/>
        <v>0</v>
      </c>
    </row>
    <row r="29" spans="1:10" x14ac:dyDescent="0.25">
      <c r="A29" s="189" t="e">
        <f t="shared" si="2"/>
        <v>#REF!</v>
      </c>
      <c r="B29" s="197">
        <v>0</v>
      </c>
      <c r="C29" s="197">
        <v>0</v>
      </c>
      <c r="D29" s="197">
        <v>0</v>
      </c>
      <c r="E29" s="196" t="s">
        <v>159</v>
      </c>
      <c r="F29" s="197">
        <v>0</v>
      </c>
      <c r="G29" s="197">
        <v>0</v>
      </c>
      <c r="H29" s="197">
        <v>0</v>
      </c>
      <c r="I29" s="233">
        <f t="shared" si="3"/>
        <v>0</v>
      </c>
    </row>
    <row r="30" spans="1:10" x14ac:dyDescent="0.25">
      <c r="A30" s="189" t="e">
        <f t="shared" si="2"/>
        <v>#REF!</v>
      </c>
      <c r="B30" s="197">
        <v>0</v>
      </c>
      <c r="C30" s="197">
        <v>0</v>
      </c>
      <c r="D30" s="197">
        <v>0</v>
      </c>
      <c r="E30" s="196" t="s">
        <v>159</v>
      </c>
      <c r="F30" s="197">
        <v>0</v>
      </c>
      <c r="G30" s="197">
        <v>0</v>
      </c>
      <c r="H30" s="197">
        <v>0</v>
      </c>
      <c r="I30" s="233">
        <f t="shared" si="3"/>
        <v>0</v>
      </c>
    </row>
    <row r="31" spans="1:10" x14ac:dyDescent="0.25">
      <c r="A31" s="189" t="e">
        <f t="shared" si="2"/>
        <v>#REF!</v>
      </c>
      <c r="B31" s="197">
        <v>0</v>
      </c>
      <c r="C31" s="197">
        <v>0</v>
      </c>
      <c r="D31" s="197">
        <v>0</v>
      </c>
      <c r="E31" s="196" t="s">
        <v>159</v>
      </c>
      <c r="F31" s="197">
        <v>0</v>
      </c>
      <c r="G31" s="197">
        <v>0</v>
      </c>
      <c r="H31" s="197">
        <v>0</v>
      </c>
      <c r="I31" s="233">
        <f t="shared" si="3"/>
        <v>0</v>
      </c>
    </row>
    <row r="32" spans="1:10" x14ac:dyDescent="0.25">
      <c r="A32" s="189" t="e">
        <f t="shared" si="2"/>
        <v>#REF!</v>
      </c>
      <c r="B32" s="197">
        <v>0</v>
      </c>
      <c r="C32" s="197">
        <v>0</v>
      </c>
      <c r="D32" s="197">
        <v>0</v>
      </c>
      <c r="E32" s="196" t="s">
        <v>159</v>
      </c>
      <c r="F32" s="197">
        <v>0</v>
      </c>
      <c r="G32" s="197">
        <v>0</v>
      </c>
      <c r="H32" s="197">
        <v>0</v>
      </c>
      <c r="I32" s="233">
        <f t="shared" si="3"/>
        <v>0</v>
      </c>
    </row>
    <row r="33" spans="1:9" x14ac:dyDescent="0.25">
      <c r="A33" s="189" t="e">
        <f t="shared" si="2"/>
        <v>#REF!</v>
      </c>
      <c r="B33" s="197">
        <v>0</v>
      </c>
      <c r="C33" s="197">
        <v>0</v>
      </c>
      <c r="D33" s="197">
        <v>0</v>
      </c>
      <c r="E33" s="196" t="s">
        <v>159</v>
      </c>
      <c r="F33" s="197">
        <v>0</v>
      </c>
      <c r="G33" s="197">
        <v>0</v>
      </c>
      <c r="H33" s="197">
        <v>0</v>
      </c>
      <c r="I33" s="233">
        <f t="shared" si="3"/>
        <v>0</v>
      </c>
    </row>
    <row r="34" spans="1:9" x14ac:dyDescent="0.25">
      <c r="A34" s="189" t="e">
        <f t="shared" si="2"/>
        <v>#REF!</v>
      </c>
      <c r="B34" s="197">
        <v>7</v>
      </c>
      <c r="C34" s="197">
        <v>54</v>
      </c>
      <c r="D34" s="197">
        <v>18</v>
      </c>
      <c r="E34" s="190">
        <v>0</v>
      </c>
      <c r="F34" s="190">
        <v>0</v>
      </c>
      <c r="G34" s="190">
        <v>0</v>
      </c>
      <c r="H34" s="197">
        <v>138</v>
      </c>
      <c r="I34" s="233">
        <f t="shared" si="3"/>
        <v>217</v>
      </c>
    </row>
    <row r="35" spans="1:9" x14ac:dyDescent="0.25">
      <c r="A35" s="189" t="e">
        <f t="shared" si="2"/>
        <v>#REF!</v>
      </c>
      <c r="B35" s="197">
        <v>7</v>
      </c>
      <c r="C35" s="197">
        <v>54</v>
      </c>
      <c r="D35" s="197">
        <v>18</v>
      </c>
      <c r="E35" s="190">
        <v>0</v>
      </c>
      <c r="F35" s="190">
        <v>0</v>
      </c>
      <c r="G35" s="190">
        <v>0</v>
      </c>
      <c r="H35" s="197">
        <v>137</v>
      </c>
      <c r="I35" s="233">
        <f t="shared" si="3"/>
        <v>216</v>
      </c>
    </row>
    <row r="36" spans="1:9" ht="16.5" thickBot="1" x14ac:dyDescent="0.3">
      <c r="A36" s="182" t="s">
        <v>141</v>
      </c>
      <c r="B36" s="193">
        <f t="shared" ref="B36:I36" si="4">SUM(B24:B35)/2</f>
        <v>7</v>
      </c>
      <c r="C36" s="193">
        <f t="shared" si="4"/>
        <v>54</v>
      </c>
      <c r="D36" s="193">
        <f t="shared" si="4"/>
        <v>18</v>
      </c>
      <c r="E36" s="193">
        <f t="shared" si="4"/>
        <v>0</v>
      </c>
      <c r="F36" s="193">
        <f t="shared" si="4"/>
        <v>0</v>
      </c>
      <c r="G36" s="193">
        <f t="shared" si="4"/>
        <v>0</v>
      </c>
      <c r="H36" s="193">
        <f t="shared" si="4"/>
        <v>137.5</v>
      </c>
      <c r="I36" s="194">
        <f t="shared" si="4"/>
        <v>216.5</v>
      </c>
    </row>
    <row r="37" spans="1:9" ht="16.5" thickTop="1" x14ac:dyDescent="0.25"/>
    <row r="39" spans="1:9" x14ac:dyDescent="0.25">
      <c r="B39" s="184"/>
      <c r="C39" s="184"/>
      <c r="D39" s="184"/>
      <c r="E39" s="184"/>
      <c r="F39" s="184"/>
      <c r="G39" s="184"/>
      <c r="H39" s="184"/>
      <c r="I39" s="231" t="s">
        <v>1</v>
      </c>
    </row>
    <row r="40" spans="1:9" ht="31.5" x14ac:dyDescent="0.25">
      <c r="A40" s="185" t="s">
        <v>1</v>
      </c>
      <c r="B40" s="206" t="s">
        <v>148</v>
      </c>
      <c r="C40" s="206" t="s">
        <v>152</v>
      </c>
      <c r="D40" s="206" t="s">
        <v>153</v>
      </c>
      <c r="E40" s="206" t="s">
        <v>154</v>
      </c>
      <c r="F40" s="206" t="s">
        <v>183</v>
      </c>
      <c r="G40" s="206" t="s">
        <v>184</v>
      </c>
      <c r="H40" s="206" t="s">
        <v>156</v>
      </c>
      <c r="I40" s="232" t="str">
        <f>+I23</f>
        <v>Liberty</v>
      </c>
    </row>
    <row r="41" spans="1:9" ht="16.5" thickBot="1" x14ac:dyDescent="0.3">
      <c r="A41" s="182" t="s">
        <v>186</v>
      </c>
      <c r="B41" s="235">
        <f t="shared" ref="B41:H41" si="5">B19+B36</f>
        <v>22040.5</v>
      </c>
      <c r="C41" s="235">
        <f t="shared" si="5"/>
        <v>18361.5</v>
      </c>
      <c r="D41" s="235">
        <f t="shared" si="5"/>
        <v>4230.5</v>
      </c>
      <c r="E41" s="235">
        <f t="shared" si="5"/>
        <v>0</v>
      </c>
      <c r="F41" s="235">
        <f t="shared" si="5"/>
        <v>414</v>
      </c>
      <c r="G41" s="235">
        <f t="shared" si="5"/>
        <v>3441</v>
      </c>
      <c r="H41" s="235">
        <f t="shared" si="5"/>
        <v>32307</v>
      </c>
      <c r="I41" s="194">
        <f>SUM(B41:H41)</f>
        <v>80794.5</v>
      </c>
    </row>
    <row r="42" spans="1:9" ht="16.5" thickTop="1" x14ac:dyDescent="0.25"/>
  </sheetData>
  <phoneticPr fontId="0" type="noConversion"/>
  <printOptions gridLines="1"/>
  <pageMargins left="0.5" right="0.5" top="1" bottom="1" header="0.5" footer="0.5"/>
  <pageSetup scale="69" orientation="landscape" r:id="rId1"/>
  <headerFooter alignWithMargins="0">
    <oddHeader>&amp;R2of 4</oddHeader>
    <oddFooter>&amp;L&amp;"Times New Roman,Italic"&amp;8General Accounting - aj&amp;R&amp;"Times New Roman,Italic"&amp;8&amp;T&amp;D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BQ165"/>
  <sheetViews>
    <sheetView showGridLines="0" zoomScale="85" zoomScaleNormal="85" zoomScaleSheetLayoutView="100" workbookViewId="0">
      <pane xSplit="4" ySplit="8" topLeftCell="G9" activePane="bottomRight" state="frozen"/>
      <selection pane="topRight" activeCell="E1" sqref="E1"/>
      <selection pane="bottomLeft" activeCell="A9" sqref="A9"/>
      <selection pane="bottomRight" activeCell="G11" sqref="G11"/>
    </sheetView>
  </sheetViews>
  <sheetFormatPr defaultRowHeight="12.75" x14ac:dyDescent="0.2"/>
  <cols>
    <col min="1" max="1" width="4" style="19" customWidth="1"/>
    <col min="2" max="2" width="0.85546875" style="5" customWidth="1"/>
    <col min="3" max="3" width="33.5703125" style="5" customWidth="1"/>
    <col min="4" max="4" width="0.85546875" style="5" customWidth="1"/>
    <col min="5" max="5" width="4" style="5" customWidth="1"/>
    <col min="6" max="6" width="1.42578125" style="5" customWidth="1"/>
    <col min="7" max="7" width="19.85546875" style="5" bestFit="1" customWidth="1"/>
    <col min="8" max="8" width="1.85546875" style="5" customWidth="1"/>
    <col min="9" max="9" width="17.42578125" style="8" customWidth="1"/>
    <col min="10" max="10" width="2.140625" style="5" customWidth="1"/>
    <col min="11" max="11" width="15.85546875" style="5" bestFit="1" customWidth="1"/>
    <col min="12" max="12" width="3" style="5" customWidth="1"/>
    <col min="13" max="13" width="15.42578125" style="5" bestFit="1" customWidth="1"/>
    <col min="14" max="14" width="2.5703125" style="48" customWidth="1"/>
    <col min="15" max="15" width="15.42578125" style="5" bestFit="1" customWidth="1"/>
    <col min="16" max="16" width="2.42578125" style="48" customWidth="1"/>
    <col min="17" max="17" width="16.85546875" style="5" bestFit="1" customWidth="1"/>
    <col min="18" max="18" width="3.140625" style="48" customWidth="1"/>
    <col min="19" max="19" width="15.42578125" style="5" bestFit="1" customWidth="1"/>
    <col min="20" max="20" width="0.85546875" style="48" customWidth="1"/>
    <col min="21" max="21" width="16.85546875" style="5" bestFit="1" customWidth="1"/>
    <col min="22" max="22" width="0.5703125" style="48" customWidth="1"/>
    <col min="23" max="23" width="16.85546875" style="5" bestFit="1" customWidth="1"/>
    <col min="24" max="24" width="4.7109375" style="48" customWidth="1"/>
    <col min="25" max="25" width="14.28515625" style="5" bestFit="1" customWidth="1"/>
    <col min="26" max="26" width="2.140625" style="10" customWidth="1"/>
    <col min="27" max="27" width="14.28515625" style="10" bestFit="1" customWidth="1"/>
    <col min="28" max="28" width="2.5703125" style="10" customWidth="1"/>
    <col min="29" max="29" width="14.28515625" style="5" bestFit="1" customWidth="1"/>
    <col min="30" max="30" width="2.28515625" style="5" customWidth="1"/>
    <col min="31" max="31" width="11.5703125" style="5" bestFit="1" customWidth="1"/>
    <col min="32" max="32" width="2.42578125" style="5" customWidth="1"/>
    <col min="33" max="33" width="17.42578125" style="10" customWidth="1"/>
    <col min="34" max="34" width="2.42578125" style="10" customWidth="1"/>
    <col min="35" max="35" width="16.42578125" style="5" customWidth="1"/>
    <col min="36" max="36" width="2.7109375" style="5" customWidth="1"/>
    <col min="37" max="37" width="14.28515625" style="5" bestFit="1" customWidth="1"/>
    <col min="38" max="38" width="2.7109375" style="5" customWidth="1"/>
    <col min="39" max="39" width="11.7109375" style="5" customWidth="1"/>
    <col min="40" max="40" width="1.85546875" style="5" customWidth="1"/>
    <col min="41" max="41" width="12.140625" style="5" customWidth="1"/>
    <col min="42" max="42" width="1.7109375" style="5" customWidth="1"/>
    <col min="43" max="43" width="12.140625" style="5" customWidth="1"/>
    <col min="44" max="44" width="1.5703125" style="5" customWidth="1"/>
    <col min="45" max="45" width="11.5703125" style="5" customWidth="1"/>
    <col min="46" max="46" width="1.85546875" style="5" customWidth="1"/>
    <col min="47" max="47" width="13.5703125" style="5" customWidth="1"/>
    <col min="48" max="48" width="2.140625" style="5" customWidth="1"/>
    <col min="49" max="49" width="11" style="5" customWidth="1"/>
    <col min="50" max="50" width="1.7109375" style="5" customWidth="1"/>
    <col min="51" max="51" width="11.7109375" style="5" customWidth="1"/>
    <col min="52" max="52" width="2.140625" style="5" customWidth="1"/>
    <col min="53" max="53" width="2.5703125" style="5" customWidth="1"/>
    <col min="54" max="54" width="10.85546875" style="5" customWidth="1"/>
    <col min="55" max="55" width="1.7109375" style="5" customWidth="1"/>
    <col min="56" max="56" width="11.5703125" style="5" customWidth="1"/>
    <col min="57" max="57" width="2.28515625" style="5" customWidth="1"/>
    <col min="58" max="58" width="12.7109375" style="5" customWidth="1"/>
    <col min="59" max="59" width="13.7109375" style="5" customWidth="1"/>
    <col min="60" max="16384" width="9.140625" style="5"/>
  </cols>
  <sheetData>
    <row r="1" spans="1:58" s="12" customFormat="1" x14ac:dyDescent="0.2">
      <c r="A1" s="11"/>
      <c r="B1" s="11"/>
      <c r="C1" s="11"/>
      <c r="D1" s="11"/>
      <c r="E1" s="11"/>
      <c r="F1" s="11"/>
      <c r="G1" s="11"/>
      <c r="H1" s="11"/>
      <c r="I1" s="41"/>
      <c r="J1" s="11"/>
      <c r="K1" s="11"/>
      <c r="L1" s="11"/>
      <c r="M1" s="11"/>
      <c r="N1" s="100"/>
      <c r="O1" s="11"/>
      <c r="P1" s="100"/>
      <c r="Q1" s="11"/>
      <c r="R1" s="100"/>
      <c r="T1" s="100"/>
      <c r="U1" s="11"/>
      <c r="V1" s="100"/>
      <c r="W1" s="11"/>
      <c r="X1" s="100"/>
      <c r="Y1" s="11"/>
      <c r="Z1" s="35"/>
      <c r="AA1" s="35"/>
      <c r="AB1" s="35"/>
      <c r="AC1" s="11"/>
      <c r="AD1" s="11"/>
      <c r="AE1" s="35"/>
      <c r="AF1" s="35"/>
      <c r="AG1" s="35"/>
      <c r="AH1" s="35"/>
      <c r="AI1" s="11"/>
      <c r="AJ1" s="11"/>
      <c r="AK1" s="11"/>
      <c r="AL1" s="11"/>
      <c r="AM1" s="11"/>
      <c r="AN1" s="35"/>
      <c r="AO1" s="35"/>
      <c r="AP1" s="100"/>
      <c r="AQ1" s="11"/>
      <c r="AR1" s="11"/>
      <c r="AS1" s="11"/>
      <c r="AT1" s="35"/>
      <c r="AU1" s="35"/>
      <c r="AV1" s="100"/>
      <c r="AW1" s="11"/>
      <c r="AX1" s="11"/>
      <c r="AY1" s="11"/>
      <c r="AZ1" s="35"/>
      <c r="BA1" s="100"/>
      <c r="BB1" s="11"/>
      <c r="BC1" s="11"/>
      <c r="BD1" s="11"/>
      <c r="BE1" s="35"/>
      <c r="BF1" s="35"/>
    </row>
    <row r="2" spans="1:58" s="12" customFormat="1" ht="15" x14ac:dyDescent="0.25">
      <c r="A2" s="11"/>
      <c r="B2" s="11"/>
      <c r="C2" s="11"/>
      <c r="D2" s="11"/>
      <c r="E2" s="11"/>
      <c r="F2" s="11"/>
      <c r="G2" s="11"/>
      <c r="H2" s="11"/>
      <c r="I2" s="41"/>
      <c r="J2" s="11"/>
      <c r="K2" s="11"/>
      <c r="L2" s="11"/>
      <c r="M2" s="11"/>
      <c r="N2" s="100"/>
      <c r="O2" s="11"/>
      <c r="P2" s="100"/>
      <c r="Q2" s="11"/>
      <c r="R2" s="100"/>
      <c r="T2" s="100"/>
      <c r="U2" s="11"/>
      <c r="V2" s="100"/>
      <c r="W2" s="11"/>
      <c r="X2" s="100"/>
      <c r="Y2" s="134"/>
      <c r="Z2" s="35"/>
      <c r="AA2" s="35"/>
      <c r="AB2" s="35"/>
      <c r="AC2" s="11"/>
      <c r="AD2" s="11"/>
      <c r="AE2" s="35"/>
      <c r="AF2" s="35"/>
      <c r="AG2" s="35"/>
      <c r="AH2" s="35"/>
      <c r="AI2" s="11"/>
      <c r="AJ2" s="11"/>
      <c r="AK2" s="11"/>
      <c r="AL2" s="11"/>
      <c r="AM2" s="11"/>
      <c r="AN2" s="35"/>
      <c r="AO2" s="35"/>
      <c r="AP2" s="100"/>
      <c r="AQ2" s="11"/>
      <c r="AR2" s="11"/>
      <c r="AS2" s="11"/>
      <c r="AT2" s="35"/>
      <c r="AU2" s="35"/>
      <c r="AV2" s="100"/>
      <c r="AW2" s="11"/>
      <c r="AX2" s="11"/>
      <c r="AY2" s="11"/>
      <c r="AZ2" s="35"/>
      <c r="BA2" s="100"/>
      <c r="BB2" s="11"/>
      <c r="BC2" s="11"/>
      <c r="BD2" s="11"/>
      <c r="BE2" s="35"/>
      <c r="BF2" s="35"/>
    </row>
    <row r="3" spans="1:58" s="12" customFormat="1" x14ac:dyDescent="0.2">
      <c r="A3" s="42" t="s">
        <v>0</v>
      </c>
      <c r="B3" s="11"/>
      <c r="C3" s="11"/>
      <c r="D3" s="11"/>
      <c r="E3" s="11"/>
      <c r="F3" s="11"/>
      <c r="G3" s="11"/>
      <c r="H3" s="11"/>
      <c r="I3" s="41"/>
      <c r="J3" s="11"/>
      <c r="K3" s="11"/>
      <c r="L3" s="11"/>
      <c r="M3" s="11"/>
      <c r="N3" s="100"/>
      <c r="O3" s="11"/>
      <c r="P3" s="100"/>
      <c r="Q3" s="11"/>
      <c r="R3" s="100"/>
      <c r="T3" s="100"/>
      <c r="U3" s="11"/>
      <c r="V3" s="100"/>
      <c r="W3" s="11"/>
      <c r="X3" s="100"/>
      <c r="Y3" s="135"/>
      <c r="Z3" s="35"/>
      <c r="AA3" s="35"/>
      <c r="AB3" s="35"/>
      <c r="AC3" s="11"/>
      <c r="AD3" s="11"/>
      <c r="AE3" s="35"/>
      <c r="AF3" s="35"/>
      <c r="AG3" s="35"/>
      <c r="AH3" s="35"/>
      <c r="AI3" s="11"/>
      <c r="AJ3" s="11"/>
      <c r="AK3" s="11"/>
      <c r="AL3" s="11"/>
      <c r="AM3" s="11"/>
      <c r="AN3" s="35"/>
      <c r="AO3" s="35"/>
      <c r="AP3" s="100"/>
      <c r="AQ3" s="11"/>
      <c r="AR3" s="11"/>
      <c r="AS3" s="11"/>
      <c r="AT3" s="35"/>
      <c r="AU3" s="35"/>
      <c r="AV3" s="100"/>
      <c r="AW3" s="11"/>
      <c r="AX3" s="11"/>
      <c r="AY3" s="11"/>
      <c r="AZ3" s="35"/>
      <c r="BA3" s="100"/>
      <c r="BB3" s="11"/>
      <c r="BC3" s="11"/>
      <c r="BD3" s="11"/>
      <c r="BE3" s="35"/>
      <c r="BF3" s="35"/>
    </row>
    <row r="4" spans="1:58" s="12" customFormat="1" x14ac:dyDescent="0.2">
      <c r="A4" s="42" t="s">
        <v>121</v>
      </c>
      <c r="B4" s="11"/>
      <c r="C4" s="11"/>
      <c r="D4" s="11"/>
      <c r="E4" s="11"/>
      <c r="F4" s="11"/>
      <c r="G4" s="11"/>
      <c r="H4" s="11"/>
      <c r="I4" s="41"/>
      <c r="J4" s="11"/>
      <c r="K4" s="11"/>
      <c r="L4" s="11"/>
      <c r="M4" s="11"/>
      <c r="N4" s="100"/>
      <c r="O4" s="11"/>
      <c r="P4" s="100"/>
      <c r="Q4" s="11"/>
      <c r="R4" s="100"/>
      <c r="T4" s="100"/>
      <c r="U4" s="11"/>
      <c r="V4" s="100"/>
      <c r="W4" s="11"/>
      <c r="X4" s="100"/>
      <c r="Y4" s="11"/>
      <c r="Z4" s="35"/>
      <c r="AA4" s="35"/>
      <c r="AB4" s="35"/>
      <c r="AC4" s="11"/>
      <c r="AD4" s="11"/>
      <c r="AE4" s="35"/>
      <c r="AF4" s="35"/>
      <c r="AG4" s="35"/>
      <c r="AH4" s="35"/>
      <c r="AI4" s="179"/>
      <c r="AJ4" s="179"/>
      <c r="AK4" s="11"/>
      <c r="AL4" s="11"/>
      <c r="AM4" s="11"/>
      <c r="AN4" s="35"/>
      <c r="AO4" s="35"/>
      <c r="AP4" s="100"/>
      <c r="AQ4" s="11"/>
      <c r="AR4" s="11"/>
      <c r="AS4" s="11"/>
      <c r="AT4" s="35"/>
      <c r="AU4" s="35"/>
      <c r="AV4" s="100"/>
      <c r="AW4" s="11"/>
      <c r="AX4" s="11"/>
      <c r="AY4" s="11"/>
      <c r="AZ4" s="35"/>
      <c r="BA4" s="100"/>
      <c r="BB4" s="11"/>
      <c r="BC4" s="11"/>
      <c r="BD4" s="11"/>
      <c r="BE4" s="35"/>
      <c r="BF4" s="35"/>
    </row>
    <row r="5" spans="1:58" s="12" customFormat="1" x14ac:dyDescent="0.2">
      <c r="A5" s="43"/>
      <c r="I5" s="44"/>
      <c r="N5" s="101"/>
      <c r="P5" s="101"/>
      <c r="R5" s="101"/>
      <c r="T5" s="101"/>
      <c r="V5" s="101"/>
      <c r="X5" s="101"/>
      <c r="AG5" s="12" t="s">
        <v>138</v>
      </c>
      <c r="AI5" s="115"/>
      <c r="AJ5" s="115"/>
      <c r="AP5" s="101"/>
      <c r="AV5" s="101"/>
      <c r="BA5" s="101"/>
    </row>
    <row r="6" spans="1:58" s="6" customFormat="1" x14ac:dyDescent="0.2">
      <c r="A6" s="43"/>
      <c r="I6" s="82">
        <v>30</v>
      </c>
      <c r="K6" s="6">
        <v>60</v>
      </c>
      <c r="M6" s="6">
        <v>20</v>
      </c>
      <c r="N6" s="20"/>
      <c r="O6" s="6">
        <v>20</v>
      </c>
      <c r="P6" s="20"/>
      <c r="Q6" s="6">
        <v>50</v>
      </c>
      <c r="R6" s="20"/>
      <c r="S6" s="6">
        <v>70</v>
      </c>
      <c r="T6" s="20"/>
      <c r="U6" s="6">
        <v>80</v>
      </c>
      <c r="V6" s="20"/>
      <c r="W6" s="6">
        <v>180</v>
      </c>
      <c r="X6" s="20"/>
      <c r="Y6" s="172">
        <v>212</v>
      </c>
      <c r="AA6" s="172">
        <v>232</v>
      </c>
      <c r="AC6" s="172">
        <v>233</v>
      </c>
      <c r="AE6" s="172">
        <v>303</v>
      </c>
      <c r="AG6" s="176" t="s">
        <v>110</v>
      </c>
      <c r="AI6" s="176">
        <v>221</v>
      </c>
      <c r="AK6" s="176">
        <v>231</v>
      </c>
      <c r="AM6" s="176">
        <v>234</v>
      </c>
      <c r="AO6" s="176">
        <v>236</v>
      </c>
      <c r="AP6" s="20"/>
      <c r="AQ6" s="176">
        <v>237</v>
      </c>
      <c r="AS6" s="176">
        <v>239</v>
      </c>
      <c r="AU6" s="176">
        <v>240</v>
      </c>
      <c r="AV6" s="20"/>
      <c r="AW6" s="176">
        <v>301</v>
      </c>
      <c r="AY6" s="176">
        <v>302</v>
      </c>
      <c r="BA6" s="20"/>
      <c r="BB6" s="176">
        <v>306</v>
      </c>
      <c r="BD6" s="176">
        <v>312</v>
      </c>
      <c r="BF6" s="176">
        <v>321</v>
      </c>
    </row>
    <row r="7" spans="1:58" s="6" customFormat="1" x14ac:dyDescent="0.2">
      <c r="A7" s="43"/>
      <c r="C7" s="98" t="s">
        <v>80</v>
      </c>
      <c r="I7" s="82"/>
      <c r="N7" s="20"/>
      <c r="P7" s="20"/>
      <c r="R7" s="20"/>
      <c r="T7" s="20"/>
      <c r="V7" s="20"/>
      <c r="X7" s="20"/>
      <c r="AG7" s="6">
        <v>234</v>
      </c>
      <c r="AP7" s="20"/>
      <c r="AV7" s="20"/>
      <c r="BA7" s="20"/>
    </row>
    <row r="8" spans="1:58" s="6" customFormat="1" ht="38.25" x14ac:dyDescent="0.2">
      <c r="A8" s="45" t="s">
        <v>8</v>
      </c>
      <c r="B8" s="46"/>
      <c r="C8" s="47"/>
      <c r="E8" s="20"/>
      <c r="G8" s="7" t="s">
        <v>1</v>
      </c>
      <c r="I8" s="83" t="s">
        <v>13</v>
      </c>
      <c r="K8" s="7" t="s">
        <v>10</v>
      </c>
      <c r="M8" s="7" t="s">
        <v>11</v>
      </c>
      <c r="N8" s="20"/>
      <c r="O8" s="7" t="s">
        <v>12</v>
      </c>
      <c r="P8" s="20"/>
      <c r="Q8" s="112" t="s">
        <v>83</v>
      </c>
      <c r="R8" s="20"/>
      <c r="S8" s="7" t="s">
        <v>82</v>
      </c>
      <c r="T8" s="20"/>
      <c r="U8" s="7" t="s">
        <v>14</v>
      </c>
      <c r="V8" s="20"/>
      <c r="W8" s="9" t="s">
        <v>84</v>
      </c>
      <c r="X8" s="20"/>
      <c r="Y8" s="7" t="s">
        <v>86</v>
      </c>
      <c r="AA8" s="9" t="s">
        <v>125</v>
      </c>
      <c r="AB8" s="9"/>
      <c r="AC8" s="9" t="s">
        <v>87</v>
      </c>
      <c r="AD8" s="9"/>
      <c r="AE8" s="9" t="s">
        <v>89</v>
      </c>
      <c r="AF8" s="139"/>
      <c r="AG8" s="6" t="s">
        <v>135</v>
      </c>
      <c r="AI8" s="9" t="s">
        <v>123</v>
      </c>
      <c r="AJ8" s="9"/>
      <c r="AK8" s="9" t="s">
        <v>124</v>
      </c>
      <c r="AL8" s="9"/>
      <c r="AM8" s="9" t="s">
        <v>126</v>
      </c>
      <c r="AO8" s="9" t="s">
        <v>88</v>
      </c>
      <c r="AP8" s="20"/>
      <c r="AQ8" s="9" t="s">
        <v>127</v>
      </c>
      <c r="AS8" s="9">
        <v>239</v>
      </c>
      <c r="AU8" s="9">
        <v>240</v>
      </c>
      <c r="AV8" s="20"/>
      <c r="AW8" s="9" t="s">
        <v>128</v>
      </c>
      <c r="AX8" s="9"/>
      <c r="AY8" s="9" t="s">
        <v>129</v>
      </c>
      <c r="BA8" s="20"/>
      <c r="BB8" s="9" t="s">
        <v>130</v>
      </c>
      <c r="BD8" s="9" t="s">
        <v>131</v>
      </c>
      <c r="BF8" s="9" t="s">
        <v>132</v>
      </c>
    </row>
    <row r="9" spans="1:58" x14ac:dyDescent="0.2">
      <c r="G9" s="48"/>
      <c r="H9" s="48"/>
      <c r="I9" s="49"/>
      <c r="AE9" s="10"/>
      <c r="AF9" s="10"/>
      <c r="AN9" s="10"/>
      <c r="AO9" s="10"/>
      <c r="AP9" s="48"/>
      <c r="AT9" s="10"/>
      <c r="AU9" s="10"/>
      <c r="AV9" s="48"/>
      <c r="AZ9" s="10"/>
      <c r="BA9" s="48"/>
      <c r="BE9" s="10"/>
      <c r="BF9" s="10"/>
    </row>
    <row r="10" spans="1:58" s="152" customFormat="1" x14ac:dyDescent="0.2">
      <c r="A10" s="151"/>
      <c r="C10" s="153" t="s">
        <v>2</v>
      </c>
      <c r="D10" s="154"/>
      <c r="E10" s="152" t="s">
        <v>3</v>
      </c>
      <c r="G10" s="155">
        <f>SUM(I10:AG10)</f>
        <v>7388488691.3999996</v>
      </c>
      <c r="H10" s="156"/>
      <c r="I10" s="157">
        <f>503734670.89+63045.86</f>
        <v>503797716.75</v>
      </c>
      <c r="J10" s="158"/>
      <c r="K10" s="157">
        <f>465686869.31+8051.75</f>
        <v>465694921.06</v>
      </c>
      <c r="L10" s="158"/>
      <c r="M10" s="157">
        <v>178307235.72999999</v>
      </c>
      <c r="N10" s="156"/>
      <c r="O10" s="157">
        <v>494319819.33999997</v>
      </c>
      <c r="P10" s="156"/>
      <c r="Q10" s="157">
        <f>1023853005.83+544441.93</f>
        <v>1024397447.76</v>
      </c>
      <c r="R10" s="156"/>
      <c r="S10" s="157">
        <f>423816796.51+11746000</f>
        <v>435562796.50999999</v>
      </c>
      <c r="T10" s="156"/>
      <c r="U10" s="157">
        <v>2909762764.3699999</v>
      </c>
      <c r="V10" s="156"/>
      <c r="W10" s="157">
        <v>1280759006.2</v>
      </c>
      <c r="X10" s="156"/>
      <c r="Y10" s="157">
        <f>51497.31+34782013.57</f>
        <v>34833510.880000003</v>
      </c>
      <c r="Z10" s="158"/>
      <c r="AA10" s="157">
        <f>425557.38+8101630.37</f>
        <v>8527187.75</v>
      </c>
      <c r="AB10" s="157"/>
      <c r="AC10" s="157">
        <f>27901.77+14295511.79</f>
        <v>14323413.559999999</v>
      </c>
      <c r="AD10" s="157"/>
      <c r="AE10" s="157">
        <f>148754.32+23305116.88</f>
        <v>23453871.199999999</v>
      </c>
      <c r="AF10" s="156"/>
      <c r="AG10" s="158">
        <f>SUM(AI10:BF10)</f>
        <v>14749000.289999999</v>
      </c>
      <c r="AH10" s="158"/>
      <c r="AI10" s="157">
        <v>3047559.41</v>
      </c>
      <c r="AJ10" s="157"/>
      <c r="AK10" s="157">
        <v>288000</v>
      </c>
      <c r="AL10" s="157"/>
      <c r="AM10" s="157">
        <v>7139991.3600000003</v>
      </c>
      <c r="AN10" s="158"/>
      <c r="AO10" s="157">
        <f>17425.5+3649851.78</f>
        <v>3667277.28</v>
      </c>
      <c r="AP10" s="156"/>
      <c r="AQ10" s="157"/>
      <c r="AR10" s="159"/>
      <c r="AS10" s="157">
        <v>0</v>
      </c>
      <c r="AT10" s="158"/>
      <c r="AU10" s="157"/>
      <c r="AV10" s="156"/>
      <c r="AW10" s="157">
        <v>52368.66</v>
      </c>
      <c r="AX10" s="157"/>
      <c r="AY10" s="157"/>
      <c r="AZ10" s="158"/>
      <c r="BA10" s="156"/>
      <c r="BB10" s="157">
        <v>553803.57999999996</v>
      </c>
      <c r="BC10" s="159"/>
      <c r="BD10" s="157"/>
      <c r="BE10" s="158"/>
      <c r="BF10" s="157"/>
    </row>
    <row r="11" spans="1:58" s="161" customFormat="1" x14ac:dyDescent="0.2">
      <c r="A11" s="160"/>
      <c r="C11" s="161" t="s">
        <v>4</v>
      </c>
      <c r="D11" s="162"/>
      <c r="E11" s="161" t="s">
        <v>5</v>
      </c>
      <c r="G11" s="163" t="e">
        <f>SUM(I11:AG11)</f>
        <v>#REF!</v>
      </c>
      <c r="H11" s="164"/>
      <c r="I11" s="165">
        <v>297023</v>
      </c>
      <c r="J11" s="166"/>
      <c r="K11" s="167">
        <v>247550</v>
      </c>
      <c r="L11" s="166"/>
      <c r="M11" s="167">
        <v>73346</v>
      </c>
      <c r="N11" s="164"/>
      <c r="O11" s="167">
        <v>270431</v>
      </c>
      <c r="P11" s="164"/>
      <c r="Q11" s="167">
        <v>528545</v>
      </c>
      <c r="R11" s="164"/>
      <c r="S11" s="167">
        <v>248848</v>
      </c>
      <c r="T11" s="164"/>
      <c r="U11" s="167" t="e">
        <f>'Summary customer count 2013-old'!E7</f>
        <v>#REF!</v>
      </c>
      <c r="V11" s="164"/>
      <c r="W11" s="167" t="e">
        <f>'Summary customer count 2013-old'!E8</f>
        <v>#REF!</v>
      </c>
      <c r="X11" s="164"/>
      <c r="Y11" s="167">
        <v>1118</v>
      </c>
      <c r="Z11" s="166"/>
      <c r="AA11" s="167"/>
      <c r="AB11" s="167"/>
      <c r="AC11" s="167"/>
      <c r="AD11" s="167"/>
      <c r="AE11" s="167">
        <f>'Summary customer count 2013-old'!E10</f>
        <v>7</v>
      </c>
      <c r="AF11" s="164"/>
      <c r="AG11" s="158">
        <f>SUM(AI11:BF11)</f>
        <v>0</v>
      </c>
      <c r="AH11" s="166"/>
      <c r="AI11" s="167"/>
      <c r="AJ11" s="167"/>
      <c r="AK11" s="167"/>
      <c r="AL11" s="167"/>
      <c r="AM11" s="167"/>
      <c r="AN11" s="166"/>
      <c r="AO11" s="167"/>
      <c r="AP11" s="164"/>
      <c r="AQ11" s="167"/>
      <c r="AR11" s="168"/>
      <c r="AS11" s="167"/>
      <c r="AT11" s="166"/>
      <c r="AU11" s="167"/>
      <c r="AV11" s="164"/>
      <c r="AW11" s="167"/>
      <c r="AX11" s="167"/>
      <c r="AY11" s="167"/>
      <c r="AZ11" s="166"/>
      <c r="BA11" s="164"/>
      <c r="BB11" s="167"/>
      <c r="BC11" s="168"/>
      <c r="BD11" s="167"/>
      <c r="BE11" s="166"/>
      <c r="BF11" s="167"/>
    </row>
    <row r="12" spans="1:58" s="145" customFormat="1" x14ac:dyDescent="0.2">
      <c r="A12" s="144"/>
      <c r="C12" s="146" t="s">
        <v>15</v>
      </c>
      <c r="D12" s="147"/>
      <c r="E12" s="145" t="s">
        <v>3</v>
      </c>
      <c r="G12" s="148">
        <f>SUM(I12:AG12)</f>
        <v>353674338.34999996</v>
      </c>
      <c r="H12" s="142"/>
      <c r="I12" s="141">
        <v>27206253.27</v>
      </c>
      <c r="J12" s="149"/>
      <c r="K12" s="143">
        <v>23972323.100000001</v>
      </c>
      <c r="L12" s="149"/>
      <c r="M12" s="141">
        <f>9061876.33+1227634.34</f>
        <v>10289510.67</v>
      </c>
      <c r="N12" s="142"/>
      <c r="O12" s="141">
        <f>18388873.41+3722504.11</f>
        <v>22111377.52</v>
      </c>
      <c r="P12" s="142"/>
      <c r="Q12" s="143">
        <v>49299476.899999999</v>
      </c>
      <c r="R12" s="142"/>
      <c r="S12" s="143">
        <v>31477147.5</v>
      </c>
      <c r="T12" s="142"/>
      <c r="U12" s="143">
        <v>98525277.590000004</v>
      </c>
      <c r="V12" s="142"/>
      <c r="W12" s="143">
        <f>62903902.48+1156.5+87507.55</f>
        <v>62992566.529999994</v>
      </c>
      <c r="X12" s="142"/>
      <c r="Y12" s="141">
        <v>21890852.850000001</v>
      </c>
      <c r="Z12" s="149"/>
      <c r="AA12" s="143">
        <v>378612.17</v>
      </c>
      <c r="AB12" s="143"/>
      <c r="AC12" s="143">
        <v>368687.52</v>
      </c>
      <c r="AD12" s="143"/>
      <c r="AE12" s="143">
        <v>1288913.71</v>
      </c>
      <c r="AF12" s="142"/>
      <c r="AG12" s="158">
        <f>SUM(AI12:BF12)</f>
        <v>3873339.0200000005</v>
      </c>
      <c r="AH12" s="149"/>
      <c r="AI12" s="143">
        <v>129211.8</v>
      </c>
      <c r="AJ12" s="143"/>
      <c r="AK12" s="143">
        <v>216510.71</v>
      </c>
      <c r="AL12" s="143"/>
      <c r="AM12" s="143">
        <v>606605.43999999994</v>
      </c>
      <c r="AN12" s="149"/>
      <c r="AO12" s="143">
        <f>7818272.65-5287753.8</f>
        <v>2530518.8500000006</v>
      </c>
      <c r="AP12" s="142"/>
      <c r="AQ12" s="143">
        <v>403.7</v>
      </c>
      <c r="AR12" s="150"/>
      <c r="AS12" s="143">
        <v>0</v>
      </c>
      <c r="AT12" s="149"/>
      <c r="AU12" s="143">
        <v>0</v>
      </c>
      <c r="AV12" s="142"/>
      <c r="AW12" s="143">
        <v>380088.46</v>
      </c>
      <c r="AX12" s="143"/>
      <c r="AY12" s="143">
        <v>2672.63</v>
      </c>
      <c r="AZ12" s="149"/>
      <c r="BA12" s="142"/>
      <c r="BB12" s="143">
        <v>19863.09</v>
      </c>
      <c r="BC12" s="150"/>
      <c r="BD12" s="143">
        <v>-13660.66</v>
      </c>
      <c r="BE12" s="149"/>
      <c r="BF12" s="143">
        <v>1125</v>
      </c>
    </row>
    <row r="13" spans="1:58" s="3" customFormat="1" x14ac:dyDescent="0.2">
      <c r="A13" s="19"/>
      <c r="C13" s="50" t="s">
        <v>16</v>
      </c>
      <c r="D13" s="10"/>
      <c r="G13" s="51"/>
      <c r="H13" s="8"/>
      <c r="I13" s="1"/>
      <c r="J13" s="4"/>
      <c r="K13" s="1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8"/>
      <c r="X13" s="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</row>
    <row r="14" spans="1:58" x14ac:dyDescent="0.2">
      <c r="A14" s="52" t="s">
        <v>9</v>
      </c>
      <c r="B14" s="47"/>
      <c r="D14" s="10"/>
      <c r="G14" s="53"/>
      <c r="I14" s="110"/>
      <c r="K14" s="37"/>
      <c r="Q14" s="37"/>
      <c r="AE14" s="10"/>
      <c r="AF14" s="10"/>
      <c r="AI14" s="37"/>
      <c r="AJ14" s="37"/>
      <c r="AN14" s="10"/>
      <c r="AO14" s="10"/>
      <c r="AP14" s="48"/>
      <c r="AT14" s="10"/>
      <c r="AU14" s="10"/>
      <c r="AV14" s="48"/>
      <c r="AZ14" s="10"/>
      <c r="BA14" s="48"/>
      <c r="BE14" s="10"/>
      <c r="BF14" s="10"/>
    </row>
    <row r="15" spans="1:58" s="14" customFormat="1" x14ac:dyDescent="0.2">
      <c r="A15" s="19"/>
      <c r="C15" s="2" t="s">
        <v>2</v>
      </c>
      <c r="D15" s="10"/>
      <c r="E15" s="14" t="s">
        <v>6</v>
      </c>
      <c r="G15" s="86">
        <f>SUM(I15:AG15)</f>
        <v>1</v>
      </c>
      <c r="H15" s="87"/>
      <c r="I15" s="88">
        <f>1-SUM(K15:AG15)</f>
        <v>6.8300000000000027E-2</v>
      </c>
      <c r="J15" s="87"/>
      <c r="K15" s="86">
        <f>ROUND(K10/$G$10,4)</f>
        <v>6.3E-2</v>
      </c>
      <c r="L15" s="87"/>
      <c r="M15" s="86">
        <f>ROUND(M10/$G10,4)</f>
        <v>2.41E-2</v>
      </c>
      <c r="N15" s="90"/>
      <c r="O15" s="86">
        <f>ROUND(O10/$G10,4)</f>
        <v>6.6900000000000001E-2</v>
      </c>
      <c r="P15" s="90"/>
      <c r="Q15" s="86">
        <f>ROUND(Q10/$G10,4)</f>
        <v>0.1386</v>
      </c>
      <c r="R15" s="90"/>
      <c r="S15" s="86">
        <f>ROUND(S10/$G10,4)</f>
        <v>5.8999999999999997E-2</v>
      </c>
      <c r="T15" s="90"/>
      <c r="U15" s="86">
        <f>ROUND(U10/$G10,4)</f>
        <v>0.39379999999999998</v>
      </c>
      <c r="V15" s="90"/>
      <c r="W15" s="86">
        <f>ROUND(W10/$G10,4)</f>
        <v>0.17330000000000001</v>
      </c>
      <c r="X15" s="90"/>
      <c r="Y15" s="86">
        <f>ROUND(Y10/$G10,4)</f>
        <v>4.7000000000000002E-3</v>
      </c>
      <c r="AA15" s="86">
        <f>ROUND(AA10/$G10,4)</f>
        <v>1.1999999999999999E-3</v>
      </c>
      <c r="AB15" s="86"/>
      <c r="AC15" s="86">
        <f>ROUND(AC10/$G10,4)</f>
        <v>1.9E-3</v>
      </c>
      <c r="AD15" s="86"/>
      <c r="AE15" s="86">
        <f>ROUND(AE10/$G10,4)</f>
        <v>3.2000000000000002E-3</v>
      </c>
      <c r="AF15" s="90"/>
      <c r="AG15" s="86">
        <f>ROUND(AG10/$G10,4)</f>
        <v>2E-3</v>
      </c>
      <c r="AI15" s="86">
        <f>ROUND(AI10/$G10,4)</f>
        <v>4.0000000000000002E-4</v>
      </c>
      <c r="AJ15" s="86"/>
      <c r="AK15" s="86">
        <f>ROUND(AK10/$G10,4)</f>
        <v>0</v>
      </c>
      <c r="AL15" s="86"/>
      <c r="AM15" s="86">
        <f>ROUND(AM10/$G10,4)</f>
        <v>1E-3</v>
      </c>
      <c r="AO15" s="86">
        <f>ROUND(AO10/$G10,4)</f>
        <v>5.0000000000000001E-4</v>
      </c>
      <c r="AP15" s="90"/>
      <c r="AQ15" s="86">
        <f>ROUND(AQ10/$G10,4)</f>
        <v>0</v>
      </c>
      <c r="AR15" s="13"/>
      <c r="AS15" s="86">
        <f>ROUND(AS10/$G10,4)</f>
        <v>0</v>
      </c>
      <c r="AU15" s="86">
        <f>ROUND(AU10/$G10,4)</f>
        <v>0</v>
      </c>
      <c r="AV15" s="90"/>
      <c r="AW15" s="86">
        <f>ROUND(AW10/$G10,4)</f>
        <v>0</v>
      </c>
      <c r="AX15" s="86"/>
      <c r="AY15" s="86">
        <f>ROUND(AY10/$G10,4)</f>
        <v>0</v>
      </c>
      <c r="BA15" s="90"/>
      <c r="BB15" s="86">
        <f>ROUND(BB10/$G10,4)</f>
        <v>1E-4</v>
      </c>
      <c r="BC15" s="13"/>
      <c r="BD15" s="86">
        <f>ROUND(BD10/$G10,4)</f>
        <v>0</v>
      </c>
      <c r="BF15" s="86">
        <f>ROUND(BF10/$G10,4)</f>
        <v>0</v>
      </c>
    </row>
    <row r="16" spans="1:58" s="14" customFormat="1" x14ac:dyDescent="0.2">
      <c r="A16" s="19"/>
      <c r="C16" s="3" t="s">
        <v>4</v>
      </c>
      <c r="D16" s="10"/>
      <c r="E16" s="14" t="s">
        <v>6</v>
      </c>
      <c r="G16" s="89" t="e">
        <f>SUM(I16:AG16)</f>
        <v>#REF!</v>
      </c>
      <c r="H16" s="87"/>
      <c r="I16" s="88" t="e">
        <f>1-SUM(K16:AG16)</f>
        <v>#REF!</v>
      </c>
      <c r="J16" s="87"/>
      <c r="K16" s="86" t="e">
        <f>ROUND(K11/$G$11,4)</f>
        <v>#REF!</v>
      </c>
      <c r="L16" s="87"/>
      <c r="M16" s="86" t="e">
        <f>ROUND(M11/$G11,4)</f>
        <v>#REF!</v>
      </c>
      <c r="N16" s="90"/>
      <c r="O16" s="86" t="e">
        <f>ROUND(O11/$G11,4)</f>
        <v>#REF!</v>
      </c>
      <c r="P16" s="90"/>
      <c r="Q16" s="86" t="e">
        <f>ROUND(Q11/$G11,4)</f>
        <v>#REF!</v>
      </c>
      <c r="R16" s="90"/>
      <c r="S16" s="86" t="e">
        <f>ROUND(S11/$G11,4)</f>
        <v>#REF!</v>
      </c>
      <c r="T16" s="90"/>
      <c r="U16" s="86" t="e">
        <f>ROUND(U11/$G11,4)</f>
        <v>#REF!</v>
      </c>
      <c r="V16" s="90"/>
      <c r="W16" s="86" t="e">
        <f>ROUND(W11/$G11,4)</f>
        <v>#REF!</v>
      </c>
      <c r="X16" s="90"/>
      <c r="Y16" s="86" t="e">
        <f>ROUND(Y11/$G11,4)</f>
        <v>#REF!</v>
      </c>
      <c r="AA16" s="86" t="e">
        <f>ROUND(AA11/$G11,4)</f>
        <v>#REF!</v>
      </c>
      <c r="AB16" s="86"/>
      <c r="AC16" s="86" t="e">
        <f>ROUND(AC11/$G11,4)</f>
        <v>#REF!</v>
      </c>
      <c r="AD16" s="86"/>
      <c r="AE16" s="86" t="e">
        <f>ROUND(AE11/$G11,4)</f>
        <v>#REF!</v>
      </c>
      <c r="AF16" s="90"/>
      <c r="AG16" s="86" t="e">
        <f>ROUND(AG11/$G11,4)</f>
        <v>#REF!</v>
      </c>
      <c r="AI16" s="86" t="e">
        <f>ROUND(AI11/$G11,4)</f>
        <v>#REF!</v>
      </c>
      <c r="AJ16" s="86"/>
      <c r="AK16" s="86" t="e">
        <f>ROUND(AK11/$G11,4)</f>
        <v>#REF!</v>
      </c>
      <c r="AL16" s="86"/>
      <c r="AM16" s="86" t="e">
        <f>ROUND(AM11/$G11,4)</f>
        <v>#REF!</v>
      </c>
      <c r="AO16" s="86" t="e">
        <f>ROUND(AO11/$G11,4)</f>
        <v>#REF!</v>
      </c>
      <c r="AP16" s="90"/>
      <c r="AQ16" s="86" t="e">
        <f>ROUND(AQ11/$G11,4)</f>
        <v>#REF!</v>
      </c>
      <c r="AR16" s="13"/>
      <c r="AS16" s="86" t="e">
        <f>ROUND(AS11/$G11,4)</f>
        <v>#REF!</v>
      </c>
      <c r="AU16" s="86" t="e">
        <f>ROUND(AU11/$G11,4)</f>
        <v>#REF!</v>
      </c>
      <c r="AV16" s="90"/>
      <c r="AW16" s="86" t="e">
        <f>ROUND(AW11/$G11,4)</f>
        <v>#REF!</v>
      </c>
      <c r="AX16" s="86"/>
      <c r="AY16" s="86" t="e">
        <f>ROUND(AY11/$G11,4)</f>
        <v>#REF!</v>
      </c>
      <c r="BA16" s="90"/>
      <c r="BB16" s="86" t="e">
        <f>ROUND(BB11/$G11,4)</f>
        <v>#REF!</v>
      </c>
      <c r="BC16" s="13"/>
      <c r="BD16" s="86" t="e">
        <f>ROUND(BD11/$G11,4)</f>
        <v>#REF!</v>
      </c>
      <c r="BF16" s="86" t="e">
        <f>ROUND(BF11/$G11,4)</f>
        <v>#REF!</v>
      </c>
    </row>
    <row r="17" spans="1:58" s="14" customFormat="1" x14ac:dyDescent="0.2">
      <c r="A17" s="19"/>
      <c r="C17" s="2" t="s">
        <v>7</v>
      </c>
      <c r="D17" s="10"/>
      <c r="E17" s="14" t="s">
        <v>6</v>
      </c>
      <c r="G17" s="89">
        <f>SUM(I17:AG17)</f>
        <v>1</v>
      </c>
      <c r="H17" s="87"/>
      <c r="I17" s="88">
        <f>1-SUM(K17:AG17)</f>
        <v>7.6900000000000079E-2</v>
      </c>
      <c r="J17" s="87"/>
      <c r="K17" s="86">
        <f>ROUND(K12/$G12,4)</f>
        <v>6.7799999999999999E-2</v>
      </c>
      <c r="L17" s="87"/>
      <c r="M17" s="86">
        <f>ROUND(M12/$G12,4)</f>
        <v>2.9100000000000001E-2</v>
      </c>
      <c r="N17" s="90"/>
      <c r="O17" s="86">
        <f>ROUND(O12/$G12,4)</f>
        <v>6.25E-2</v>
      </c>
      <c r="P17" s="90"/>
      <c r="Q17" s="86">
        <f>ROUND(Q12/$G12,4)</f>
        <v>0.1394</v>
      </c>
      <c r="R17" s="90"/>
      <c r="S17" s="86">
        <f>ROUND(S12/$G12,4)</f>
        <v>8.8999999999999996E-2</v>
      </c>
      <c r="T17" s="90"/>
      <c r="U17" s="86">
        <f>ROUND(U12/$G12,4)</f>
        <v>0.27860000000000001</v>
      </c>
      <c r="V17" s="90"/>
      <c r="W17" s="86">
        <f>ROUND(W12/$G12,4)</f>
        <v>0.17810000000000001</v>
      </c>
      <c r="X17" s="90"/>
      <c r="Y17" s="86">
        <f>ROUND(Y12/$G12,4)</f>
        <v>6.1899999999999997E-2</v>
      </c>
      <c r="AA17" s="86">
        <f>ROUND(AA12/$G12,4)</f>
        <v>1.1000000000000001E-3</v>
      </c>
      <c r="AB17" s="86"/>
      <c r="AC17" s="86">
        <f>ROUND(AC12/$G12,4)</f>
        <v>1E-3</v>
      </c>
      <c r="AD17" s="86"/>
      <c r="AE17" s="86">
        <f>ROUND(AE12/$G12,4)</f>
        <v>3.5999999999999999E-3</v>
      </c>
      <c r="AF17" s="90"/>
      <c r="AG17" s="86">
        <f>ROUND(AG12/$G12,4)</f>
        <v>1.0999999999999999E-2</v>
      </c>
      <c r="AI17" s="86">
        <f>ROUND(AI12/$G12,4)</f>
        <v>4.0000000000000002E-4</v>
      </c>
      <c r="AJ17" s="86"/>
      <c r="AK17" s="86">
        <f>ROUND(AK12/$G12,4)</f>
        <v>5.9999999999999995E-4</v>
      </c>
      <c r="AL17" s="86"/>
      <c r="AM17" s="86">
        <f>ROUND(AM12/$G12,4)</f>
        <v>1.6999999999999999E-3</v>
      </c>
      <c r="AO17" s="86">
        <f>ROUND(AO12/$G12,4)</f>
        <v>7.1999999999999998E-3</v>
      </c>
      <c r="AP17" s="90"/>
      <c r="AQ17" s="86">
        <f>ROUND(AQ12/$G12,4)</f>
        <v>0</v>
      </c>
      <c r="AR17" s="13"/>
      <c r="AS17" s="86">
        <f>ROUND(AS12/$G12,4)</f>
        <v>0</v>
      </c>
      <c r="AU17" s="86">
        <f>ROUND(AU12/$G12,4)</f>
        <v>0</v>
      </c>
      <c r="AV17" s="90"/>
      <c r="AW17" s="86">
        <f>ROUND(AW12/$G12,4)</f>
        <v>1.1000000000000001E-3</v>
      </c>
      <c r="AX17" s="86"/>
      <c r="AY17" s="86">
        <f>ROUND(AY12/$G12,4)</f>
        <v>0</v>
      </c>
      <c r="BA17" s="90"/>
      <c r="BB17" s="86">
        <f>ROUND(BB12/$G12,4)</f>
        <v>1E-4</v>
      </c>
      <c r="BC17" s="13"/>
      <c r="BD17" s="86">
        <f>ROUND(BD12/$G12,4)</f>
        <v>0</v>
      </c>
      <c r="BF17" s="86">
        <f>ROUND(BF12/$G12,4)</f>
        <v>0</v>
      </c>
    </row>
    <row r="18" spans="1:58" s="14" customFormat="1" x14ac:dyDescent="0.2">
      <c r="A18" s="19"/>
      <c r="C18" s="54"/>
      <c r="D18" s="10"/>
      <c r="G18" s="90"/>
      <c r="H18" s="90"/>
      <c r="I18" s="91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16"/>
      <c r="AA18" s="90"/>
      <c r="AB18" s="90"/>
      <c r="AC18" s="90"/>
      <c r="AD18" s="90"/>
      <c r="AE18" s="90"/>
      <c r="AF18" s="90"/>
      <c r="AG18" s="90"/>
      <c r="AH18" s="16"/>
      <c r="AI18" s="90"/>
      <c r="AJ18" s="90"/>
      <c r="AK18" s="90"/>
      <c r="AL18" s="90"/>
      <c r="AM18" s="90"/>
      <c r="AN18" s="16"/>
      <c r="AO18" s="90"/>
      <c r="AP18" s="90"/>
      <c r="AQ18" s="90"/>
      <c r="AR18" s="15"/>
      <c r="AS18" s="90"/>
      <c r="AT18" s="16"/>
      <c r="AU18" s="90"/>
      <c r="AV18" s="90"/>
      <c r="AW18" s="90"/>
      <c r="AX18" s="90"/>
      <c r="AY18" s="90"/>
      <c r="AZ18" s="16"/>
      <c r="BA18" s="90"/>
      <c r="BB18" s="90"/>
      <c r="BC18" s="15"/>
      <c r="BD18" s="90"/>
      <c r="BE18" s="16"/>
      <c r="BF18" s="90"/>
    </row>
    <row r="19" spans="1:58" s="14" customFormat="1" x14ac:dyDescent="0.2">
      <c r="A19" s="19"/>
      <c r="C19" s="54" t="s">
        <v>122</v>
      </c>
      <c r="D19" s="10"/>
      <c r="E19" s="14" t="s">
        <v>6</v>
      </c>
      <c r="G19" s="86" t="e">
        <f>SUM(I19:AG19)</f>
        <v>#REF!</v>
      </c>
      <c r="H19" s="87"/>
      <c r="I19" s="102" t="e">
        <f>1-SUM(K19:AG19)</f>
        <v>#REF!</v>
      </c>
      <c r="J19" s="103"/>
      <c r="K19" s="102" t="e">
        <f>ROUND(AVERAGE(K15:K17),4)</f>
        <v>#REF!</v>
      </c>
      <c r="L19" s="103"/>
      <c r="M19" s="102" t="e">
        <f>ROUND(AVERAGE(M15:M17),4)</f>
        <v>#REF!</v>
      </c>
      <c r="N19" s="104"/>
      <c r="O19" s="102" t="e">
        <f>ROUND(AVERAGE(O15:O17),4)</f>
        <v>#REF!</v>
      </c>
      <c r="P19" s="104"/>
      <c r="Q19" s="102" t="e">
        <f>ROUND(AVERAGE(Q15:Q17),4)</f>
        <v>#REF!</v>
      </c>
      <c r="R19" s="104"/>
      <c r="S19" s="102" t="e">
        <f>ROUND(AVERAGE(S15:S17),4)</f>
        <v>#REF!</v>
      </c>
      <c r="T19" s="104"/>
      <c r="U19" s="102" t="e">
        <f>ROUND(AVERAGE(U15:U17),4)</f>
        <v>#REF!</v>
      </c>
      <c r="V19" s="111"/>
      <c r="W19" s="102" t="e">
        <f>ROUND(AVERAGE(W15:W17),4)</f>
        <v>#REF!</v>
      </c>
      <c r="X19" s="88"/>
      <c r="Y19" s="102" t="e">
        <f>ROUND(AVERAGE(Y15:Y17),4)</f>
        <v>#REF!</v>
      </c>
      <c r="Z19" s="88"/>
      <c r="AA19" s="102" t="e">
        <f>ROUND(AVERAGE(AA15:AA17),4)</f>
        <v>#REF!</v>
      </c>
      <c r="AB19" s="102"/>
      <c r="AC19" s="102" t="e">
        <f>ROUND(AVERAGE(AC15:AC17),4)</f>
        <v>#REF!</v>
      </c>
      <c r="AD19" s="102"/>
      <c r="AE19" s="102" t="e">
        <f>ROUND(AVERAGE(AE15:AE17),4)</f>
        <v>#REF!</v>
      </c>
      <c r="AF19" s="102"/>
      <c r="AG19" s="102" t="e">
        <f>ROUND(AVERAGE(AG15:AG17),4)</f>
        <v>#REF!</v>
      </c>
      <c r="AH19" s="88"/>
      <c r="AI19" s="102" t="e">
        <f>ROUND(AVERAGE(AI15:AI17),4)</f>
        <v>#REF!</v>
      </c>
      <c r="AJ19" s="102"/>
      <c r="AK19" s="102" t="e">
        <f>ROUND(AVERAGE(AK15:AK17),4)</f>
        <v>#REF!</v>
      </c>
      <c r="AL19" s="102"/>
      <c r="AM19" s="102" t="e">
        <f>ROUND(AVERAGE(AM15:AM17),4)</f>
        <v>#REF!</v>
      </c>
      <c r="AN19" s="88"/>
      <c r="AO19" s="102" t="e">
        <f>ROUND(AVERAGE(AO15:AO17),4)</f>
        <v>#REF!</v>
      </c>
      <c r="AP19" s="88"/>
      <c r="AQ19" s="102" t="e">
        <f>ROUND(AVERAGE(AQ15:AQ17),4)</f>
        <v>#REF!</v>
      </c>
      <c r="AR19" s="34"/>
      <c r="AS19" s="102" t="e">
        <f>ROUND(AVERAGE(AS15:AS17),4)</f>
        <v>#REF!</v>
      </c>
      <c r="AT19" s="88"/>
      <c r="AU19" s="102" t="e">
        <f>ROUND(AVERAGE(AU15:AU17),4)</f>
        <v>#REF!</v>
      </c>
      <c r="AV19" s="88"/>
      <c r="AW19" s="102" t="e">
        <f>ROUND(AVERAGE(AW15:AW17),4)</f>
        <v>#REF!</v>
      </c>
      <c r="AX19" s="102"/>
      <c r="AY19" s="102" t="e">
        <f>ROUND(AVERAGE(AY15:AY17),4)</f>
        <v>#REF!</v>
      </c>
      <c r="AZ19" s="88"/>
      <c r="BA19" s="88"/>
      <c r="BB19" s="102" t="e">
        <f>ROUND(AVERAGE(BB15:BB17),4)</f>
        <v>#REF!</v>
      </c>
      <c r="BC19" s="34"/>
      <c r="BD19" s="102" t="e">
        <f>ROUND(AVERAGE(BD15:BD17),4)</f>
        <v>#REF!</v>
      </c>
      <c r="BE19" s="88"/>
      <c r="BF19" s="102" t="e">
        <f>ROUND(AVERAGE(BF15:BF17),4)</f>
        <v>#REF!</v>
      </c>
    </row>
    <row r="20" spans="1:58" s="14" customFormat="1" x14ac:dyDescent="0.2">
      <c r="A20" s="19"/>
      <c r="C20" s="54"/>
      <c r="D20" s="10"/>
      <c r="G20" s="90"/>
      <c r="H20" s="87"/>
      <c r="I20" s="91"/>
      <c r="J20" s="87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G20" s="90"/>
      <c r="AH20" s="90"/>
      <c r="AI20" s="90"/>
      <c r="AJ20" s="90"/>
      <c r="AK20" s="90"/>
      <c r="AL20" s="90"/>
      <c r="AM20" s="16"/>
    </row>
    <row r="21" spans="1:58" s="14" customFormat="1" x14ac:dyDescent="0.2">
      <c r="A21" s="19"/>
      <c r="C21" s="54"/>
      <c r="D21" s="10"/>
      <c r="G21" s="55"/>
      <c r="H21" s="15"/>
      <c r="I21" s="56"/>
      <c r="J21" s="15"/>
      <c r="K21" s="15"/>
      <c r="L21" s="15"/>
      <c r="M21" s="15"/>
      <c r="N21" s="15"/>
      <c r="O21" s="15"/>
      <c r="P21" s="15"/>
      <c r="Q21" s="15"/>
      <c r="R21" s="15"/>
      <c r="T21" s="15"/>
      <c r="V21" s="16"/>
      <c r="W21" s="16"/>
      <c r="X21" s="15"/>
      <c r="Y21" s="15"/>
      <c r="Z21" s="16"/>
      <c r="AA21" s="15"/>
      <c r="AB21" s="15"/>
      <c r="AC21" s="15"/>
      <c r="AD21" s="15"/>
      <c r="AG21" s="16"/>
      <c r="AH21" s="16"/>
      <c r="AI21" s="15"/>
      <c r="AJ21" s="15"/>
      <c r="AK21" s="15"/>
      <c r="AL21" s="15"/>
    </row>
    <row r="22" spans="1:58" s="14" customFormat="1" x14ac:dyDescent="0.2">
      <c r="A22" s="19"/>
      <c r="C22" s="99" t="s">
        <v>79</v>
      </c>
      <c r="D22" s="10"/>
      <c r="G22" s="55"/>
      <c r="H22" s="15"/>
      <c r="I22" s="51"/>
      <c r="J22" s="15"/>
      <c r="K22" s="15"/>
      <c r="L22" s="15"/>
      <c r="M22" s="15"/>
      <c r="N22" s="15"/>
      <c r="O22" s="15"/>
      <c r="P22" s="15"/>
      <c r="Q22" s="15"/>
      <c r="R22" s="15"/>
      <c r="T22" s="15"/>
      <c r="V22" s="16"/>
      <c r="W22" s="16"/>
      <c r="X22" s="15"/>
      <c r="Y22" s="15"/>
      <c r="Z22" s="16"/>
      <c r="AA22" s="15"/>
      <c r="AB22" s="15"/>
      <c r="AC22" s="15"/>
      <c r="AD22" s="15"/>
      <c r="AG22" s="16"/>
      <c r="AH22" s="16"/>
      <c r="AI22" s="15"/>
      <c r="AJ22" s="15"/>
      <c r="AK22" s="15"/>
      <c r="AL22" s="15"/>
    </row>
    <row r="23" spans="1:58" s="17" customFormat="1" x14ac:dyDescent="0.2">
      <c r="A23" s="57"/>
      <c r="I23" s="58"/>
      <c r="M23" s="94"/>
      <c r="N23" s="92"/>
      <c r="P23" s="92"/>
      <c r="R23" s="92"/>
      <c r="T23" s="92"/>
      <c r="V23" s="92"/>
      <c r="X23" s="92"/>
      <c r="Z23" s="38"/>
      <c r="AA23" s="38"/>
      <c r="AB23" s="38"/>
      <c r="AG23" s="38"/>
      <c r="AH23" s="38"/>
    </row>
    <row r="24" spans="1:58" s="17" customFormat="1" x14ac:dyDescent="0.2">
      <c r="A24" s="57"/>
      <c r="C24" s="2" t="s">
        <v>2</v>
      </c>
      <c r="D24" s="10"/>
      <c r="E24" s="3" t="s">
        <v>3</v>
      </c>
      <c r="G24" s="84">
        <f>SUM(I24:AG24)</f>
        <v>6011842701.5199995</v>
      </c>
      <c r="I24" s="113">
        <f>I10</f>
        <v>503797716.75</v>
      </c>
      <c r="J24" s="8"/>
      <c r="K24" s="113">
        <f>K10</f>
        <v>465694921.06</v>
      </c>
      <c r="L24" s="8"/>
      <c r="M24" s="113">
        <f>M10</f>
        <v>178307235.72999999</v>
      </c>
      <c r="N24" s="49"/>
      <c r="O24" s="113">
        <f>O10</f>
        <v>494319819.33999997</v>
      </c>
      <c r="P24" s="49"/>
      <c r="Q24" s="113">
        <f>Q10</f>
        <v>1024397447.76</v>
      </c>
      <c r="R24" s="49"/>
      <c r="S24" s="113">
        <f>S10</f>
        <v>435562796.50999999</v>
      </c>
      <c r="T24" s="49"/>
      <c r="U24" s="113">
        <f>U10</f>
        <v>2909762764.3699999</v>
      </c>
      <c r="V24" s="1"/>
      <c r="W24" s="1"/>
      <c r="X24" s="92"/>
      <c r="Z24" s="38"/>
      <c r="AA24" s="38"/>
      <c r="AB24" s="38"/>
      <c r="AG24" s="38"/>
      <c r="AH24" s="38"/>
    </row>
    <row r="25" spans="1:58" s="17" customFormat="1" x14ac:dyDescent="0.2">
      <c r="A25" s="57"/>
      <c r="C25" s="3" t="s">
        <v>4</v>
      </c>
      <c r="D25" s="10"/>
      <c r="E25" s="3" t="s">
        <v>5</v>
      </c>
      <c r="G25" s="85" t="e">
        <f>SUM(I25:AG25)</f>
        <v>#REF!</v>
      </c>
      <c r="I25" s="114">
        <f>I11</f>
        <v>297023</v>
      </c>
      <c r="J25" s="8"/>
      <c r="K25" s="113">
        <f>K11</f>
        <v>247550</v>
      </c>
      <c r="L25" s="8"/>
      <c r="M25" s="113">
        <f>M11</f>
        <v>73346</v>
      </c>
      <c r="N25" s="49"/>
      <c r="O25" s="113">
        <f>O11</f>
        <v>270431</v>
      </c>
      <c r="P25" s="49"/>
      <c r="Q25" s="113">
        <f>Q11</f>
        <v>528545</v>
      </c>
      <c r="R25" s="49"/>
      <c r="S25" s="113">
        <f>S11</f>
        <v>248848</v>
      </c>
      <c r="T25" s="49"/>
      <c r="U25" s="113" t="e">
        <f>U11</f>
        <v>#REF!</v>
      </c>
      <c r="V25" s="1"/>
      <c r="W25" s="1"/>
      <c r="X25" s="92"/>
      <c r="Z25" s="38"/>
      <c r="AA25" s="38"/>
      <c r="AB25" s="38"/>
      <c r="AG25" s="38"/>
      <c r="AH25" s="38"/>
    </row>
    <row r="26" spans="1:58" s="17" customFormat="1" x14ac:dyDescent="0.2">
      <c r="A26" s="57"/>
      <c r="C26" s="2" t="s">
        <v>15</v>
      </c>
      <c r="D26" s="10"/>
      <c r="E26" s="3" t="s">
        <v>3</v>
      </c>
      <c r="G26" s="84">
        <f>SUM(I26:AG26)</f>
        <v>262881366.55000001</v>
      </c>
      <c r="I26" s="114">
        <f>I12</f>
        <v>27206253.27</v>
      </c>
      <c r="J26" s="8"/>
      <c r="K26" s="113">
        <f>K12</f>
        <v>23972323.100000001</v>
      </c>
      <c r="L26" s="8"/>
      <c r="M26" s="114">
        <f>M12</f>
        <v>10289510.67</v>
      </c>
      <c r="N26" s="49"/>
      <c r="O26" s="114">
        <f>O12</f>
        <v>22111377.52</v>
      </c>
      <c r="P26" s="49"/>
      <c r="Q26" s="113">
        <f>Q12</f>
        <v>49299476.899999999</v>
      </c>
      <c r="R26" s="49"/>
      <c r="S26" s="113">
        <f>S12</f>
        <v>31477147.5</v>
      </c>
      <c r="T26" s="49"/>
      <c r="U26" s="113">
        <f>U12</f>
        <v>98525277.590000004</v>
      </c>
      <c r="V26" s="1"/>
      <c r="W26" s="1"/>
      <c r="X26" s="92"/>
      <c r="Z26" s="38"/>
      <c r="AA26" s="38"/>
      <c r="AB26" s="38"/>
      <c r="AG26" s="38"/>
      <c r="AH26" s="38"/>
    </row>
    <row r="27" spans="1:58" s="17" customFormat="1" x14ac:dyDescent="0.2">
      <c r="A27" s="57"/>
      <c r="C27" s="50" t="s">
        <v>16</v>
      </c>
      <c r="D27" s="10"/>
      <c r="E27" s="3"/>
      <c r="I27" s="1"/>
      <c r="J27" s="4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92"/>
      <c r="Z27" s="38"/>
      <c r="AA27" s="38"/>
      <c r="AB27" s="38"/>
      <c r="AG27" s="38"/>
      <c r="AH27" s="38"/>
    </row>
    <row r="28" spans="1:58" s="17" customFormat="1" x14ac:dyDescent="0.2">
      <c r="A28" s="57"/>
      <c r="I28" s="58"/>
      <c r="M28" s="94"/>
      <c r="N28" s="92"/>
      <c r="P28" s="92"/>
      <c r="R28" s="92"/>
      <c r="T28" s="92"/>
      <c r="V28" s="92"/>
      <c r="W28" s="92"/>
      <c r="X28" s="92"/>
      <c r="Z28" s="38"/>
      <c r="AA28" s="38"/>
      <c r="AB28" s="38"/>
      <c r="AG28" s="38"/>
      <c r="AH28" s="38"/>
    </row>
    <row r="29" spans="1:58" s="17" customFormat="1" x14ac:dyDescent="0.2">
      <c r="A29" s="57"/>
      <c r="C29" s="2" t="s">
        <v>2</v>
      </c>
      <c r="D29" s="10"/>
      <c r="E29" s="14" t="s">
        <v>6</v>
      </c>
      <c r="F29" s="97"/>
      <c r="G29" s="102">
        <f>SUM(I29:AG29)</f>
        <v>1</v>
      </c>
      <c r="I29" s="102">
        <f>1-SUM(K29:BF29)</f>
        <v>8.3699999999999997E-2</v>
      </c>
      <c r="J29" s="103"/>
      <c r="K29" s="102">
        <f>ROUND(K24/$G$24,4)</f>
        <v>7.7499999999999999E-2</v>
      </c>
      <c r="L29" s="103"/>
      <c r="M29" s="102">
        <f>ROUND(M24/$G$24,4)</f>
        <v>2.9700000000000001E-2</v>
      </c>
      <c r="N29" s="104"/>
      <c r="O29" s="102">
        <f>ROUND(O24/$G$24,4)</f>
        <v>8.2199999999999995E-2</v>
      </c>
      <c r="P29" s="104"/>
      <c r="Q29" s="102">
        <f>ROUND(Q24/$G$24,4)</f>
        <v>0.1704</v>
      </c>
      <c r="R29" s="104"/>
      <c r="S29" s="102">
        <f>ROUND(S24/$G$24,4)</f>
        <v>7.2499999999999995E-2</v>
      </c>
      <c r="T29" s="104"/>
      <c r="U29" s="102">
        <f>ROUND(U24/$G$24,4)</f>
        <v>0.48399999999999999</v>
      </c>
      <c r="V29" s="104"/>
      <c r="W29" s="104"/>
      <c r="X29" s="92"/>
      <c r="Y29" s="105"/>
      <c r="Z29" s="106"/>
      <c r="AA29" s="106"/>
      <c r="AB29" s="106"/>
      <c r="AG29" s="106"/>
      <c r="AH29" s="106"/>
      <c r="AI29" s="105"/>
      <c r="AJ29" s="105"/>
      <c r="AK29" s="105"/>
      <c r="AL29" s="105"/>
    </row>
    <row r="30" spans="1:58" s="17" customFormat="1" x14ac:dyDescent="0.2">
      <c r="A30" s="57"/>
      <c r="C30" s="3" t="s">
        <v>4</v>
      </c>
      <c r="D30" s="10"/>
      <c r="E30" s="14" t="s">
        <v>6</v>
      </c>
      <c r="F30" s="97"/>
      <c r="G30" s="102" t="e">
        <f>SUM(I30:AG30)</f>
        <v>#REF!</v>
      </c>
      <c r="I30" s="102" t="e">
        <f>1-SUM(K30:BF30)</f>
        <v>#REF!</v>
      </c>
      <c r="J30" s="103"/>
      <c r="K30" s="102" t="e">
        <f>ROUND(K25/$G$25,4)</f>
        <v>#REF!</v>
      </c>
      <c r="L30" s="103"/>
      <c r="M30" s="102" t="e">
        <f>ROUND(M25/$G$25,4)</f>
        <v>#REF!</v>
      </c>
      <c r="N30" s="104"/>
      <c r="O30" s="102" t="e">
        <f>ROUND(O25/$G$25,4)</f>
        <v>#REF!</v>
      </c>
      <c r="P30" s="104"/>
      <c r="Q30" s="102" t="e">
        <f>ROUND(Q25/$G$25,4)</f>
        <v>#REF!</v>
      </c>
      <c r="R30" s="104"/>
      <c r="S30" s="102" t="e">
        <f>ROUND(S25/$G$25,4)</f>
        <v>#REF!</v>
      </c>
      <c r="T30" s="104"/>
      <c r="U30" s="102" t="e">
        <f>ROUND(U25/$G$25,4)</f>
        <v>#REF!</v>
      </c>
      <c r="V30" s="104"/>
      <c r="W30" s="104"/>
      <c r="X30" s="92"/>
      <c r="Z30" s="38"/>
      <c r="AA30" s="38"/>
      <c r="AB30" s="38"/>
      <c r="AG30" s="38"/>
      <c r="AH30" s="38"/>
    </row>
    <row r="31" spans="1:58" s="17" customFormat="1" x14ac:dyDescent="0.2">
      <c r="A31" s="57"/>
      <c r="C31" s="2" t="s">
        <v>7</v>
      </c>
      <c r="D31" s="10"/>
      <c r="E31" s="14" t="s">
        <v>6</v>
      </c>
      <c r="F31" s="97"/>
      <c r="G31" s="102">
        <f>SUM(I31:AG31)</f>
        <v>1</v>
      </c>
      <c r="I31" s="102">
        <f>1-SUM(K31:BF31)</f>
        <v>0.10360000000000003</v>
      </c>
      <c r="J31" s="103"/>
      <c r="K31" s="102">
        <f>ROUND(K26/$G$26,4)</f>
        <v>9.1200000000000003E-2</v>
      </c>
      <c r="L31" s="103"/>
      <c r="M31" s="102">
        <f>ROUND(M26/$G$26,4)</f>
        <v>3.9100000000000003E-2</v>
      </c>
      <c r="N31" s="104"/>
      <c r="O31" s="102">
        <f>ROUND(O26/$G$26,4)</f>
        <v>8.4099999999999994E-2</v>
      </c>
      <c r="P31" s="104"/>
      <c r="Q31" s="102">
        <f>ROUND(Q26/$G$26,4)</f>
        <v>0.1875</v>
      </c>
      <c r="R31" s="104"/>
      <c r="S31" s="102">
        <f>ROUND(S26/$G$26,4)</f>
        <v>0.1197</v>
      </c>
      <c r="T31" s="104"/>
      <c r="U31" s="102">
        <f>ROUND(U26/$G$26,4)</f>
        <v>0.37480000000000002</v>
      </c>
      <c r="V31" s="104"/>
      <c r="W31" s="104"/>
      <c r="X31" s="92"/>
      <c r="Z31" s="38"/>
      <c r="AA31" s="38"/>
      <c r="AB31" s="38"/>
      <c r="AG31" s="38"/>
      <c r="AH31" s="38"/>
    </row>
    <row r="32" spans="1:58" s="17" customFormat="1" x14ac:dyDescent="0.2">
      <c r="A32" s="57"/>
      <c r="C32" s="54"/>
      <c r="D32" s="10"/>
      <c r="E32" s="14"/>
      <c r="G32" s="93"/>
      <c r="I32" s="103"/>
      <c r="J32" s="103"/>
      <c r="K32" s="103"/>
      <c r="L32" s="103"/>
      <c r="M32" s="103"/>
      <c r="N32" s="104"/>
      <c r="O32" s="103"/>
      <c r="P32" s="104"/>
      <c r="Q32" s="103"/>
      <c r="R32" s="104"/>
      <c r="S32" s="103"/>
      <c r="T32" s="104"/>
      <c r="U32" s="103"/>
      <c r="V32" s="104"/>
      <c r="W32" s="104"/>
      <c r="X32" s="92"/>
      <c r="Z32" s="38"/>
      <c r="AA32" s="38"/>
      <c r="AB32" s="38"/>
      <c r="AG32" s="38"/>
      <c r="AH32" s="38"/>
    </row>
    <row r="33" spans="1:34" s="17" customFormat="1" x14ac:dyDescent="0.2">
      <c r="A33" s="57"/>
      <c r="C33" s="54" t="str">
        <f>C19</f>
        <v>Total Composite Factor for FY 2013</v>
      </c>
      <c r="D33" s="10"/>
      <c r="E33" s="14" t="s">
        <v>6</v>
      </c>
      <c r="G33" s="102" t="e">
        <f>SUM(I33:AG33)</f>
        <v>#REF!</v>
      </c>
      <c r="I33" s="102" t="e">
        <f>1-SUM(K33:BF33)</f>
        <v>#REF!</v>
      </c>
      <c r="J33" s="103"/>
      <c r="K33" s="102" t="e">
        <f>ROUND(AVERAGE(K29:K31),4)</f>
        <v>#REF!</v>
      </c>
      <c r="L33" s="103"/>
      <c r="M33" s="102" t="e">
        <f>ROUND(AVERAGE(M29:M31),4)</f>
        <v>#REF!</v>
      </c>
      <c r="N33" s="104"/>
      <c r="O33" s="102" t="e">
        <f>ROUND(AVERAGE(O29:O31),4)</f>
        <v>#REF!</v>
      </c>
      <c r="P33" s="104"/>
      <c r="Q33" s="102" t="e">
        <f>ROUND(AVERAGE(Q29:Q31),4)</f>
        <v>#REF!</v>
      </c>
      <c r="R33" s="104"/>
      <c r="S33" s="102" t="e">
        <f>ROUND(AVERAGE(S29:S31),4)</f>
        <v>#REF!</v>
      </c>
      <c r="T33" s="104"/>
      <c r="U33" s="102" t="e">
        <f>ROUND(AVERAGE(U29:U31),4)</f>
        <v>#REF!</v>
      </c>
      <c r="V33" s="111"/>
      <c r="W33" s="104"/>
      <c r="X33" s="92"/>
      <c r="Z33" s="38"/>
      <c r="AA33" s="38"/>
      <c r="AB33" s="38"/>
      <c r="AG33" s="38"/>
      <c r="AH33" s="38"/>
    </row>
    <row r="34" spans="1:34" s="17" customFormat="1" x14ac:dyDescent="0.2">
      <c r="A34" s="57"/>
      <c r="C34" s="54"/>
      <c r="D34" s="10"/>
      <c r="E34" s="14"/>
      <c r="I34" s="59"/>
      <c r="N34" s="92"/>
      <c r="O34" s="93"/>
      <c r="P34" s="92"/>
      <c r="R34" s="92"/>
      <c r="T34" s="92"/>
      <c r="V34" s="92"/>
      <c r="X34" s="92"/>
      <c r="Z34" s="38"/>
      <c r="AA34" s="38"/>
      <c r="AB34" s="38"/>
      <c r="AG34" s="38"/>
      <c r="AH34" s="38"/>
    </row>
    <row r="35" spans="1:34" x14ac:dyDescent="0.2">
      <c r="O35" s="93"/>
    </row>
    <row r="36" spans="1:34" x14ac:dyDescent="0.2">
      <c r="C36" s="99" t="s">
        <v>81</v>
      </c>
      <c r="D36" s="10"/>
      <c r="E36" s="14"/>
      <c r="F36" s="14"/>
      <c r="G36" s="55"/>
      <c r="H36" s="15"/>
      <c r="I36" s="56"/>
      <c r="J36" s="15"/>
      <c r="K36" s="15"/>
      <c r="L36" s="15"/>
      <c r="M36" s="15"/>
      <c r="N36" s="15"/>
      <c r="O36" s="15"/>
      <c r="P36" s="15"/>
      <c r="Q36" s="15"/>
      <c r="R36" s="15"/>
      <c r="S36" s="14"/>
      <c r="T36" s="15"/>
      <c r="U36" s="14"/>
    </row>
    <row r="37" spans="1:34" x14ac:dyDescent="0.2">
      <c r="C37" s="17"/>
      <c r="D37" s="17"/>
      <c r="E37" s="17"/>
      <c r="F37" s="17"/>
      <c r="G37" s="17"/>
      <c r="H37" s="17"/>
      <c r="I37" s="58"/>
      <c r="J37" s="17"/>
      <c r="K37" s="17"/>
      <c r="L37" s="17"/>
      <c r="M37" s="94"/>
      <c r="N37" s="92"/>
      <c r="O37" s="17"/>
      <c r="P37" s="92"/>
      <c r="Q37" s="17"/>
      <c r="R37" s="92"/>
      <c r="S37" s="17"/>
      <c r="T37" s="92"/>
      <c r="U37" s="17"/>
    </row>
    <row r="38" spans="1:34" x14ac:dyDescent="0.2">
      <c r="C38" s="2" t="s">
        <v>2</v>
      </c>
      <c r="D38" s="10"/>
      <c r="E38" s="3" t="s">
        <v>3</v>
      </c>
      <c r="F38" s="17"/>
      <c r="G38" s="84">
        <f>SUM(I38:AG38)</f>
        <v>7292601707.7199993</v>
      </c>
      <c r="H38" s="17"/>
      <c r="I38" s="113">
        <f>I10</f>
        <v>503797716.75</v>
      </c>
      <c r="J38" s="8"/>
      <c r="K38" s="113">
        <f>K10</f>
        <v>465694921.06</v>
      </c>
      <c r="L38" s="8"/>
      <c r="M38" s="113">
        <f>M10</f>
        <v>178307235.72999999</v>
      </c>
      <c r="N38" s="49"/>
      <c r="O38" s="113">
        <f>O10</f>
        <v>494319819.33999997</v>
      </c>
      <c r="P38" s="49"/>
      <c r="Q38" s="113">
        <f>Q10</f>
        <v>1024397447.76</v>
      </c>
      <c r="R38" s="49"/>
      <c r="S38" s="113">
        <f>S10</f>
        <v>435562796.50999999</v>
      </c>
      <c r="T38" s="49"/>
      <c r="U38" s="113">
        <f>U10</f>
        <v>2909762764.3699999</v>
      </c>
      <c r="W38" s="113">
        <f>W10</f>
        <v>1280759006.2</v>
      </c>
    </row>
    <row r="39" spans="1:34" x14ac:dyDescent="0.2">
      <c r="C39" s="3" t="s">
        <v>4</v>
      </c>
      <c r="D39" s="10"/>
      <c r="E39" s="3" t="s">
        <v>5</v>
      </c>
      <c r="F39" s="17"/>
      <c r="G39" s="85" t="e">
        <f>SUM(I39:AG39)</f>
        <v>#REF!</v>
      </c>
      <c r="H39" s="17"/>
      <c r="I39" s="113">
        <f>I11</f>
        <v>297023</v>
      </c>
      <c r="J39" s="8"/>
      <c r="K39" s="113">
        <f>K11</f>
        <v>247550</v>
      </c>
      <c r="L39" s="8"/>
      <c r="M39" s="113">
        <f>M11</f>
        <v>73346</v>
      </c>
      <c r="N39" s="49"/>
      <c r="O39" s="113">
        <f>O11</f>
        <v>270431</v>
      </c>
      <c r="P39" s="49"/>
      <c r="Q39" s="113">
        <f>Q11</f>
        <v>528545</v>
      </c>
      <c r="R39" s="49"/>
      <c r="S39" s="113">
        <f>S11</f>
        <v>248848</v>
      </c>
      <c r="T39" s="49"/>
      <c r="U39" s="113" t="e">
        <f>U11</f>
        <v>#REF!</v>
      </c>
      <c r="W39" s="113" t="e">
        <f>W11</f>
        <v>#REF!</v>
      </c>
    </row>
    <row r="40" spans="1:34" x14ac:dyDescent="0.2">
      <c r="C40" s="2" t="s">
        <v>15</v>
      </c>
      <c r="D40" s="10"/>
      <c r="E40" s="3" t="s">
        <v>3</v>
      </c>
      <c r="F40" s="17"/>
      <c r="G40" s="84">
        <f>SUM(I40:AG40)</f>
        <v>325873933.07999998</v>
      </c>
      <c r="H40" s="17"/>
      <c r="I40" s="113">
        <f>I12</f>
        <v>27206253.27</v>
      </c>
      <c r="J40" s="8"/>
      <c r="K40" s="113">
        <f>K12</f>
        <v>23972323.100000001</v>
      </c>
      <c r="L40" s="8"/>
      <c r="M40" s="113">
        <f>M12</f>
        <v>10289510.67</v>
      </c>
      <c r="N40" s="49"/>
      <c r="O40" s="113">
        <f>O12</f>
        <v>22111377.52</v>
      </c>
      <c r="P40" s="49"/>
      <c r="Q40" s="113">
        <f>Q12</f>
        <v>49299476.899999999</v>
      </c>
      <c r="R40" s="49"/>
      <c r="S40" s="113">
        <f>S12</f>
        <v>31477147.5</v>
      </c>
      <c r="T40" s="49"/>
      <c r="U40" s="113">
        <f>U12</f>
        <v>98525277.590000004</v>
      </c>
      <c r="W40" s="113">
        <f>W12</f>
        <v>62992566.529999994</v>
      </c>
    </row>
    <row r="41" spans="1:34" x14ac:dyDescent="0.2">
      <c r="C41" s="50" t="s">
        <v>16</v>
      </c>
      <c r="D41" s="10"/>
      <c r="E41" s="3"/>
      <c r="F41" s="17"/>
      <c r="G41" s="17"/>
      <c r="H41" s="17"/>
      <c r="I41" s="1"/>
      <c r="J41" s="4"/>
      <c r="K41" s="1"/>
      <c r="L41" s="4"/>
      <c r="M41" s="1"/>
      <c r="N41" s="1"/>
      <c r="O41" s="1"/>
      <c r="P41" s="1"/>
      <c r="Q41" s="1"/>
      <c r="R41" s="1"/>
      <c r="S41" s="1"/>
      <c r="T41" s="1"/>
      <c r="U41" s="1"/>
      <c r="W41" s="18"/>
    </row>
    <row r="42" spans="1:34" x14ac:dyDescent="0.2">
      <c r="C42" s="17"/>
      <c r="D42" s="17"/>
      <c r="E42" s="17"/>
      <c r="F42" s="17"/>
      <c r="G42" s="17"/>
      <c r="H42" s="17"/>
      <c r="I42" s="58"/>
      <c r="J42" s="17"/>
      <c r="K42" s="17"/>
      <c r="L42" s="17"/>
      <c r="M42" s="94"/>
      <c r="N42" s="92"/>
      <c r="O42" s="17"/>
      <c r="P42" s="92"/>
      <c r="Q42" s="17"/>
      <c r="R42" s="92"/>
      <c r="S42" s="17"/>
      <c r="T42" s="92"/>
      <c r="U42" s="17"/>
    </row>
    <row r="43" spans="1:34" x14ac:dyDescent="0.2">
      <c r="C43" s="2" t="s">
        <v>2</v>
      </c>
      <c r="D43" s="10"/>
      <c r="E43" s="14" t="s">
        <v>6</v>
      </c>
      <c r="F43" s="97"/>
      <c r="G43" s="102">
        <f>SUM(I43:AG43)</f>
        <v>1</v>
      </c>
      <c r="H43" s="17"/>
      <c r="I43" s="102">
        <f>1-SUM(K43:BF43)</f>
        <v>6.899999999999995E-2</v>
      </c>
      <c r="J43" s="103"/>
      <c r="K43" s="102">
        <f>ROUND(K38/$G$38,4)</f>
        <v>6.3899999999999998E-2</v>
      </c>
      <c r="L43" s="103"/>
      <c r="M43" s="102">
        <f>ROUND(M38/$G$38,4)</f>
        <v>2.4500000000000001E-2</v>
      </c>
      <c r="N43" s="104"/>
      <c r="O43" s="102">
        <f>ROUND(O38/$G$38,4)</f>
        <v>6.7799999999999999E-2</v>
      </c>
      <c r="P43" s="104"/>
      <c r="Q43" s="102">
        <f>ROUND(Q38/$G$38,4)</f>
        <v>0.14050000000000001</v>
      </c>
      <c r="R43" s="104"/>
      <c r="S43" s="102">
        <f>ROUND(S38/$G$38,4)</f>
        <v>5.9700000000000003E-2</v>
      </c>
      <c r="T43" s="104"/>
      <c r="U43" s="102">
        <f>ROUND(U38/$G$38,4)</f>
        <v>0.39900000000000002</v>
      </c>
      <c r="W43" s="102">
        <f>ROUND(W38/$G$38,4)</f>
        <v>0.17560000000000001</v>
      </c>
    </row>
    <row r="44" spans="1:34" x14ac:dyDescent="0.2">
      <c r="C44" s="3" t="s">
        <v>4</v>
      </c>
      <c r="D44" s="10"/>
      <c r="E44" s="14" t="s">
        <v>6</v>
      </c>
      <c r="F44" s="97"/>
      <c r="G44" s="102" t="e">
        <f>SUM(I44:AG44)</f>
        <v>#REF!</v>
      </c>
      <c r="H44" s="17"/>
      <c r="I44" s="102" t="e">
        <f>1-SUM(K44:BF44)</f>
        <v>#REF!</v>
      </c>
      <c r="J44" s="103"/>
      <c r="K44" s="102" t="e">
        <f>ROUND(K39/$G$39,4)</f>
        <v>#REF!</v>
      </c>
      <c r="L44" s="103"/>
      <c r="M44" s="102" t="e">
        <f>ROUND(M39/$G$39,4)</f>
        <v>#REF!</v>
      </c>
      <c r="N44" s="104"/>
      <c r="O44" s="102" t="e">
        <f>ROUND(O39/$G$39,4)</f>
        <v>#REF!</v>
      </c>
      <c r="P44" s="104"/>
      <c r="Q44" s="102" t="e">
        <f>ROUND(Q39/$G$39,4)</f>
        <v>#REF!</v>
      </c>
      <c r="R44" s="104"/>
      <c r="S44" s="102" t="e">
        <f>ROUND(S39/$G$39,4)</f>
        <v>#REF!</v>
      </c>
      <c r="T44" s="104"/>
      <c r="U44" s="102" t="e">
        <f>ROUND(U39/$G$39,4)</f>
        <v>#REF!</v>
      </c>
      <c r="W44" s="102" t="e">
        <f>ROUND(W39/$G$39,4)</f>
        <v>#REF!</v>
      </c>
    </row>
    <row r="45" spans="1:34" x14ac:dyDescent="0.2">
      <c r="C45" s="2" t="s">
        <v>7</v>
      </c>
      <c r="D45" s="10"/>
      <c r="E45" s="14" t="s">
        <v>6</v>
      </c>
      <c r="F45" s="97"/>
      <c r="G45" s="102">
        <f>SUM(I45:AG45)</f>
        <v>1</v>
      </c>
      <c r="H45" s="17"/>
      <c r="I45" s="102">
        <f>1-SUM(K45:BF45)</f>
        <v>8.3399999999999919E-2</v>
      </c>
      <c r="J45" s="103"/>
      <c r="K45" s="102">
        <f>ROUND(K40/$G$40,4)</f>
        <v>7.3599999999999999E-2</v>
      </c>
      <c r="L45" s="103"/>
      <c r="M45" s="102">
        <f>ROUND(M40/$G$40,4)</f>
        <v>3.1600000000000003E-2</v>
      </c>
      <c r="N45" s="104"/>
      <c r="O45" s="102">
        <f>ROUND(O40/$G$40,4)</f>
        <v>6.7900000000000002E-2</v>
      </c>
      <c r="P45" s="104"/>
      <c r="Q45" s="102">
        <f>ROUND(Q40/$G$40,4)</f>
        <v>0.15129999999999999</v>
      </c>
      <c r="R45" s="104"/>
      <c r="S45" s="102">
        <f>ROUND(S40/$G$40,4)</f>
        <v>9.6600000000000005E-2</v>
      </c>
      <c r="T45" s="104"/>
      <c r="U45" s="102">
        <f>ROUND(U40/$G$40,4)</f>
        <v>0.30230000000000001</v>
      </c>
      <c r="W45" s="102">
        <f>ROUND(W40/$G$40,4)</f>
        <v>0.1933</v>
      </c>
    </row>
    <row r="46" spans="1:34" x14ac:dyDescent="0.2">
      <c r="C46" s="54"/>
      <c r="D46" s="10"/>
      <c r="E46" s="14"/>
      <c r="F46" s="17"/>
      <c r="G46" s="93"/>
      <c r="H46" s="17"/>
      <c r="I46" s="103"/>
      <c r="J46" s="103"/>
      <c r="K46" s="103"/>
      <c r="L46" s="103"/>
      <c r="M46" s="103"/>
      <c r="N46" s="104"/>
      <c r="O46" s="103"/>
      <c r="P46" s="104"/>
      <c r="Q46" s="103"/>
      <c r="R46" s="104"/>
      <c r="S46" s="103"/>
      <c r="T46" s="104"/>
      <c r="U46" s="103"/>
      <c r="W46" s="90"/>
    </row>
    <row r="47" spans="1:34" x14ac:dyDescent="0.2">
      <c r="C47" s="123" t="str">
        <f>C19</f>
        <v>Total Composite Factor for FY 2013</v>
      </c>
      <c r="D47" s="10"/>
      <c r="E47" s="14" t="s">
        <v>6</v>
      </c>
      <c r="F47" s="17"/>
      <c r="G47" s="102" t="e">
        <f>SUM(I47:AG47)</f>
        <v>#REF!</v>
      </c>
      <c r="H47" s="17"/>
      <c r="I47" s="102" t="e">
        <f>1-SUM(K47:BF47)</f>
        <v>#REF!</v>
      </c>
      <c r="J47" s="103"/>
      <c r="K47" s="102" t="e">
        <f>ROUND(AVERAGE(K43:K45),4)</f>
        <v>#REF!</v>
      </c>
      <c r="L47" s="103"/>
      <c r="M47" s="102" t="e">
        <f>ROUND(AVERAGE(M43:M45),4)</f>
        <v>#REF!</v>
      </c>
      <c r="N47" s="104"/>
      <c r="O47" s="102" t="e">
        <f>ROUND(AVERAGE(O43:O45),4)</f>
        <v>#REF!</v>
      </c>
      <c r="P47" s="104"/>
      <c r="Q47" s="102" t="e">
        <f>ROUND(AVERAGE(Q43:Q45),4)</f>
        <v>#REF!</v>
      </c>
      <c r="R47" s="104"/>
      <c r="S47" s="102" t="e">
        <f>ROUND(AVERAGE(S43:S45),4)</f>
        <v>#REF!</v>
      </c>
      <c r="T47" s="104"/>
      <c r="U47" s="102" t="e">
        <f>ROUND(AVERAGE(U43:U45),4)</f>
        <v>#REF!</v>
      </c>
      <c r="V47" s="111"/>
      <c r="W47" s="102" t="e">
        <f>ROUND(AVERAGE(W43:W45),4)</f>
        <v>#REF!</v>
      </c>
    </row>
    <row r="50" spans="3:32" x14ac:dyDescent="0.2">
      <c r="C50" s="99" t="s">
        <v>85</v>
      </c>
      <c r="D50" s="10"/>
      <c r="E50" s="14"/>
      <c r="F50" s="14"/>
      <c r="G50" s="55"/>
      <c r="H50" s="15"/>
      <c r="I50" s="56"/>
      <c r="J50" s="15"/>
      <c r="K50" s="15"/>
      <c r="L50" s="15"/>
      <c r="M50" s="15"/>
      <c r="N50" s="15"/>
      <c r="O50" s="15"/>
      <c r="P50" s="15"/>
      <c r="Q50" s="15"/>
      <c r="R50" s="15"/>
      <c r="S50" s="14"/>
      <c r="T50" s="15"/>
      <c r="U50" s="14"/>
    </row>
    <row r="51" spans="3:32" x14ac:dyDescent="0.2">
      <c r="C51" s="17"/>
      <c r="D51" s="17"/>
      <c r="E51" s="17"/>
      <c r="F51" s="17"/>
      <c r="G51" s="17"/>
      <c r="H51" s="17"/>
      <c r="I51" s="58"/>
      <c r="J51" s="17"/>
      <c r="K51" s="17"/>
      <c r="L51" s="17"/>
      <c r="M51" s="94"/>
      <c r="N51" s="92"/>
      <c r="O51" s="17"/>
      <c r="P51" s="92"/>
      <c r="Q51" s="17"/>
      <c r="R51" s="92"/>
      <c r="S51" s="17"/>
      <c r="T51" s="92"/>
      <c r="U51" s="17"/>
    </row>
    <row r="52" spans="3:32" x14ac:dyDescent="0.2">
      <c r="C52" s="2" t="s">
        <v>2</v>
      </c>
      <c r="D52" s="10"/>
      <c r="E52" s="3" t="s">
        <v>3</v>
      </c>
      <c r="F52" s="17"/>
      <c r="G52" s="84">
        <f>SUM(I52:AG52)</f>
        <v>7316055578.9199991</v>
      </c>
      <c r="H52" s="17"/>
      <c r="I52" s="113">
        <f>I10</f>
        <v>503797716.75</v>
      </c>
      <c r="J52" s="8"/>
      <c r="K52" s="113">
        <f>K10</f>
        <v>465694921.06</v>
      </c>
      <c r="L52" s="8"/>
      <c r="M52" s="113">
        <f>M10</f>
        <v>178307235.72999999</v>
      </c>
      <c r="N52" s="49"/>
      <c r="O52" s="113">
        <f>O10</f>
        <v>494319819.33999997</v>
      </c>
      <c r="P52" s="49"/>
      <c r="Q52" s="113">
        <f>Q10</f>
        <v>1024397447.76</v>
      </c>
      <c r="R52" s="49"/>
      <c r="S52" s="113">
        <f>S10</f>
        <v>435562796.50999999</v>
      </c>
      <c r="T52" s="49"/>
      <c r="U52" s="113">
        <f>U10</f>
        <v>2909762764.3699999</v>
      </c>
      <c r="W52" s="113">
        <f>W10</f>
        <v>1280759006.2</v>
      </c>
      <c r="AA52" s="117"/>
      <c r="AB52" s="117"/>
      <c r="AC52" s="49"/>
      <c r="AD52" s="49"/>
      <c r="AE52" s="113">
        <f>AE10</f>
        <v>23453871.199999999</v>
      </c>
      <c r="AF52" s="49"/>
    </row>
    <row r="53" spans="3:32" x14ac:dyDescent="0.2">
      <c r="C53" s="3" t="s">
        <v>4</v>
      </c>
      <c r="D53" s="10"/>
      <c r="E53" s="3" t="s">
        <v>5</v>
      </c>
      <c r="F53" s="17"/>
      <c r="G53" s="84" t="e">
        <f>SUM(I53:AG53)</f>
        <v>#REF!</v>
      </c>
      <c r="H53" s="17"/>
      <c r="I53" s="113">
        <f>I11</f>
        <v>297023</v>
      </c>
      <c r="J53" s="8"/>
      <c r="K53" s="113">
        <f>K11</f>
        <v>247550</v>
      </c>
      <c r="L53" s="8"/>
      <c r="M53" s="113">
        <f>M11</f>
        <v>73346</v>
      </c>
      <c r="N53" s="49"/>
      <c r="O53" s="113">
        <f>O11</f>
        <v>270431</v>
      </c>
      <c r="P53" s="49"/>
      <c r="Q53" s="113">
        <f>Q11</f>
        <v>528545</v>
      </c>
      <c r="R53" s="49"/>
      <c r="S53" s="113">
        <f>S11</f>
        <v>248848</v>
      </c>
      <c r="T53" s="49"/>
      <c r="U53" s="113" t="e">
        <f>U11</f>
        <v>#REF!</v>
      </c>
      <c r="W53" s="113" t="e">
        <f>W11</f>
        <v>#REF!</v>
      </c>
      <c r="AA53" s="117"/>
      <c r="AB53" s="117"/>
      <c r="AC53" s="49"/>
      <c r="AD53" s="49"/>
      <c r="AE53" s="113">
        <f>AE11</f>
        <v>7</v>
      </c>
      <c r="AF53" s="49"/>
    </row>
    <row r="54" spans="3:32" x14ac:dyDescent="0.2">
      <c r="C54" s="2" t="s">
        <v>15</v>
      </c>
      <c r="D54" s="10"/>
      <c r="E54" s="3" t="s">
        <v>3</v>
      </c>
      <c r="F54" s="17"/>
      <c r="G54" s="84">
        <f>SUM(I54:AG54)</f>
        <v>327162846.78999996</v>
      </c>
      <c r="H54" s="17"/>
      <c r="I54" s="113">
        <f>I12</f>
        <v>27206253.27</v>
      </c>
      <c r="J54" s="8"/>
      <c r="K54" s="113">
        <f>K12</f>
        <v>23972323.100000001</v>
      </c>
      <c r="L54" s="8"/>
      <c r="M54" s="113">
        <f>M12</f>
        <v>10289510.67</v>
      </c>
      <c r="N54" s="49"/>
      <c r="O54" s="113">
        <f>O12</f>
        <v>22111377.52</v>
      </c>
      <c r="P54" s="49"/>
      <c r="Q54" s="113">
        <f>Q12</f>
        <v>49299476.899999999</v>
      </c>
      <c r="R54" s="49"/>
      <c r="S54" s="113">
        <f>S12</f>
        <v>31477147.5</v>
      </c>
      <c r="T54" s="49"/>
      <c r="U54" s="113">
        <f>U12</f>
        <v>98525277.590000004</v>
      </c>
      <c r="W54" s="113">
        <f>W12</f>
        <v>62992566.529999994</v>
      </c>
      <c r="AA54" s="117"/>
      <c r="AB54" s="117"/>
      <c r="AC54" s="49"/>
      <c r="AD54" s="49"/>
      <c r="AE54" s="113">
        <f>AE12</f>
        <v>1288913.71</v>
      </c>
      <c r="AF54" s="49"/>
    </row>
    <row r="55" spans="3:32" x14ac:dyDescent="0.2">
      <c r="C55" s="50" t="s">
        <v>16</v>
      </c>
      <c r="D55" s="10"/>
      <c r="E55" s="3"/>
      <c r="F55" s="17"/>
      <c r="G55" s="17"/>
      <c r="H55" s="17"/>
      <c r="I55" s="1"/>
      <c r="J55" s="4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W55" s="18"/>
      <c r="AA55" s="117"/>
      <c r="AB55" s="117"/>
      <c r="AC55" s="18"/>
      <c r="AD55" s="18"/>
      <c r="AE55" s="18"/>
      <c r="AF55" s="18"/>
    </row>
    <row r="56" spans="3:32" x14ac:dyDescent="0.2">
      <c r="C56" s="17"/>
      <c r="D56" s="17"/>
      <c r="E56" s="17"/>
      <c r="F56" s="17"/>
      <c r="G56" s="17"/>
      <c r="H56" s="17"/>
      <c r="I56" s="58"/>
      <c r="J56" s="17"/>
      <c r="K56" s="17"/>
      <c r="L56" s="17"/>
      <c r="M56" s="94"/>
      <c r="N56" s="92"/>
      <c r="O56" s="17"/>
      <c r="P56" s="92"/>
      <c r="Q56" s="17"/>
      <c r="R56" s="92"/>
      <c r="S56" s="17"/>
      <c r="T56" s="92"/>
      <c r="U56" s="17"/>
      <c r="AA56" s="117"/>
      <c r="AB56" s="117"/>
      <c r="AC56" s="48"/>
      <c r="AD56" s="48"/>
    </row>
    <row r="57" spans="3:32" x14ac:dyDescent="0.2">
      <c r="C57" s="2" t="s">
        <v>2</v>
      </c>
      <c r="D57" s="10"/>
      <c r="E57" s="14" t="s">
        <v>6</v>
      </c>
      <c r="F57" s="97"/>
      <c r="G57" s="102">
        <f>SUM(I57:AG57)</f>
        <v>1</v>
      </c>
      <c r="H57" s="17"/>
      <c r="I57" s="102">
        <f>1-SUM(K57:BF57)</f>
        <v>6.8799999999999972E-2</v>
      </c>
      <c r="J57" s="103"/>
      <c r="K57" s="102">
        <f>ROUND(K52/$G$52,4)</f>
        <v>6.3700000000000007E-2</v>
      </c>
      <c r="L57" s="103"/>
      <c r="M57" s="102">
        <f>ROUND(M52/$G$52,4)</f>
        <v>2.4400000000000002E-2</v>
      </c>
      <c r="N57" s="104"/>
      <c r="O57" s="102">
        <f>ROUND(O52/$G$52,4)</f>
        <v>6.7599999999999993E-2</v>
      </c>
      <c r="P57" s="104"/>
      <c r="Q57" s="102">
        <f>ROUND(Q52/$G$52,4)</f>
        <v>0.14000000000000001</v>
      </c>
      <c r="R57" s="104"/>
      <c r="S57" s="102">
        <f>ROUND(S52/$G$52,4)</f>
        <v>5.9499999999999997E-2</v>
      </c>
      <c r="T57" s="104"/>
      <c r="U57" s="102">
        <f>ROUND(U52/$G$52,4)</f>
        <v>0.3977</v>
      </c>
      <c r="W57" s="102">
        <f>ROUND(W52/$G$52,4)</f>
        <v>0.17510000000000001</v>
      </c>
      <c r="AA57" s="117"/>
      <c r="AB57" s="117"/>
      <c r="AC57" s="104"/>
      <c r="AD57" s="104"/>
      <c r="AE57" s="102">
        <f>ROUND(AE52/$G$52,4)</f>
        <v>3.2000000000000002E-3</v>
      </c>
      <c r="AF57" s="104"/>
    </row>
    <row r="58" spans="3:32" x14ac:dyDescent="0.2">
      <c r="C58" s="3" t="s">
        <v>4</v>
      </c>
      <c r="D58" s="10"/>
      <c r="E58" s="14" t="s">
        <v>6</v>
      </c>
      <c r="F58" s="97"/>
      <c r="G58" s="102" t="e">
        <f>SUM(I58:AG58)</f>
        <v>#REF!</v>
      </c>
      <c r="H58" s="17"/>
      <c r="I58" s="102" t="e">
        <f>1-SUM(K58:BF58)</f>
        <v>#REF!</v>
      </c>
      <c r="J58" s="103"/>
      <c r="K58" s="102" t="e">
        <f>ROUND(K53/$G$53,4)</f>
        <v>#REF!</v>
      </c>
      <c r="L58" s="103"/>
      <c r="M58" s="102" t="e">
        <f>ROUND(M53/$G$53,4)</f>
        <v>#REF!</v>
      </c>
      <c r="N58" s="104"/>
      <c r="O58" s="102" t="e">
        <f>ROUND(O53/$G$53,4)</f>
        <v>#REF!</v>
      </c>
      <c r="P58" s="104"/>
      <c r="Q58" s="102" t="e">
        <f>ROUND(Q53/$G$53,4)</f>
        <v>#REF!</v>
      </c>
      <c r="R58" s="104"/>
      <c r="S58" s="102" t="e">
        <f>ROUND(S53/$G$53,4)</f>
        <v>#REF!</v>
      </c>
      <c r="T58" s="104"/>
      <c r="U58" s="102" t="e">
        <f>ROUND(U53/$G$53,4)</f>
        <v>#REF!</v>
      </c>
      <c r="W58" s="102" t="e">
        <f>ROUND(W53/$G$53,4)</f>
        <v>#REF!</v>
      </c>
      <c r="AA58" s="117"/>
      <c r="AB58" s="117"/>
      <c r="AC58" s="104"/>
      <c r="AD58" s="104"/>
      <c r="AE58" s="102" t="e">
        <f>ROUND(AE53/$G$53,4)</f>
        <v>#REF!</v>
      </c>
      <c r="AF58" s="104"/>
    </row>
    <row r="59" spans="3:32" x14ac:dyDescent="0.2">
      <c r="C59" s="2" t="s">
        <v>7</v>
      </c>
      <c r="D59" s="10"/>
      <c r="E59" s="14" t="s">
        <v>6</v>
      </c>
      <c r="F59" s="97"/>
      <c r="G59" s="102">
        <f>SUM(I59:AG59)</f>
        <v>1</v>
      </c>
      <c r="H59" s="17"/>
      <c r="I59" s="102">
        <f>1-SUM(K59:BF59)</f>
        <v>8.3099999999999952E-2</v>
      </c>
      <c r="J59" s="103"/>
      <c r="K59" s="102">
        <f>ROUND(K54/$G$54,4)</f>
        <v>7.3300000000000004E-2</v>
      </c>
      <c r="L59" s="103"/>
      <c r="M59" s="102">
        <f>ROUND(M54/$G$54,4)</f>
        <v>3.15E-2</v>
      </c>
      <c r="N59" s="104"/>
      <c r="O59" s="102">
        <f>ROUND(O54/$G$54,4)</f>
        <v>6.7599999999999993E-2</v>
      </c>
      <c r="P59" s="104"/>
      <c r="Q59" s="102">
        <f>ROUND(Q54/$G$54,4)</f>
        <v>0.1507</v>
      </c>
      <c r="R59" s="104"/>
      <c r="S59" s="102">
        <f>ROUND(S54/$G$54,4)</f>
        <v>9.6199999999999994E-2</v>
      </c>
      <c r="T59" s="104"/>
      <c r="U59" s="102">
        <f>ROUND(U54/$G$54,4)</f>
        <v>0.30120000000000002</v>
      </c>
      <c r="W59" s="102">
        <f>ROUND(W54/$G$54,4)</f>
        <v>0.1925</v>
      </c>
      <c r="AA59" s="117"/>
      <c r="AB59" s="117"/>
      <c r="AC59" s="104"/>
      <c r="AD59" s="104"/>
      <c r="AE59" s="102">
        <f>ROUND(AE54/$G$54,4)</f>
        <v>3.8999999999999998E-3</v>
      </c>
      <c r="AF59" s="104"/>
    </row>
    <row r="60" spans="3:32" x14ac:dyDescent="0.2">
      <c r="C60" s="54"/>
      <c r="D60" s="10"/>
      <c r="E60" s="14"/>
      <c r="F60" s="17"/>
      <c r="G60" s="93"/>
      <c r="H60" s="17"/>
      <c r="I60" s="103"/>
      <c r="J60" s="103"/>
      <c r="K60" s="103"/>
      <c r="L60" s="103"/>
      <c r="M60" s="103"/>
      <c r="N60" s="104"/>
      <c r="O60" s="103"/>
      <c r="P60" s="104"/>
      <c r="Q60" s="103"/>
      <c r="R60" s="104"/>
      <c r="S60" s="103"/>
      <c r="T60" s="104"/>
      <c r="U60" s="103"/>
      <c r="W60" s="90"/>
      <c r="AA60" s="117"/>
      <c r="AB60" s="117"/>
      <c r="AC60" s="90"/>
      <c r="AD60" s="90"/>
      <c r="AE60" s="90"/>
      <c r="AF60" s="90"/>
    </row>
    <row r="61" spans="3:32" x14ac:dyDescent="0.2">
      <c r="C61" s="123" t="str">
        <f>C19</f>
        <v>Total Composite Factor for FY 2013</v>
      </c>
      <c r="D61" s="10"/>
      <c r="E61" s="14" t="s">
        <v>6</v>
      </c>
      <c r="F61" s="17"/>
      <c r="G61" s="102" t="e">
        <f>SUM(I61:AG61)</f>
        <v>#REF!</v>
      </c>
      <c r="H61" s="17"/>
      <c r="I61" s="102" t="e">
        <f>1-SUM(K61:BF61)</f>
        <v>#REF!</v>
      </c>
      <c r="J61" s="103"/>
      <c r="K61" s="102" t="e">
        <f>ROUND(AVERAGE(K57:K59),4)</f>
        <v>#REF!</v>
      </c>
      <c r="L61" s="103"/>
      <c r="M61" s="102" t="e">
        <f>ROUND(AVERAGE(M57:M59),4)</f>
        <v>#REF!</v>
      </c>
      <c r="N61" s="104"/>
      <c r="O61" s="102" t="e">
        <f>ROUND(AVERAGE(O57:O59),4)</f>
        <v>#REF!</v>
      </c>
      <c r="P61" s="104"/>
      <c r="Q61" s="102" t="e">
        <f>ROUND(AVERAGE(Q57:Q59),4)</f>
        <v>#REF!</v>
      </c>
      <c r="R61" s="104"/>
      <c r="S61" s="102" t="e">
        <f>ROUND(AVERAGE(S57:S59),4)</f>
        <v>#REF!</v>
      </c>
      <c r="T61" s="104"/>
      <c r="U61" s="102" t="e">
        <f>ROUND(AVERAGE(U57:U59),4)</f>
        <v>#REF!</v>
      </c>
      <c r="V61" s="111"/>
      <c r="W61" s="102" t="e">
        <f>ROUND(AVERAGE(W57:W59),4)</f>
        <v>#REF!</v>
      </c>
      <c r="AA61" s="117"/>
      <c r="AB61" s="117"/>
      <c r="AC61" s="104"/>
      <c r="AD61" s="104"/>
      <c r="AE61" s="102" t="e">
        <f>ROUND(AVERAGE(AE57:AE59),4)</f>
        <v>#REF!</v>
      </c>
      <c r="AF61" s="104"/>
    </row>
    <row r="62" spans="3:32" x14ac:dyDescent="0.2">
      <c r="C62" s="123"/>
      <c r="D62" s="10"/>
      <c r="E62" s="14"/>
      <c r="F62" s="17"/>
      <c r="G62" s="104"/>
      <c r="H62" s="17"/>
      <c r="I62" s="104"/>
      <c r="J62" s="103"/>
      <c r="K62" s="104"/>
      <c r="L62" s="103"/>
      <c r="M62" s="104"/>
      <c r="N62" s="104"/>
      <c r="O62" s="104"/>
      <c r="P62" s="104"/>
      <c r="Q62" s="104"/>
      <c r="R62" s="104"/>
      <c r="S62" s="104"/>
      <c r="T62" s="104"/>
      <c r="U62" s="104"/>
      <c r="V62" s="111"/>
      <c r="W62" s="104"/>
      <c r="AA62" s="117"/>
      <c r="AB62" s="117"/>
      <c r="AC62" s="104"/>
      <c r="AD62" s="104"/>
    </row>
    <row r="64" spans="3:32" x14ac:dyDescent="0.2">
      <c r="C64" s="121" t="s">
        <v>99</v>
      </c>
      <c r="D64" s="10"/>
      <c r="E64" s="14"/>
      <c r="F64" s="14"/>
      <c r="G64" s="55"/>
      <c r="H64" s="15"/>
      <c r="I64" s="56"/>
      <c r="J64" s="15"/>
      <c r="K64" s="15"/>
      <c r="L64" s="15"/>
      <c r="M64" s="15"/>
      <c r="N64" s="15"/>
      <c r="O64" s="15"/>
      <c r="P64" s="15"/>
      <c r="Q64" s="15"/>
      <c r="R64" s="15"/>
      <c r="S64" s="14"/>
      <c r="T64" s="15"/>
      <c r="U64" s="14"/>
    </row>
    <row r="65" spans="3:23" x14ac:dyDescent="0.2">
      <c r="C65" s="17"/>
      <c r="D65" s="17"/>
      <c r="E65" s="17"/>
      <c r="F65" s="17"/>
      <c r="G65" s="17"/>
      <c r="H65" s="17"/>
      <c r="I65" s="58"/>
      <c r="J65" s="17"/>
      <c r="K65" s="17"/>
      <c r="L65" s="17"/>
      <c r="M65" s="94"/>
      <c r="N65" s="92"/>
      <c r="O65" s="17"/>
      <c r="P65" s="92"/>
      <c r="Q65" s="17"/>
      <c r="R65" s="92"/>
      <c r="S65" s="17"/>
      <c r="T65" s="92"/>
      <c r="U65" s="17"/>
    </row>
    <row r="66" spans="3:23" x14ac:dyDescent="0.2">
      <c r="C66" s="2" t="s">
        <v>2</v>
      </c>
      <c r="D66" s="10"/>
      <c r="E66" s="3" t="s">
        <v>3</v>
      </c>
      <c r="F66" s="17"/>
      <c r="G66" s="84">
        <f>SUM(I66:AG66)</f>
        <v>1405055434.3199999</v>
      </c>
      <c r="H66" s="17"/>
      <c r="I66" s="113">
        <f>I10</f>
        <v>503797716.75</v>
      </c>
      <c r="J66" s="8"/>
      <c r="K66" s="113">
        <f>K10</f>
        <v>465694921.06</v>
      </c>
      <c r="L66" s="8"/>
      <c r="M66" s="113"/>
      <c r="N66" s="8"/>
      <c r="O66" s="113"/>
      <c r="P66" s="8"/>
      <c r="Q66" s="113"/>
      <c r="R66" s="8"/>
      <c r="S66" s="113">
        <f>S10</f>
        <v>435562796.50999999</v>
      </c>
      <c r="T66" s="8"/>
      <c r="U66" s="113"/>
      <c r="V66" s="8"/>
      <c r="W66" s="113"/>
    </row>
    <row r="67" spans="3:23" x14ac:dyDescent="0.2">
      <c r="C67" s="3" t="s">
        <v>4</v>
      </c>
      <c r="D67" s="10"/>
      <c r="E67" s="3" t="s">
        <v>5</v>
      </c>
      <c r="F67" s="17"/>
      <c r="G67" s="84">
        <f>SUM(I67:AG67)</f>
        <v>793421</v>
      </c>
      <c r="H67" s="17"/>
      <c r="I67" s="113">
        <f>I11</f>
        <v>297023</v>
      </c>
      <c r="J67" s="8"/>
      <c r="K67" s="113">
        <f>K11</f>
        <v>247550</v>
      </c>
      <c r="L67" s="8"/>
      <c r="M67" s="113"/>
      <c r="N67" s="8"/>
      <c r="O67" s="113"/>
      <c r="P67" s="8"/>
      <c r="Q67" s="113"/>
      <c r="R67" s="8"/>
      <c r="S67" s="113">
        <f>S11</f>
        <v>248848</v>
      </c>
      <c r="T67" s="8"/>
      <c r="U67" s="113"/>
      <c r="V67" s="8"/>
      <c r="W67" s="113"/>
    </row>
    <row r="68" spans="3:23" x14ac:dyDescent="0.2">
      <c r="C68" s="2" t="s">
        <v>15</v>
      </c>
      <c r="D68" s="10"/>
      <c r="E68" s="3" t="s">
        <v>3</v>
      </c>
      <c r="F68" s="17"/>
      <c r="G68" s="84">
        <f>SUM(I68:AG68)</f>
        <v>82655723.870000005</v>
      </c>
      <c r="H68" s="17"/>
      <c r="I68" s="113">
        <f>I12</f>
        <v>27206253.27</v>
      </c>
      <c r="J68" s="8"/>
      <c r="K68" s="113">
        <f>K12</f>
        <v>23972323.100000001</v>
      </c>
      <c r="L68" s="8"/>
      <c r="M68" s="113"/>
      <c r="N68" s="8"/>
      <c r="O68" s="113"/>
      <c r="P68" s="8"/>
      <c r="Q68" s="113"/>
      <c r="R68" s="8"/>
      <c r="S68" s="113">
        <f>S12</f>
        <v>31477147.5</v>
      </c>
      <c r="T68" s="8"/>
      <c r="U68" s="113"/>
      <c r="V68" s="8"/>
      <c r="W68" s="113"/>
    </row>
    <row r="69" spans="3:23" x14ac:dyDescent="0.2">
      <c r="C69" s="50" t="s">
        <v>16</v>
      </c>
      <c r="D69" s="10"/>
      <c r="E69" s="3"/>
      <c r="F69" s="17"/>
      <c r="G69" s="17"/>
      <c r="H69" s="17"/>
      <c r="I69" s="1"/>
      <c r="J69" s="4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W69" s="18"/>
    </row>
    <row r="70" spans="3:23" x14ac:dyDescent="0.2">
      <c r="C70" s="17"/>
      <c r="D70" s="17"/>
      <c r="E70" s="17"/>
      <c r="F70" s="17"/>
      <c r="G70" s="17"/>
      <c r="H70" s="17"/>
      <c r="I70" s="58"/>
      <c r="J70" s="17"/>
      <c r="K70" s="17"/>
      <c r="L70" s="17"/>
      <c r="M70" s="94"/>
      <c r="N70" s="92"/>
      <c r="O70" s="17"/>
      <c r="P70" s="92"/>
      <c r="Q70" s="17"/>
      <c r="R70" s="92"/>
      <c r="S70" s="17"/>
      <c r="T70" s="92"/>
      <c r="U70" s="17"/>
    </row>
    <row r="71" spans="3:23" x14ac:dyDescent="0.2">
      <c r="C71" s="2" t="s">
        <v>2</v>
      </c>
      <c r="D71" s="10"/>
      <c r="E71" s="14" t="s">
        <v>6</v>
      </c>
      <c r="F71" s="97"/>
      <c r="G71" s="102">
        <f>SUM(I71:AG71)</f>
        <v>1</v>
      </c>
      <c r="H71" s="17"/>
      <c r="I71" s="102">
        <f>1-SUM(K71:BF71)</f>
        <v>0.35860000000000003</v>
      </c>
      <c r="J71" s="103"/>
      <c r="K71" s="102">
        <f>ROUND(K66/$G$66,4)</f>
        <v>0.33139999999999997</v>
      </c>
      <c r="L71" s="103"/>
      <c r="M71" s="102">
        <f>ROUND(M66/$G$52,4)</f>
        <v>0</v>
      </c>
      <c r="N71" s="104"/>
      <c r="O71" s="102">
        <f>ROUND(O66/$G$52,4)</f>
        <v>0</v>
      </c>
      <c r="P71" s="104"/>
      <c r="Q71" s="102">
        <f>ROUND(Q66/$G$52,4)</f>
        <v>0</v>
      </c>
      <c r="R71" s="104"/>
      <c r="S71" s="102">
        <f>ROUND(S66/$G$66,4)</f>
        <v>0.31</v>
      </c>
      <c r="T71" s="104"/>
      <c r="U71" s="102">
        <f>ROUND(U66/$G$52,4)</f>
        <v>0</v>
      </c>
      <c r="W71" s="102">
        <f>ROUND(W66/$G$52,4)</f>
        <v>0</v>
      </c>
    </row>
    <row r="72" spans="3:23" x14ac:dyDescent="0.2">
      <c r="C72" s="3" t="s">
        <v>4</v>
      </c>
      <c r="D72" s="10"/>
      <c r="E72" s="14" t="s">
        <v>6</v>
      </c>
      <c r="F72" s="97"/>
      <c r="G72" s="102" t="e">
        <f>SUM(I72:AG72)</f>
        <v>#REF!</v>
      </c>
      <c r="H72" s="17"/>
      <c r="I72" s="102" t="e">
        <f>1-SUM(K72:BF72)</f>
        <v>#REF!</v>
      </c>
      <c r="J72" s="103"/>
      <c r="K72" s="102">
        <f>ROUND(K67/$G$67,4)</f>
        <v>0.312</v>
      </c>
      <c r="L72" s="103"/>
      <c r="M72" s="102" t="e">
        <f>ROUND(M67/$G$53,4)</f>
        <v>#REF!</v>
      </c>
      <c r="N72" s="104"/>
      <c r="O72" s="102" t="e">
        <f>ROUND(O67/$G$53,4)</f>
        <v>#REF!</v>
      </c>
      <c r="P72" s="104"/>
      <c r="Q72" s="102" t="e">
        <f>ROUND(Q67/$G$53,4)</f>
        <v>#REF!</v>
      </c>
      <c r="R72" s="104"/>
      <c r="S72" s="102">
        <f>ROUND(S67/$G$67,4)</f>
        <v>0.31359999999999999</v>
      </c>
      <c r="T72" s="104"/>
      <c r="U72" s="102" t="e">
        <f>ROUND(U67/$G$53,4)</f>
        <v>#REF!</v>
      </c>
      <c r="W72" s="102" t="e">
        <f>ROUND(W67/$G$53,4)</f>
        <v>#REF!</v>
      </c>
    </row>
    <row r="73" spans="3:23" x14ac:dyDescent="0.2">
      <c r="C73" s="2" t="s">
        <v>7</v>
      </c>
      <c r="D73" s="10"/>
      <c r="E73" s="14" t="s">
        <v>6</v>
      </c>
      <c r="F73" s="97"/>
      <c r="G73" s="102">
        <f>SUM(I73:AG73)</f>
        <v>1</v>
      </c>
      <c r="H73" s="17"/>
      <c r="I73" s="102">
        <f>1-SUM(K73:BF73)</f>
        <v>0.32919999999999994</v>
      </c>
      <c r="J73" s="103"/>
      <c r="K73" s="102">
        <f>ROUND(K68/$G$68,4)</f>
        <v>0.28999999999999998</v>
      </c>
      <c r="L73" s="103"/>
      <c r="M73" s="102">
        <f>ROUND(M68/$G$54,4)</f>
        <v>0</v>
      </c>
      <c r="N73" s="104"/>
      <c r="O73" s="102">
        <f>ROUND(O68/$G$54,4)</f>
        <v>0</v>
      </c>
      <c r="P73" s="104"/>
      <c r="Q73" s="102">
        <f>ROUND(Q68/$G$54,4)</f>
        <v>0</v>
      </c>
      <c r="R73" s="104"/>
      <c r="S73" s="102">
        <f>ROUND(S68/$G$68,4)</f>
        <v>0.38080000000000003</v>
      </c>
      <c r="T73" s="104"/>
      <c r="U73" s="102">
        <f>ROUND(U68/$G$54,4)</f>
        <v>0</v>
      </c>
      <c r="W73" s="102">
        <f>ROUND(W68/$G$54,4)</f>
        <v>0</v>
      </c>
    </row>
    <row r="74" spans="3:23" x14ac:dyDescent="0.2">
      <c r="C74" s="54"/>
      <c r="D74" s="10"/>
      <c r="E74" s="14"/>
      <c r="F74" s="17"/>
      <c r="G74" s="93"/>
      <c r="H74" s="17"/>
      <c r="I74" s="103"/>
      <c r="J74" s="103"/>
      <c r="K74" s="103"/>
      <c r="L74" s="103"/>
      <c r="M74" s="103"/>
      <c r="N74" s="104"/>
      <c r="O74" s="103"/>
      <c r="P74" s="104"/>
      <c r="Q74" s="103"/>
      <c r="R74" s="104"/>
      <c r="S74" s="103"/>
      <c r="T74" s="104"/>
      <c r="U74" s="103"/>
      <c r="W74" s="90"/>
    </row>
    <row r="75" spans="3:23" x14ac:dyDescent="0.2">
      <c r="C75" s="123" t="str">
        <f>C19</f>
        <v>Total Composite Factor for FY 2013</v>
      </c>
      <c r="D75" s="10"/>
      <c r="E75" s="14" t="s">
        <v>6</v>
      </c>
      <c r="F75" s="17"/>
      <c r="G75" s="102" t="e">
        <f>SUM(I75:AG75)</f>
        <v>#REF!</v>
      </c>
      <c r="H75" s="17"/>
      <c r="I75" s="102" t="e">
        <f>1-SUM(K75:BF75)</f>
        <v>#REF!</v>
      </c>
      <c r="J75" s="103"/>
      <c r="K75" s="102">
        <f>ROUND(AVERAGE(K71:K73),4)</f>
        <v>0.31109999999999999</v>
      </c>
      <c r="L75" s="103"/>
      <c r="M75" s="102" t="e">
        <f>ROUND(AVERAGE(M71:M73),4)</f>
        <v>#REF!</v>
      </c>
      <c r="N75" s="104"/>
      <c r="O75" s="102" t="e">
        <f>ROUND(AVERAGE(O71:O73),4)</f>
        <v>#REF!</v>
      </c>
      <c r="P75" s="104"/>
      <c r="Q75" s="102" t="e">
        <f>ROUND(AVERAGE(Q71:Q73),4)</f>
        <v>#REF!</v>
      </c>
      <c r="R75" s="104"/>
      <c r="S75" s="102">
        <f>ROUND(AVERAGE(S71:S73),4)</f>
        <v>0.33479999999999999</v>
      </c>
      <c r="T75" s="104"/>
      <c r="U75" s="102" t="e">
        <f>ROUND(AVERAGE(U71:U73),4)</f>
        <v>#REF!</v>
      </c>
      <c r="V75" s="111"/>
      <c r="W75" s="102" t="e">
        <f>ROUND(AVERAGE(W71:W73),4)</f>
        <v>#REF!</v>
      </c>
    </row>
    <row r="78" spans="3:23" x14ac:dyDescent="0.2">
      <c r="C78" s="99" t="s">
        <v>100</v>
      </c>
      <c r="D78" s="10"/>
      <c r="E78" s="14"/>
      <c r="F78" s="14"/>
      <c r="G78" s="55"/>
      <c r="H78" s="15"/>
      <c r="I78" s="56"/>
      <c r="J78" s="15"/>
      <c r="K78" s="15"/>
      <c r="L78" s="15"/>
      <c r="M78" s="15"/>
      <c r="N78" s="15"/>
      <c r="O78" s="15"/>
      <c r="P78" s="15"/>
      <c r="Q78" s="15"/>
      <c r="R78" s="15"/>
      <c r="S78" s="14"/>
      <c r="T78" s="15"/>
      <c r="U78" s="14"/>
    </row>
    <row r="79" spans="3:23" x14ac:dyDescent="0.2">
      <c r="C79" s="17"/>
      <c r="D79" s="17"/>
      <c r="E79" s="17"/>
      <c r="F79" s="17"/>
      <c r="G79" s="17"/>
      <c r="H79" s="17"/>
      <c r="I79" s="58"/>
      <c r="J79" s="17"/>
      <c r="K79" s="17"/>
      <c r="L79" s="17"/>
      <c r="M79" s="94"/>
      <c r="N79" s="92"/>
      <c r="O79" s="17"/>
      <c r="P79" s="92"/>
      <c r="Q79" s="17"/>
      <c r="R79" s="92"/>
      <c r="S79" s="17"/>
      <c r="T79" s="92"/>
      <c r="U79" s="17"/>
    </row>
    <row r="80" spans="3:23" x14ac:dyDescent="0.2">
      <c r="C80" s="2" t="s">
        <v>2</v>
      </c>
      <c r="D80" s="10"/>
      <c r="E80" s="3" t="s">
        <v>3</v>
      </c>
      <c r="F80" s="17"/>
      <c r="G80" s="84">
        <f>SUM(I80:AG80)</f>
        <v>672627055.06999993</v>
      </c>
      <c r="H80" s="17"/>
      <c r="I80" s="113"/>
      <c r="J80" s="8"/>
      <c r="K80" s="113"/>
      <c r="L80" s="8"/>
      <c r="M80" s="113">
        <f>M10</f>
        <v>178307235.72999999</v>
      </c>
      <c r="N80" s="8"/>
      <c r="O80" s="113">
        <f>O10</f>
        <v>494319819.33999997</v>
      </c>
      <c r="P80" s="8"/>
      <c r="Q80" s="113"/>
      <c r="R80" s="8"/>
      <c r="S80" s="113"/>
      <c r="T80" s="8"/>
      <c r="U80" s="113"/>
      <c r="V80" s="8"/>
      <c r="W80" s="113"/>
    </row>
    <row r="81" spans="1:38" x14ac:dyDescent="0.2">
      <c r="C81" s="3" t="s">
        <v>4</v>
      </c>
      <c r="D81" s="10"/>
      <c r="E81" s="3" t="s">
        <v>5</v>
      </c>
      <c r="F81" s="17"/>
      <c r="G81" s="84">
        <f>SUM(I81:AG81)</f>
        <v>343777</v>
      </c>
      <c r="H81" s="17"/>
      <c r="I81" s="113"/>
      <c r="J81" s="8"/>
      <c r="K81" s="113"/>
      <c r="L81" s="8"/>
      <c r="M81" s="113">
        <f>M11</f>
        <v>73346</v>
      </c>
      <c r="N81" s="8"/>
      <c r="O81" s="113">
        <f>O11</f>
        <v>270431</v>
      </c>
      <c r="P81" s="8"/>
      <c r="Q81" s="113"/>
      <c r="R81" s="8"/>
      <c r="S81" s="113"/>
      <c r="T81" s="8"/>
      <c r="U81" s="113"/>
      <c r="V81" s="8"/>
      <c r="W81" s="113"/>
    </row>
    <row r="82" spans="1:38" x14ac:dyDescent="0.2">
      <c r="C82" s="2" t="s">
        <v>15</v>
      </c>
      <c r="D82" s="10"/>
      <c r="E82" s="3" t="s">
        <v>3</v>
      </c>
      <c r="F82" s="17"/>
      <c r="G82" s="84">
        <f>SUM(I82:AG82)</f>
        <v>32400888.189999998</v>
      </c>
      <c r="H82" s="17"/>
      <c r="I82" s="113"/>
      <c r="J82" s="8"/>
      <c r="K82" s="113"/>
      <c r="L82" s="8"/>
      <c r="M82" s="113">
        <f>M12</f>
        <v>10289510.67</v>
      </c>
      <c r="N82" s="8"/>
      <c r="O82" s="113">
        <f>O12</f>
        <v>22111377.52</v>
      </c>
      <c r="P82" s="8"/>
      <c r="Q82" s="113"/>
      <c r="R82" s="8"/>
      <c r="S82" s="113"/>
      <c r="T82" s="8"/>
      <c r="U82" s="113"/>
      <c r="V82" s="8"/>
      <c r="W82" s="113"/>
    </row>
    <row r="83" spans="1:38" x14ac:dyDescent="0.2">
      <c r="C83" s="50" t="s">
        <v>16</v>
      </c>
      <c r="D83" s="10"/>
      <c r="E83" s="3"/>
      <c r="F83" s="17"/>
      <c r="G83" s="17"/>
      <c r="H83" s="17"/>
      <c r="I83" s="1"/>
      <c r="J83" s="4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W83" s="18"/>
    </row>
    <row r="84" spans="1:38" x14ac:dyDescent="0.2">
      <c r="C84" s="17"/>
      <c r="D84" s="17"/>
      <c r="E84" s="17"/>
      <c r="F84" s="17"/>
      <c r="G84" s="17"/>
      <c r="H84" s="17"/>
      <c r="I84" s="58"/>
      <c r="J84" s="17"/>
      <c r="K84" s="17"/>
      <c r="L84" s="17"/>
      <c r="M84" s="94"/>
      <c r="N84" s="92"/>
      <c r="O84" s="17"/>
      <c r="P84" s="92"/>
      <c r="Q84" s="17"/>
      <c r="R84" s="92"/>
      <c r="S84" s="17"/>
      <c r="T84" s="92"/>
      <c r="U84" s="17"/>
    </row>
    <row r="85" spans="1:38" x14ac:dyDescent="0.2">
      <c r="C85" s="2" t="s">
        <v>2</v>
      </c>
      <c r="D85" s="10"/>
      <c r="E85" s="14" t="s">
        <v>6</v>
      </c>
      <c r="F85" s="97"/>
      <c r="G85" s="102">
        <f>SUM(I85:AG85)</f>
        <v>1</v>
      </c>
      <c r="H85" s="17"/>
      <c r="I85" s="102">
        <f>ROUND(I80/$G$52,4)</f>
        <v>0</v>
      </c>
      <c r="J85" s="103"/>
      <c r="K85" s="102">
        <f>ROUND(K80/$G$66,4)</f>
        <v>0</v>
      </c>
      <c r="L85" s="103"/>
      <c r="M85" s="102">
        <f>ROUND(M80/$G$80,4)</f>
        <v>0.2651</v>
      </c>
      <c r="N85" s="104"/>
      <c r="O85" s="102">
        <f>ROUND(O80/$G$80,4)</f>
        <v>0.7349</v>
      </c>
      <c r="P85" s="104"/>
      <c r="Q85" s="102">
        <f>ROUND(Q80/$G$52,4)</f>
        <v>0</v>
      </c>
      <c r="R85" s="104"/>
      <c r="S85" s="102">
        <f>ROUND(S80/$G$66,4)</f>
        <v>0</v>
      </c>
      <c r="T85" s="104"/>
      <c r="U85" s="102">
        <f>ROUND(U80/$G$52,4)</f>
        <v>0</v>
      </c>
      <c r="W85" s="102">
        <f>ROUND(W80/$G$52,4)</f>
        <v>0</v>
      </c>
    </row>
    <row r="86" spans="1:38" x14ac:dyDescent="0.2">
      <c r="C86" s="3" t="s">
        <v>4</v>
      </c>
      <c r="D86" s="10"/>
      <c r="E86" s="14" t="s">
        <v>6</v>
      </c>
      <c r="F86" s="97"/>
      <c r="G86" s="102" t="e">
        <f>SUM(I86:AG86)</f>
        <v>#REF!</v>
      </c>
      <c r="H86" s="17"/>
      <c r="I86" s="102" t="e">
        <f>ROUND(I81/$G$53,4)</f>
        <v>#REF!</v>
      </c>
      <c r="J86" s="103"/>
      <c r="K86" s="102">
        <f>ROUND(K81/$G$67,4)</f>
        <v>0</v>
      </c>
      <c r="L86" s="103"/>
      <c r="M86" s="102">
        <f>ROUND(M81/$G$81,4)</f>
        <v>0.21340000000000001</v>
      </c>
      <c r="N86" s="104"/>
      <c r="O86" s="102">
        <f>ROUND(O81/$G$81,4)</f>
        <v>0.78659999999999997</v>
      </c>
      <c r="P86" s="104"/>
      <c r="Q86" s="102" t="e">
        <f>ROUND(Q81/$G$53,4)</f>
        <v>#REF!</v>
      </c>
      <c r="R86" s="104"/>
      <c r="S86" s="102">
        <f>ROUND(S81/$G$67,4)</f>
        <v>0</v>
      </c>
      <c r="T86" s="104"/>
      <c r="U86" s="102" t="e">
        <f>ROUND(U81/$G$53,4)</f>
        <v>#REF!</v>
      </c>
      <c r="W86" s="102" t="e">
        <f>ROUND(W81/$G$53,4)</f>
        <v>#REF!</v>
      </c>
    </row>
    <row r="87" spans="1:38" x14ac:dyDescent="0.2">
      <c r="C87" s="2" t="s">
        <v>7</v>
      </c>
      <c r="D87" s="10"/>
      <c r="E87" s="14" t="s">
        <v>6</v>
      </c>
      <c r="F87" s="97"/>
      <c r="G87" s="102">
        <f>SUM(I87:AG87)</f>
        <v>1</v>
      </c>
      <c r="H87" s="17"/>
      <c r="I87" s="102">
        <f>ROUND(I82/$G$54,4)</f>
        <v>0</v>
      </c>
      <c r="J87" s="103"/>
      <c r="K87" s="102">
        <f>ROUND(K82/$G$68,4)</f>
        <v>0</v>
      </c>
      <c r="L87" s="103"/>
      <c r="M87" s="102">
        <f>ROUND(M82/$G$82,4)</f>
        <v>0.31759999999999999</v>
      </c>
      <c r="N87" s="104"/>
      <c r="O87" s="102">
        <f>ROUND(O82/$G$82,4)</f>
        <v>0.68240000000000001</v>
      </c>
      <c r="P87" s="104"/>
      <c r="Q87" s="102">
        <f>ROUND(Q82/$G$54,4)</f>
        <v>0</v>
      </c>
      <c r="R87" s="104"/>
      <c r="S87" s="102">
        <f>ROUND(S82/$G$68,4)</f>
        <v>0</v>
      </c>
      <c r="T87" s="104"/>
      <c r="U87" s="102">
        <f>ROUND(U82/$G$54,4)</f>
        <v>0</v>
      </c>
      <c r="W87" s="102">
        <f>ROUND(W82/$G$54,4)</f>
        <v>0</v>
      </c>
    </row>
    <row r="88" spans="1:38" x14ac:dyDescent="0.2">
      <c r="C88" s="54"/>
      <c r="D88" s="10"/>
      <c r="E88" s="14"/>
      <c r="F88" s="17"/>
      <c r="G88" s="93"/>
      <c r="H88" s="17"/>
      <c r="I88" s="103"/>
      <c r="J88" s="103"/>
      <c r="K88" s="103"/>
      <c r="L88" s="103"/>
      <c r="M88" s="103"/>
      <c r="N88" s="104"/>
      <c r="O88" s="103"/>
      <c r="P88" s="104"/>
      <c r="Q88" s="103"/>
      <c r="R88" s="104"/>
      <c r="S88" s="103"/>
      <c r="T88" s="104"/>
      <c r="U88" s="103"/>
      <c r="W88" s="90"/>
    </row>
    <row r="89" spans="1:38" x14ac:dyDescent="0.2">
      <c r="C89" s="123" t="str">
        <f>C19</f>
        <v>Total Composite Factor for FY 2013</v>
      </c>
      <c r="D89" s="10"/>
      <c r="E89" s="14" t="s">
        <v>6</v>
      </c>
      <c r="F89" s="17"/>
      <c r="G89" s="102" t="e">
        <f>SUM(I89:AG89)</f>
        <v>#REF!</v>
      </c>
      <c r="H89" s="17"/>
      <c r="I89" s="102" t="e">
        <f>ROUND(AVERAGE(I85:I87),4)</f>
        <v>#REF!</v>
      </c>
      <c r="J89" s="103"/>
      <c r="K89" s="102">
        <f>ROUND(AVERAGE(K85:K87),4)</f>
        <v>0</v>
      </c>
      <c r="L89" s="103"/>
      <c r="M89" s="102">
        <f>ROUND(AVERAGE(M85:M87),4)</f>
        <v>0.26540000000000002</v>
      </c>
      <c r="N89" s="104"/>
      <c r="O89" s="102">
        <f>ROUND(AVERAGE(O85:O87),4)</f>
        <v>0.73460000000000003</v>
      </c>
      <c r="P89" s="104"/>
      <c r="Q89" s="102" t="e">
        <f>ROUND(AVERAGE(Q85:Q87),4)</f>
        <v>#REF!</v>
      </c>
      <c r="R89" s="104"/>
      <c r="S89" s="102">
        <f>ROUND(AVERAGE(S85:S87),4)</f>
        <v>0</v>
      </c>
      <c r="T89" s="104"/>
      <c r="U89" s="102" t="e">
        <f>ROUND(AVERAGE(U85:U87),4)</f>
        <v>#REF!</v>
      </c>
      <c r="V89" s="111"/>
      <c r="W89" s="102" t="e">
        <f>ROUND(AVERAGE(W85:W87),4)</f>
        <v>#REF!</v>
      </c>
    </row>
    <row r="92" spans="1:38" s="14" customFormat="1" x14ac:dyDescent="0.2">
      <c r="A92" s="19"/>
      <c r="C92" s="122" t="s">
        <v>102</v>
      </c>
      <c r="D92" s="10"/>
      <c r="G92" s="55"/>
      <c r="H92" s="15"/>
      <c r="I92" s="56"/>
      <c r="J92" s="15"/>
      <c r="K92" s="15"/>
      <c r="L92" s="15"/>
      <c r="M92" s="15"/>
      <c r="N92" s="15"/>
      <c r="O92" s="15"/>
      <c r="P92" s="15"/>
      <c r="Q92" s="15"/>
      <c r="R92" s="15"/>
      <c r="T92" s="15"/>
      <c r="V92" s="16"/>
      <c r="W92" s="16"/>
      <c r="X92" s="15"/>
      <c r="Y92" s="15"/>
      <c r="Z92" s="16"/>
      <c r="AA92" s="15"/>
      <c r="AB92" s="15"/>
      <c r="AC92" s="15"/>
      <c r="AD92" s="15"/>
      <c r="AG92" s="16"/>
      <c r="AH92" s="16"/>
      <c r="AI92" s="15"/>
      <c r="AJ92" s="15"/>
      <c r="AK92" s="15"/>
      <c r="AL92" s="15"/>
    </row>
    <row r="93" spans="1:38" s="17" customFormat="1" x14ac:dyDescent="0.2">
      <c r="A93" s="57"/>
      <c r="I93" s="58"/>
      <c r="M93" s="94"/>
      <c r="N93" s="92"/>
      <c r="P93" s="92"/>
      <c r="R93" s="92"/>
      <c r="T93" s="92"/>
      <c r="V93" s="92"/>
      <c r="X93" s="92"/>
      <c r="Z93" s="38"/>
      <c r="AA93" s="38"/>
      <c r="AB93" s="38"/>
      <c r="AG93" s="38"/>
      <c r="AH93" s="38"/>
    </row>
    <row r="94" spans="1:38" s="17" customFormat="1" x14ac:dyDescent="0.2">
      <c r="A94" s="57"/>
      <c r="C94" s="2" t="s">
        <v>2</v>
      </c>
      <c r="D94" s="10"/>
      <c r="E94" s="3" t="s">
        <v>3</v>
      </c>
      <c r="G94" s="84">
        <f>SUM(I94:AG94)</f>
        <v>3102079937.1499996</v>
      </c>
      <c r="I94" s="113">
        <f>I10</f>
        <v>503797716.75</v>
      </c>
      <c r="J94" s="8"/>
      <c r="K94" s="113">
        <f>K10</f>
        <v>465694921.06</v>
      </c>
      <c r="L94" s="8"/>
      <c r="M94" s="113">
        <f>M10</f>
        <v>178307235.72999999</v>
      </c>
      <c r="N94" s="49"/>
      <c r="O94" s="113">
        <f>O10</f>
        <v>494319819.33999997</v>
      </c>
      <c r="P94" s="49"/>
      <c r="Q94" s="113">
        <f>Q10</f>
        <v>1024397447.76</v>
      </c>
      <c r="R94" s="49"/>
      <c r="S94" s="113">
        <f>S10</f>
        <v>435562796.50999999</v>
      </c>
      <c r="T94" s="49"/>
      <c r="U94" s="113"/>
      <c r="V94" s="1"/>
      <c r="W94" s="1"/>
      <c r="X94" s="92"/>
      <c r="Z94" s="38"/>
      <c r="AA94" s="38"/>
      <c r="AB94" s="38"/>
      <c r="AG94" s="38"/>
      <c r="AH94" s="38"/>
    </row>
    <row r="95" spans="1:38" s="17" customFormat="1" x14ac:dyDescent="0.2">
      <c r="A95" s="57"/>
      <c r="C95" s="3" t="s">
        <v>4</v>
      </c>
      <c r="D95" s="10"/>
      <c r="E95" s="3" t="s">
        <v>5</v>
      </c>
      <c r="G95" s="85">
        <f>SUM(I95:AG95)</f>
        <v>1665743</v>
      </c>
      <c r="I95" s="113">
        <f>+I11</f>
        <v>297023</v>
      </c>
      <c r="J95" s="8"/>
      <c r="K95" s="113">
        <f>K11</f>
        <v>247550</v>
      </c>
      <c r="L95" s="8"/>
      <c r="M95" s="113">
        <f>M11</f>
        <v>73346</v>
      </c>
      <c r="N95" s="49"/>
      <c r="O95" s="113">
        <f>O11</f>
        <v>270431</v>
      </c>
      <c r="P95" s="49"/>
      <c r="Q95" s="113">
        <f>Q11</f>
        <v>528545</v>
      </c>
      <c r="R95" s="49"/>
      <c r="S95" s="113">
        <f>S11</f>
        <v>248848</v>
      </c>
      <c r="T95" s="49"/>
      <c r="U95" s="113"/>
      <c r="V95" s="1"/>
      <c r="W95" s="1"/>
      <c r="X95" s="92"/>
      <c r="Z95" s="38"/>
      <c r="AA95" s="38"/>
      <c r="AB95" s="38"/>
      <c r="AG95" s="38"/>
      <c r="AH95" s="38"/>
    </row>
    <row r="96" spans="1:38" s="17" customFormat="1" x14ac:dyDescent="0.2">
      <c r="A96" s="57"/>
      <c r="C96" s="2" t="s">
        <v>15</v>
      </c>
      <c r="D96" s="10"/>
      <c r="E96" s="3" t="s">
        <v>3</v>
      </c>
      <c r="G96" s="84">
        <f>SUM(I96:AG96)</f>
        <v>164356088.96000001</v>
      </c>
      <c r="I96" s="113">
        <f>+I12</f>
        <v>27206253.27</v>
      </c>
      <c r="J96" s="8"/>
      <c r="K96" s="113">
        <f>K12</f>
        <v>23972323.100000001</v>
      </c>
      <c r="L96" s="8"/>
      <c r="M96" s="113">
        <f>M12</f>
        <v>10289510.67</v>
      </c>
      <c r="N96" s="49"/>
      <c r="O96" s="113">
        <f>O12</f>
        <v>22111377.52</v>
      </c>
      <c r="P96" s="49"/>
      <c r="Q96" s="113">
        <f>Q12</f>
        <v>49299476.899999999</v>
      </c>
      <c r="R96" s="49"/>
      <c r="S96" s="113">
        <f>S12</f>
        <v>31477147.5</v>
      </c>
      <c r="T96" s="49"/>
      <c r="U96" s="113"/>
      <c r="V96" s="1"/>
      <c r="W96" s="1"/>
      <c r="X96" s="92"/>
      <c r="Z96" s="38"/>
      <c r="AA96" s="38"/>
      <c r="AB96" s="38"/>
      <c r="AG96" s="38"/>
      <c r="AH96" s="38"/>
    </row>
    <row r="97" spans="1:38" s="17" customFormat="1" x14ac:dyDescent="0.2">
      <c r="A97" s="57"/>
      <c r="C97" s="50" t="s">
        <v>16</v>
      </c>
      <c r="D97" s="10"/>
      <c r="E97" s="3"/>
      <c r="I97" s="1"/>
      <c r="J97" s="4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92"/>
      <c r="Z97" s="38"/>
      <c r="AA97" s="38"/>
      <c r="AB97" s="38"/>
      <c r="AG97" s="38"/>
      <c r="AH97" s="38"/>
    </row>
    <row r="98" spans="1:38" s="17" customFormat="1" x14ac:dyDescent="0.2">
      <c r="A98" s="57"/>
      <c r="I98" s="58"/>
      <c r="M98" s="94"/>
      <c r="N98" s="92"/>
      <c r="P98" s="92"/>
      <c r="R98" s="92"/>
      <c r="T98" s="92"/>
      <c r="V98" s="92"/>
      <c r="W98" s="92"/>
      <c r="X98" s="92"/>
      <c r="Z98" s="38"/>
      <c r="AA98" s="38"/>
      <c r="AB98" s="38"/>
      <c r="AG98" s="38"/>
      <c r="AH98" s="38"/>
    </row>
    <row r="99" spans="1:38" s="17" customFormat="1" x14ac:dyDescent="0.2">
      <c r="A99" s="57"/>
      <c r="C99" s="2" t="s">
        <v>2</v>
      </c>
      <c r="D99" s="10"/>
      <c r="E99" s="14" t="s">
        <v>6</v>
      </c>
      <c r="F99" s="97"/>
      <c r="G99" s="102">
        <f>SUM(I99:AG99)</f>
        <v>0.99999999999999989</v>
      </c>
      <c r="I99" s="102">
        <f>1-SUM(K99:BF99)</f>
        <v>0.16239999999999999</v>
      </c>
      <c r="J99" s="103"/>
      <c r="K99" s="102">
        <f>ROUND(K94/$G$94,4)</f>
        <v>0.15010000000000001</v>
      </c>
      <c r="L99" s="103"/>
      <c r="M99" s="102">
        <f>ROUND(M94/$G$94,4)</f>
        <v>5.7500000000000002E-2</v>
      </c>
      <c r="N99" s="104"/>
      <c r="O99" s="102">
        <f>ROUND(O94/$G$94,4)</f>
        <v>0.15939999999999999</v>
      </c>
      <c r="P99" s="104"/>
      <c r="Q99" s="102">
        <f>ROUND(Q94/$G$94,4)</f>
        <v>0.33019999999999999</v>
      </c>
      <c r="R99" s="104"/>
      <c r="S99" s="102">
        <f>ROUND(S94/$G$94,4)</f>
        <v>0.1404</v>
      </c>
      <c r="T99" s="104"/>
      <c r="U99" s="102"/>
      <c r="V99" s="48"/>
      <c r="W99" s="102"/>
      <c r="X99" s="92"/>
      <c r="Y99" s="105"/>
      <c r="Z99" s="106"/>
      <c r="AA99" s="106"/>
      <c r="AB99" s="106"/>
      <c r="AG99" s="106"/>
      <c r="AH99" s="106"/>
      <c r="AI99" s="105"/>
      <c r="AJ99" s="105"/>
      <c r="AK99" s="105"/>
      <c r="AL99" s="105"/>
    </row>
    <row r="100" spans="1:38" s="17" customFormat="1" x14ac:dyDescent="0.2">
      <c r="A100" s="57"/>
      <c r="C100" s="3" t="s">
        <v>4</v>
      </c>
      <c r="D100" s="10"/>
      <c r="E100" s="14" t="s">
        <v>6</v>
      </c>
      <c r="F100" s="97"/>
      <c r="G100" s="102">
        <f>SUM(I100:AG100)</f>
        <v>1</v>
      </c>
      <c r="I100" s="102">
        <f>1-SUM(K100:BF100)</f>
        <v>0.1784</v>
      </c>
      <c r="J100" s="103"/>
      <c r="K100" s="102">
        <f>ROUND(K95/$G$95,4)</f>
        <v>0.14860000000000001</v>
      </c>
      <c r="L100" s="103"/>
      <c r="M100" s="102">
        <f>ROUND(M95/$G$95,4)</f>
        <v>4.3999999999999997E-2</v>
      </c>
      <c r="N100" s="104"/>
      <c r="O100" s="102">
        <f>ROUND(O95/$G$95,4)</f>
        <v>0.1623</v>
      </c>
      <c r="P100" s="104"/>
      <c r="Q100" s="102">
        <f>ROUND(Q95/$G$95,4)</f>
        <v>0.31730000000000003</v>
      </c>
      <c r="R100" s="104"/>
      <c r="S100" s="102">
        <f>ROUND(S95/$G$95,4)</f>
        <v>0.14940000000000001</v>
      </c>
      <c r="T100" s="104"/>
      <c r="U100" s="102"/>
      <c r="V100" s="48"/>
      <c r="W100" s="102"/>
      <c r="X100" s="92"/>
      <c r="Z100" s="38"/>
      <c r="AA100" s="38"/>
      <c r="AB100" s="38"/>
      <c r="AG100" s="38"/>
      <c r="AH100" s="38"/>
    </row>
    <row r="101" spans="1:38" s="17" customFormat="1" x14ac:dyDescent="0.2">
      <c r="A101" s="57"/>
      <c r="C101" s="2" t="s">
        <v>7</v>
      </c>
      <c r="D101" s="10"/>
      <c r="E101" s="14" t="s">
        <v>6</v>
      </c>
      <c r="F101" s="97"/>
      <c r="G101" s="102">
        <f>SUM(I101:AG101)</f>
        <v>1</v>
      </c>
      <c r="I101" s="102">
        <f>1-SUM(K101:BF101)</f>
        <v>0.16549999999999998</v>
      </c>
      <c r="J101" s="103"/>
      <c r="K101" s="102">
        <f>ROUND(K96/$G$96,4)</f>
        <v>0.1459</v>
      </c>
      <c r="L101" s="103"/>
      <c r="M101" s="102">
        <f>ROUND(M96/$G$96,4)</f>
        <v>6.2600000000000003E-2</v>
      </c>
      <c r="N101" s="104"/>
      <c r="O101" s="102">
        <f>ROUND(O96/$G$96,4)</f>
        <v>0.13450000000000001</v>
      </c>
      <c r="P101" s="104"/>
      <c r="Q101" s="102">
        <f>ROUND(Q96/$G$96,4)</f>
        <v>0.3</v>
      </c>
      <c r="R101" s="104"/>
      <c r="S101" s="102">
        <f>ROUND(S96/$G$96,4)</f>
        <v>0.1915</v>
      </c>
      <c r="T101" s="104"/>
      <c r="U101" s="102"/>
      <c r="V101" s="48"/>
      <c r="W101" s="102"/>
      <c r="X101" s="92"/>
      <c r="Z101" s="38"/>
      <c r="AA101" s="38"/>
      <c r="AB101" s="38"/>
      <c r="AG101" s="38"/>
      <c r="AH101" s="38"/>
    </row>
    <row r="102" spans="1:38" s="17" customFormat="1" x14ac:dyDescent="0.2">
      <c r="A102" s="57"/>
      <c r="C102" s="54"/>
      <c r="D102" s="10"/>
      <c r="E102" s="14"/>
      <c r="G102" s="93"/>
      <c r="I102" s="103"/>
      <c r="J102" s="103"/>
      <c r="K102" s="103"/>
      <c r="L102" s="103"/>
      <c r="M102" s="103"/>
      <c r="N102" s="104"/>
      <c r="O102" s="103"/>
      <c r="P102" s="104"/>
      <c r="Q102" s="103"/>
      <c r="R102" s="104"/>
      <c r="S102" s="103"/>
      <c r="T102" s="104"/>
      <c r="U102" s="103"/>
      <c r="V102" s="48"/>
      <c r="W102" s="90"/>
      <c r="X102" s="92"/>
      <c r="Z102" s="38"/>
      <c r="AA102" s="38"/>
      <c r="AB102" s="38"/>
      <c r="AG102" s="38"/>
      <c r="AH102" s="38"/>
    </row>
    <row r="103" spans="1:38" s="17" customFormat="1" x14ac:dyDescent="0.2">
      <c r="A103" s="57"/>
      <c r="C103" s="123" t="str">
        <f>C19</f>
        <v>Total Composite Factor for FY 2013</v>
      </c>
      <c r="D103" s="10"/>
      <c r="E103" s="14" t="s">
        <v>6</v>
      </c>
      <c r="G103" s="102">
        <f>SUM(I103:AG103)</f>
        <v>0.99999999999999989</v>
      </c>
      <c r="I103" s="102">
        <f>1-SUM(K103:AK103)</f>
        <v>0.16879999999999995</v>
      </c>
      <c r="J103" s="103"/>
      <c r="K103" s="102">
        <f>ROUND(AVERAGE(K99:K101),4)</f>
        <v>0.1482</v>
      </c>
      <c r="L103" s="103"/>
      <c r="M103" s="102">
        <f>ROUND(AVERAGE(M99:M101),4)</f>
        <v>5.4699999999999999E-2</v>
      </c>
      <c r="N103" s="104"/>
      <c r="O103" s="102">
        <f>ROUND(AVERAGE(O99:O101),4)</f>
        <v>0.15210000000000001</v>
      </c>
      <c r="P103" s="104"/>
      <c r="Q103" s="102">
        <f>ROUND(AVERAGE(Q99:Q101),4)</f>
        <v>0.31580000000000003</v>
      </c>
      <c r="R103" s="104"/>
      <c r="S103" s="102">
        <f>ROUND(AVERAGE(S99:S101),4)</f>
        <v>0.16039999999999999</v>
      </c>
      <c r="T103" s="104"/>
      <c r="U103" s="102"/>
      <c r="V103" s="111"/>
      <c r="W103" s="102"/>
      <c r="X103" s="92"/>
      <c r="Z103" s="38"/>
      <c r="AA103" s="38"/>
      <c r="AB103" s="38"/>
      <c r="AG103" s="38"/>
      <c r="AH103" s="38"/>
    </row>
    <row r="104" spans="1:38" s="17" customFormat="1" x14ac:dyDescent="0.2">
      <c r="A104" s="57"/>
      <c r="C104" s="54"/>
      <c r="D104" s="10"/>
      <c r="E104" s="14"/>
      <c r="I104" s="59"/>
      <c r="N104" s="92"/>
      <c r="O104" s="93"/>
      <c r="P104" s="92"/>
      <c r="R104" s="92"/>
      <c r="T104" s="92"/>
      <c r="V104" s="92"/>
      <c r="X104" s="92"/>
      <c r="Z104" s="38"/>
      <c r="AA104" s="38"/>
      <c r="AB104" s="38"/>
      <c r="AG104" s="38"/>
      <c r="AH104" s="38"/>
    </row>
    <row r="106" spans="1:38" s="14" customFormat="1" x14ac:dyDescent="0.2">
      <c r="A106" s="19"/>
      <c r="C106" s="99" t="s">
        <v>101</v>
      </c>
      <c r="D106" s="10"/>
      <c r="G106" s="55"/>
      <c r="H106" s="15"/>
      <c r="I106" s="56"/>
      <c r="J106" s="15"/>
      <c r="K106" s="15"/>
      <c r="L106" s="15"/>
      <c r="M106" s="15"/>
      <c r="N106" s="15"/>
      <c r="O106" s="15"/>
      <c r="P106" s="15"/>
      <c r="Q106" s="15"/>
      <c r="R106" s="15"/>
      <c r="T106" s="15"/>
      <c r="V106" s="16"/>
      <c r="W106" s="16"/>
      <c r="X106" s="15"/>
      <c r="Y106" s="15"/>
      <c r="Z106" s="16"/>
      <c r="AA106" s="15"/>
      <c r="AB106" s="15"/>
      <c r="AC106" s="15"/>
      <c r="AD106" s="15"/>
      <c r="AG106" s="16"/>
      <c r="AH106" s="16"/>
      <c r="AI106" s="15"/>
      <c r="AJ106" s="15"/>
      <c r="AK106" s="15"/>
      <c r="AL106" s="15"/>
    </row>
    <row r="107" spans="1:38" s="17" customFormat="1" x14ac:dyDescent="0.2">
      <c r="A107" s="57"/>
      <c r="I107" s="58"/>
      <c r="M107" s="94"/>
      <c r="N107" s="92"/>
      <c r="P107" s="92"/>
      <c r="R107" s="92"/>
      <c r="T107" s="92"/>
      <c r="V107" s="92"/>
      <c r="X107" s="92"/>
      <c r="Z107" s="38"/>
      <c r="AA107" s="38"/>
      <c r="AB107" s="38"/>
      <c r="AG107" s="38"/>
      <c r="AH107" s="38"/>
    </row>
    <row r="108" spans="1:38" s="17" customFormat="1" x14ac:dyDescent="0.2">
      <c r="A108" s="57"/>
      <c r="C108" s="2" t="s">
        <v>2</v>
      </c>
      <c r="D108" s="10"/>
      <c r="E108" s="3" t="s">
        <v>3</v>
      </c>
      <c r="G108" s="84">
        <f>SUM(I108:AG108)</f>
        <v>4694319487.3199997</v>
      </c>
      <c r="I108" s="113">
        <f>I10</f>
        <v>503797716.75</v>
      </c>
      <c r="J108" s="8"/>
      <c r="K108" s="113"/>
      <c r="L108" s="8"/>
      <c r="M108" s="113"/>
      <c r="N108" s="49"/>
      <c r="O108" s="113"/>
      <c r="P108" s="49"/>
      <c r="Q108" s="113"/>
      <c r="R108" s="49"/>
      <c r="S108" s="113"/>
      <c r="T108" s="49"/>
      <c r="U108" s="113">
        <f>U10</f>
        <v>2909762764.3699999</v>
      </c>
      <c r="V108" s="48"/>
      <c r="W108" s="113">
        <f>W10</f>
        <v>1280759006.2</v>
      </c>
      <c r="X108" s="92"/>
      <c r="Z108" s="38"/>
      <c r="AA108" s="38"/>
      <c r="AB108" s="38"/>
      <c r="AG108" s="38"/>
      <c r="AH108" s="38"/>
    </row>
    <row r="109" spans="1:38" s="17" customFormat="1" x14ac:dyDescent="0.2">
      <c r="A109" s="57"/>
      <c r="C109" s="3" t="s">
        <v>4</v>
      </c>
      <c r="D109" s="10"/>
      <c r="E109" s="3" t="s">
        <v>5</v>
      </c>
      <c r="G109" s="85" t="e">
        <f>SUM(I109:AG109)</f>
        <v>#REF!</v>
      </c>
      <c r="I109" s="113">
        <f>I11</f>
        <v>297023</v>
      </c>
      <c r="J109" s="8"/>
      <c r="K109" s="113"/>
      <c r="L109" s="8"/>
      <c r="M109" s="113"/>
      <c r="N109" s="49"/>
      <c r="O109" s="113"/>
      <c r="P109" s="49"/>
      <c r="Q109" s="113"/>
      <c r="R109" s="49"/>
      <c r="S109" s="113"/>
      <c r="T109" s="49"/>
      <c r="U109" s="113" t="e">
        <f>U11</f>
        <v>#REF!</v>
      </c>
      <c r="V109" s="48"/>
      <c r="W109" s="113" t="e">
        <f>W11</f>
        <v>#REF!</v>
      </c>
      <c r="X109" s="92"/>
      <c r="Z109" s="38"/>
      <c r="AA109" s="38"/>
      <c r="AB109" s="38"/>
      <c r="AG109" s="38"/>
      <c r="AH109" s="38"/>
    </row>
    <row r="110" spans="1:38" s="17" customFormat="1" x14ac:dyDescent="0.2">
      <c r="A110" s="57"/>
      <c r="C110" s="2" t="s">
        <v>15</v>
      </c>
      <c r="D110" s="10"/>
      <c r="E110" s="3" t="s">
        <v>3</v>
      </c>
      <c r="G110" s="84">
        <f>SUM(I110:AG110)</f>
        <v>188724097.38999999</v>
      </c>
      <c r="I110" s="113">
        <f>I12</f>
        <v>27206253.27</v>
      </c>
      <c r="J110" s="8"/>
      <c r="K110" s="113"/>
      <c r="L110" s="8"/>
      <c r="M110" s="113"/>
      <c r="N110" s="49"/>
      <c r="O110" s="113"/>
      <c r="P110" s="49"/>
      <c r="Q110" s="113"/>
      <c r="R110" s="49"/>
      <c r="S110" s="113"/>
      <c r="T110" s="49"/>
      <c r="U110" s="113">
        <f>U12</f>
        <v>98525277.590000004</v>
      </c>
      <c r="V110" s="48"/>
      <c r="W110" s="113">
        <f>W12</f>
        <v>62992566.529999994</v>
      </c>
      <c r="X110" s="92"/>
      <c r="Z110" s="38"/>
      <c r="AA110" s="38"/>
      <c r="AB110" s="38"/>
      <c r="AG110" s="38"/>
      <c r="AH110" s="38"/>
    </row>
    <row r="111" spans="1:38" s="17" customFormat="1" x14ac:dyDescent="0.2">
      <c r="A111" s="57"/>
      <c r="C111" s="50" t="s">
        <v>16</v>
      </c>
      <c r="D111" s="10"/>
      <c r="E111" s="3"/>
      <c r="I111" s="1"/>
      <c r="J111" s="4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48"/>
      <c r="W111" s="18"/>
      <c r="X111" s="92"/>
      <c r="Z111" s="38"/>
      <c r="AA111" s="38"/>
      <c r="AB111" s="38"/>
      <c r="AG111" s="38"/>
      <c r="AH111" s="38"/>
    </row>
    <row r="112" spans="1:38" s="17" customFormat="1" x14ac:dyDescent="0.2">
      <c r="A112" s="57"/>
      <c r="I112" s="58"/>
      <c r="M112" s="94"/>
      <c r="N112" s="92"/>
      <c r="P112" s="92"/>
      <c r="R112" s="92"/>
      <c r="T112" s="92"/>
      <c r="V112" s="48"/>
      <c r="W112" s="5"/>
      <c r="X112" s="92"/>
      <c r="Z112" s="38"/>
      <c r="AA112" s="38"/>
      <c r="AB112" s="38"/>
      <c r="AG112" s="38"/>
      <c r="AH112" s="38"/>
    </row>
    <row r="113" spans="1:61" s="17" customFormat="1" x14ac:dyDescent="0.2">
      <c r="A113" s="57"/>
      <c r="C113" s="2" t="s">
        <v>2</v>
      </c>
      <c r="D113" s="10"/>
      <c r="E113" s="14" t="s">
        <v>6</v>
      </c>
      <c r="F113" s="97"/>
      <c r="G113" s="102">
        <f>SUM(I113:AG113)</f>
        <v>1</v>
      </c>
      <c r="I113" s="102">
        <f>1-SUM(K113:BF113)</f>
        <v>0.10739999999999994</v>
      </c>
      <c r="J113" s="103"/>
      <c r="K113" s="102"/>
      <c r="L113" s="103"/>
      <c r="M113" s="102"/>
      <c r="N113" s="104"/>
      <c r="O113" s="102"/>
      <c r="P113" s="104"/>
      <c r="Q113" s="102"/>
      <c r="R113" s="104"/>
      <c r="S113" s="102"/>
      <c r="T113" s="104"/>
      <c r="U113" s="102">
        <f>ROUND(U108/$G$108,4)</f>
        <v>0.61980000000000002</v>
      </c>
      <c r="V113" s="48"/>
      <c r="W113" s="102">
        <f>ROUND(W108/$G$108,4)</f>
        <v>0.27279999999999999</v>
      </c>
      <c r="X113" s="92"/>
      <c r="Y113" s="105"/>
      <c r="Z113" s="106"/>
      <c r="AA113" s="106"/>
      <c r="AB113" s="106"/>
      <c r="AG113" s="106"/>
      <c r="AH113" s="106"/>
      <c r="AI113" s="105"/>
      <c r="AJ113" s="105"/>
      <c r="AK113" s="105"/>
      <c r="AL113" s="105"/>
    </row>
    <row r="114" spans="1:61" s="17" customFormat="1" x14ac:dyDescent="0.2">
      <c r="A114" s="57"/>
      <c r="C114" s="3" t="s">
        <v>4</v>
      </c>
      <c r="D114" s="10"/>
      <c r="E114" s="14" t="s">
        <v>6</v>
      </c>
      <c r="F114" s="97"/>
      <c r="G114" s="102" t="e">
        <f>SUM(I114:AG114)</f>
        <v>#REF!</v>
      </c>
      <c r="I114" s="102" t="e">
        <f>1-SUM(K114:BF114)</f>
        <v>#REF!</v>
      </c>
      <c r="J114" s="103"/>
      <c r="K114" s="102"/>
      <c r="L114" s="103"/>
      <c r="M114" s="102"/>
      <c r="N114" s="104"/>
      <c r="O114" s="102"/>
      <c r="P114" s="104"/>
      <c r="Q114" s="102"/>
      <c r="R114" s="104"/>
      <c r="S114" s="102"/>
      <c r="T114" s="104"/>
      <c r="U114" s="102" t="e">
        <f>ROUND(U109/$G$109,4)</f>
        <v>#REF!</v>
      </c>
      <c r="V114" s="48"/>
      <c r="W114" s="102" t="e">
        <f>ROUND(W109/$G$109,4)</f>
        <v>#REF!</v>
      </c>
      <c r="X114" s="92"/>
      <c r="Z114" s="38"/>
      <c r="AA114" s="38"/>
      <c r="AB114" s="38"/>
      <c r="AG114" s="38"/>
      <c r="AH114" s="38"/>
    </row>
    <row r="115" spans="1:61" s="17" customFormat="1" x14ac:dyDescent="0.2">
      <c r="A115" s="57"/>
      <c r="C115" s="2" t="s">
        <v>7</v>
      </c>
      <c r="D115" s="10"/>
      <c r="E115" s="14" t="s">
        <v>6</v>
      </c>
      <c r="F115" s="97"/>
      <c r="G115" s="102">
        <f>SUM(I115:AG115)</f>
        <v>1</v>
      </c>
      <c r="I115" s="102">
        <f>1-SUM(K115:BF115)</f>
        <v>0.14410000000000001</v>
      </c>
      <c r="J115" s="103"/>
      <c r="K115" s="102"/>
      <c r="L115" s="103"/>
      <c r="M115" s="102"/>
      <c r="N115" s="104"/>
      <c r="O115" s="102"/>
      <c r="P115" s="104"/>
      <c r="Q115" s="102"/>
      <c r="R115" s="104"/>
      <c r="S115" s="102"/>
      <c r="T115" s="104"/>
      <c r="U115" s="102">
        <f>ROUND(U110/$G$110,4)</f>
        <v>0.52210000000000001</v>
      </c>
      <c r="V115" s="48"/>
      <c r="W115" s="102">
        <f>ROUND(W110/$G$110,4)</f>
        <v>0.33379999999999999</v>
      </c>
      <c r="X115" s="92"/>
      <c r="Z115" s="38"/>
      <c r="AA115" s="38"/>
      <c r="AB115" s="38"/>
      <c r="AG115" s="38"/>
      <c r="AH115" s="38"/>
    </row>
    <row r="116" spans="1:61" s="17" customFormat="1" x14ac:dyDescent="0.2">
      <c r="A116" s="57"/>
      <c r="C116" s="54"/>
      <c r="D116" s="10"/>
      <c r="E116" s="14"/>
      <c r="G116" s="93"/>
      <c r="I116" s="103"/>
      <c r="J116" s="103"/>
      <c r="K116" s="103"/>
      <c r="L116" s="103"/>
      <c r="M116" s="103"/>
      <c r="N116" s="104"/>
      <c r="O116" s="103"/>
      <c r="P116" s="104"/>
      <c r="Q116" s="103"/>
      <c r="R116" s="104"/>
      <c r="S116" s="103"/>
      <c r="T116" s="104"/>
      <c r="U116" s="103"/>
      <c r="V116" s="48"/>
      <c r="W116" s="90"/>
      <c r="X116" s="92"/>
      <c r="Z116" s="38"/>
      <c r="AA116" s="38"/>
      <c r="AB116" s="38"/>
      <c r="AG116" s="38"/>
      <c r="AH116" s="38"/>
    </row>
    <row r="117" spans="1:61" s="17" customFormat="1" x14ac:dyDescent="0.2">
      <c r="A117" s="57"/>
      <c r="C117" s="123" t="str">
        <f>C19</f>
        <v>Total Composite Factor for FY 2013</v>
      </c>
      <c r="D117" s="10"/>
      <c r="E117" s="14" t="s">
        <v>6</v>
      </c>
      <c r="G117" s="102" t="e">
        <f>SUM(I117:AG117)</f>
        <v>#REF!</v>
      </c>
      <c r="I117" s="102" t="e">
        <f>1-SUM(K117:BF117)</f>
        <v>#REF!</v>
      </c>
      <c r="J117" s="103"/>
      <c r="K117" s="102"/>
      <c r="L117" s="103"/>
      <c r="M117" s="102"/>
      <c r="N117" s="104"/>
      <c r="O117" s="102"/>
      <c r="P117" s="104"/>
      <c r="Q117" s="102"/>
      <c r="R117" s="104"/>
      <c r="S117" s="102"/>
      <c r="T117" s="104"/>
      <c r="U117" s="102" t="e">
        <f>ROUND(AVERAGE(U113:U115),4)</f>
        <v>#REF!</v>
      </c>
      <c r="V117" s="111"/>
      <c r="W117" s="102" t="e">
        <f>ROUND(AVERAGE(W113:W115),4)</f>
        <v>#REF!</v>
      </c>
      <c r="X117" s="92"/>
      <c r="Z117" s="38"/>
      <c r="AA117" s="38"/>
      <c r="AB117" s="38"/>
      <c r="AG117" s="38"/>
      <c r="AH117" s="38"/>
    </row>
    <row r="118" spans="1:61" s="17" customFormat="1" x14ac:dyDescent="0.2">
      <c r="A118" s="57"/>
      <c r="C118" s="54"/>
      <c r="D118" s="10"/>
      <c r="E118" s="14"/>
      <c r="I118" s="59"/>
      <c r="N118" s="92"/>
      <c r="O118" s="93"/>
      <c r="P118" s="92"/>
      <c r="R118" s="92"/>
      <c r="T118" s="92"/>
      <c r="V118" s="92"/>
      <c r="X118" s="92"/>
      <c r="Z118" s="38"/>
      <c r="AA118" s="38"/>
      <c r="AB118" s="38"/>
      <c r="AG118" s="38"/>
      <c r="AH118" s="38"/>
    </row>
    <row r="121" spans="1:61" s="6" customFormat="1" x14ac:dyDescent="0.2">
      <c r="A121" s="43"/>
      <c r="C121" s="136" t="s">
        <v>107</v>
      </c>
      <c r="I121" s="82"/>
      <c r="N121" s="20"/>
      <c r="P121" s="20"/>
      <c r="R121" s="20"/>
      <c r="T121" s="20"/>
      <c r="V121" s="20"/>
      <c r="X121" s="20"/>
    </row>
    <row r="122" spans="1:61" s="6" customFormat="1" ht="25.5" x14ac:dyDescent="0.2">
      <c r="A122" s="45"/>
      <c r="B122" s="46"/>
      <c r="C122" s="47"/>
      <c r="E122" s="20"/>
      <c r="G122" s="7" t="s">
        <v>1</v>
      </c>
      <c r="I122" s="83" t="s">
        <v>13</v>
      </c>
      <c r="K122" s="7" t="s">
        <v>10</v>
      </c>
      <c r="M122" s="7" t="s">
        <v>11</v>
      </c>
      <c r="N122" s="20"/>
      <c r="O122" s="7" t="s">
        <v>12</v>
      </c>
      <c r="P122" s="20"/>
      <c r="Q122" s="112" t="s">
        <v>83</v>
      </c>
      <c r="R122" s="20"/>
      <c r="S122" s="7" t="s">
        <v>82</v>
      </c>
      <c r="T122" s="20"/>
      <c r="U122" s="7" t="s">
        <v>14</v>
      </c>
      <c r="V122" s="20"/>
      <c r="W122" s="139"/>
      <c r="X122" s="20"/>
      <c r="Y122" s="20"/>
      <c r="Z122" s="20"/>
      <c r="AA122" s="139"/>
      <c r="AB122" s="139"/>
      <c r="AC122" s="139"/>
      <c r="AD122" s="139"/>
      <c r="AE122" s="20"/>
      <c r="AF122" s="20"/>
      <c r="AG122" s="20"/>
      <c r="AH122" s="20"/>
      <c r="AI122" s="139"/>
      <c r="AJ122" s="139"/>
      <c r="AK122" s="139"/>
      <c r="AL122" s="139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</row>
    <row r="123" spans="1:61" x14ac:dyDescent="0.2">
      <c r="G123" s="48"/>
      <c r="H123" s="48"/>
      <c r="I123" s="49"/>
      <c r="W123" s="48"/>
      <c r="Y123" s="48"/>
      <c r="Z123" s="117"/>
      <c r="AA123" s="117"/>
      <c r="AB123" s="117"/>
      <c r="AC123" s="48"/>
      <c r="AD123" s="48"/>
      <c r="AE123" s="48"/>
      <c r="AF123" s="48"/>
      <c r="AG123" s="117"/>
      <c r="AH123" s="117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  <c r="BG123" s="48"/>
      <c r="BH123" s="48"/>
      <c r="BI123" s="48"/>
    </row>
    <row r="124" spans="1:61" s="3" customFormat="1" x14ac:dyDescent="0.2">
      <c r="A124" s="19"/>
      <c r="C124" s="2" t="s">
        <v>2</v>
      </c>
      <c r="D124" s="10"/>
      <c r="E124" s="3" t="s">
        <v>3</v>
      </c>
      <c r="G124" s="84">
        <f>SUM(I124:AG124)</f>
        <v>3413560481.1199999</v>
      </c>
      <c r="H124" s="49"/>
      <c r="I124" s="113">
        <f>I10</f>
        <v>503797716.75</v>
      </c>
      <c r="J124" s="8"/>
      <c r="K124" s="113"/>
      <c r="L124" s="8"/>
      <c r="M124" s="113"/>
      <c r="N124" s="49"/>
      <c r="O124" s="113"/>
      <c r="P124" s="49"/>
      <c r="Q124" s="113"/>
      <c r="R124" s="49"/>
      <c r="S124" s="113"/>
      <c r="T124" s="49"/>
      <c r="U124" s="113">
        <f>U10</f>
        <v>2909762764.3699999</v>
      </c>
      <c r="V124" s="49"/>
      <c r="W124" s="49"/>
      <c r="X124" s="49"/>
      <c r="Y124" s="49"/>
      <c r="Z124" s="49"/>
      <c r="AA124" s="49"/>
      <c r="AB124" s="49"/>
      <c r="AC124" s="49"/>
      <c r="AD124" s="49"/>
      <c r="AE124" s="96"/>
      <c r="AF124" s="96"/>
      <c r="AG124" s="49"/>
      <c r="AH124" s="49"/>
      <c r="AI124" s="49"/>
      <c r="AJ124" s="49"/>
      <c r="AK124" s="49"/>
      <c r="AL124" s="49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</row>
    <row r="125" spans="1:61" s="3" customFormat="1" x14ac:dyDescent="0.2">
      <c r="A125" s="19"/>
      <c r="C125" s="3" t="s">
        <v>4</v>
      </c>
      <c r="D125" s="10"/>
      <c r="E125" s="3" t="s">
        <v>5</v>
      </c>
      <c r="G125" s="85" t="e">
        <f>SUM(I125:AG125)</f>
        <v>#REF!</v>
      </c>
      <c r="H125" s="49"/>
      <c r="I125" s="114">
        <f>I11</f>
        <v>297023</v>
      </c>
      <c r="J125" s="8"/>
      <c r="K125" s="113"/>
      <c r="L125" s="8"/>
      <c r="M125" s="113"/>
      <c r="N125" s="49"/>
      <c r="O125" s="113"/>
      <c r="P125" s="49"/>
      <c r="Q125" s="113"/>
      <c r="R125" s="49"/>
      <c r="S125" s="113"/>
      <c r="T125" s="49"/>
      <c r="U125" s="113" t="e">
        <f>U11</f>
        <v>#REF!</v>
      </c>
      <c r="V125" s="49"/>
      <c r="W125" s="49"/>
      <c r="X125" s="49"/>
      <c r="Y125" s="49"/>
      <c r="Z125" s="49"/>
      <c r="AA125" s="49"/>
      <c r="AB125" s="49"/>
      <c r="AC125" s="49"/>
      <c r="AD125" s="49"/>
      <c r="AE125" s="96"/>
      <c r="AF125" s="96"/>
      <c r="AG125" s="49"/>
      <c r="AH125" s="49"/>
      <c r="AI125" s="49"/>
      <c r="AJ125" s="49"/>
      <c r="AK125" s="49"/>
      <c r="AL125" s="49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</row>
    <row r="126" spans="1:61" s="3" customFormat="1" x14ac:dyDescent="0.2">
      <c r="A126" s="19"/>
      <c r="C126" s="2" t="s">
        <v>15</v>
      </c>
      <c r="D126" s="10"/>
      <c r="E126" s="3" t="s">
        <v>3</v>
      </c>
      <c r="G126" s="84">
        <f>SUM(I126:AG126)</f>
        <v>125731530.86</v>
      </c>
      <c r="H126" s="49"/>
      <c r="I126" s="114">
        <f>I12</f>
        <v>27206253.27</v>
      </c>
      <c r="J126" s="8"/>
      <c r="K126" s="113"/>
      <c r="L126" s="8"/>
      <c r="M126" s="114"/>
      <c r="N126" s="49"/>
      <c r="O126" s="114"/>
      <c r="P126" s="49"/>
      <c r="Q126" s="113"/>
      <c r="R126" s="49"/>
      <c r="S126" s="113"/>
      <c r="T126" s="49"/>
      <c r="U126" s="113">
        <f>U12</f>
        <v>98525277.590000004</v>
      </c>
      <c r="V126" s="49"/>
      <c r="W126" s="49"/>
      <c r="X126" s="49"/>
      <c r="Y126" s="49"/>
      <c r="Z126" s="49"/>
      <c r="AA126" s="49"/>
      <c r="AB126" s="49"/>
      <c r="AC126" s="49"/>
      <c r="AD126" s="49"/>
      <c r="AE126" s="96"/>
      <c r="AF126" s="96"/>
      <c r="AG126" s="49"/>
      <c r="AH126" s="49"/>
      <c r="AI126" s="49"/>
      <c r="AJ126" s="49"/>
      <c r="AK126" s="49"/>
      <c r="AL126" s="49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</row>
    <row r="127" spans="1:61" s="3" customFormat="1" x14ac:dyDescent="0.2">
      <c r="A127" s="19"/>
      <c r="C127" s="50" t="s">
        <v>16</v>
      </c>
      <c r="D127" s="10"/>
      <c r="G127" s="51"/>
      <c r="H127" s="8"/>
      <c r="I127" s="1"/>
      <c r="J127" s="4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8"/>
      <c r="X127" s="1"/>
      <c r="Y127" s="18"/>
      <c r="Z127" s="96"/>
      <c r="AA127" s="18"/>
      <c r="AB127" s="18"/>
      <c r="AC127" s="18"/>
      <c r="AD127" s="18"/>
      <c r="AE127" s="96"/>
      <c r="AF127" s="96"/>
      <c r="AG127" s="96"/>
      <c r="AH127" s="96"/>
      <c r="AI127" s="1"/>
      <c r="AJ127" s="1"/>
      <c r="AK127" s="1"/>
      <c r="AL127" s="1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</row>
    <row r="128" spans="1:61" x14ac:dyDescent="0.2">
      <c r="A128" s="52" t="s">
        <v>9</v>
      </c>
      <c r="B128" s="47"/>
      <c r="D128" s="10"/>
      <c r="G128" s="53"/>
      <c r="I128" s="110"/>
      <c r="W128" s="48"/>
      <c r="Y128" s="48"/>
      <c r="Z128" s="117"/>
      <c r="AA128" s="117"/>
      <c r="AB128" s="117"/>
      <c r="AC128" s="48"/>
      <c r="AD128" s="48"/>
      <c r="AE128" s="48"/>
      <c r="AF128" s="48"/>
      <c r="AG128" s="117"/>
      <c r="AH128" s="117"/>
      <c r="AI128" s="53"/>
      <c r="AJ128" s="53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  <c r="BG128" s="48"/>
      <c r="BH128" s="48"/>
      <c r="BI128" s="48"/>
    </row>
    <row r="129" spans="1:61" s="14" customFormat="1" x14ac:dyDescent="0.2">
      <c r="A129" s="19"/>
      <c r="C129" s="2" t="s">
        <v>2</v>
      </c>
      <c r="D129" s="10"/>
      <c r="E129" s="14" t="s">
        <v>6</v>
      </c>
      <c r="G129" s="86">
        <f>SUM(I129:AG129)</f>
        <v>1</v>
      </c>
      <c r="H129" s="87"/>
      <c r="I129" s="88">
        <f>1-SUM(K129:BF129)</f>
        <v>0.14759999999999995</v>
      </c>
      <c r="J129" s="87"/>
      <c r="K129" s="86">
        <f>ROUND(K124/$G$10,4)</f>
        <v>0</v>
      </c>
      <c r="L129" s="87"/>
      <c r="M129" s="86">
        <f>ROUND(M124/$G124,4)</f>
        <v>0</v>
      </c>
      <c r="N129" s="90"/>
      <c r="O129" s="86">
        <f>ROUND(O124/$G124,4)</f>
        <v>0</v>
      </c>
      <c r="P129" s="90"/>
      <c r="Q129" s="86">
        <f>ROUND(Q124/$G124,4)</f>
        <v>0</v>
      </c>
      <c r="R129" s="90"/>
      <c r="S129" s="86">
        <f>ROUND(S124/$G124,4)</f>
        <v>0</v>
      </c>
      <c r="T129" s="90"/>
      <c r="U129" s="86">
        <f>ROUND(U124/$G124,4)</f>
        <v>0.85240000000000005</v>
      </c>
      <c r="V129" s="90"/>
      <c r="W129" s="90"/>
      <c r="X129" s="90"/>
      <c r="Y129" s="90"/>
      <c r="Z129" s="16"/>
      <c r="AA129" s="90"/>
      <c r="AB129" s="90"/>
      <c r="AC129" s="90"/>
      <c r="AD129" s="90"/>
      <c r="AE129" s="16"/>
      <c r="AF129" s="16"/>
      <c r="AG129" s="16"/>
      <c r="AH129" s="16"/>
      <c r="AI129" s="90"/>
      <c r="AJ129" s="90"/>
      <c r="AK129" s="90"/>
      <c r="AL129" s="90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</row>
    <row r="130" spans="1:61" s="14" customFormat="1" x14ac:dyDescent="0.2">
      <c r="A130" s="19"/>
      <c r="C130" s="3" t="s">
        <v>4</v>
      </c>
      <c r="D130" s="10"/>
      <c r="E130" s="14" t="s">
        <v>6</v>
      </c>
      <c r="G130" s="89" t="e">
        <f>SUM(I130:AG130)</f>
        <v>#REF!</v>
      </c>
      <c r="H130" s="87"/>
      <c r="I130" s="88" t="e">
        <f>1-SUM(K130:BF130)</f>
        <v>#REF!</v>
      </c>
      <c r="J130" s="87"/>
      <c r="K130" s="86" t="e">
        <f>ROUND(K125/$G$11,4)</f>
        <v>#REF!</v>
      </c>
      <c r="L130" s="87"/>
      <c r="M130" s="86" t="e">
        <f>ROUND(M125/$G125,4)</f>
        <v>#REF!</v>
      </c>
      <c r="N130" s="90"/>
      <c r="O130" s="86" t="e">
        <f>ROUND(O125/$G125,4)</f>
        <v>#REF!</v>
      </c>
      <c r="P130" s="90"/>
      <c r="Q130" s="86" t="e">
        <f>ROUND(Q125/$G125,4)</f>
        <v>#REF!</v>
      </c>
      <c r="R130" s="90"/>
      <c r="S130" s="86" t="e">
        <f>ROUND(S125/$G125,4)</f>
        <v>#REF!</v>
      </c>
      <c r="T130" s="90"/>
      <c r="U130" s="86" t="e">
        <f>ROUND(U125/$G125,4)</f>
        <v>#REF!</v>
      </c>
      <c r="V130" s="90"/>
      <c r="W130" s="90"/>
      <c r="X130" s="90"/>
      <c r="Y130" s="90"/>
      <c r="Z130" s="16"/>
      <c r="AA130" s="90"/>
      <c r="AB130" s="90"/>
      <c r="AC130" s="90"/>
      <c r="AD130" s="90"/>
      <c r="AE130" s="16"/>
      <c r="AF130" s="16"/>
      <c r="AG130" s="16"/>
      <c r="AH130" s="16"/>
      <c r="AI130" s="90"/>
      <c r="AJ130" s="90"/>
      <c r="AK130" s="90"/>
      <c r="AL130" s="90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  <c r="BG130" s="16"/>
      <c r="BH130" s="16"/>
      <c r="BI130" s="16"/>
    </row>
    <row r="131" spans="1:61" s="14" customFormat="1" x14ac:dyDescent="0.2">
      <c r="A131" s="19"/>
      <c r="C131" s="2" t="s">
        <v>7</v>
      </c>
      <c r="D131" s="10"/>
      <c r="E131" s="14" t="s">
        <v>6</v>
      </c>
      <c r="G131" s="89">
        <f>SUM(I131:AG131)</f>
        <v>1</v>
      </c>
      <c r="H131" s="87"/>
      <c r="I131" s="88">
        <f>1-SUM(K131:BF131)</f>
        <v>0.21640000000000004</v>
      </c>
      <c r="J131" s="87"/>
      <c r="K131" s="86">
        <f>ROUND(K126/$G126,4)</f>
        <v>0</v>
      </c>
      <c r="L131" s="87"/>
      <c r="M131" s="86">
        <f>ROUND(M126/$G126,4)</f>
        <v>0</v>
      </c>
      <c r="N131" s="90"/>
      <c r="O131" s="86">
        <f>ROUND(O126/$G126,4)</f>
        <v>0</v>
      </c>
      <c r="P131" s="90"/>
      <c r="Q131" s="86">
        <f>ROUND(Q126/$G126,4)</f>
        <v>0</v>
      </c>
      <c r="R131" s="90"/>
      <c r="S131" s="86">
        <f>ROUND(S126/$G126,4)</f>
        <v>0</v>
      </c>
      <c r="T131" s="90"/>
      <c r="U131" s="86">
        <f>ROUND(U126/$G126,4)</f>
        <v>0.78359999999999996</v>
      </c>
      <c r="V131" s="90"/>
      <c r="W131" s="90"/>
      <c r="X131" s="90"/>
      <c r="Y131" s="90"/>
      <c r="Z131" s="16"/>
      <c r="AA131" s="90"/>
      <c r="AB131" s="90"/>
      <c r="AC131" s="90"/>
      <c r="AD131" s="90"/>
      <c r="AE131" s="16"/>
      <c r="AF131" s="16"/>
      <c r="AG131" s="16"/>
      <c r="AH131" s="16"/>
      <c r="AI131" s="90"/>
      <c r="AJ131" s="90"/>
      <c r="AK131" s="90"/>
      <c r="AL131" s="90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</row>
    <row r="132" spans="1:61" s="14" customFormat="1" x14ac:dyDescent="0.2">
      <c r="A132" s="19"/>
      <c r="C132" s="54"/>
      <c r="D132" s="10"/>
      <c r="G132" s="90"/>
      <c r="H132" s="90"/>
      <c r="I132" s="91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16"/>
      <c r="AA132" s="90"/>
      <c r="AB132" s="90"/>
      <c r="AC132" s="90"/>
      <c r="AD132" s="90"/>
      <c r="AE132" s="16"/>
      <c r="AF132" s="16"/>
      <c r="AG132" s="16"/>
      <c r="AH132" s="16"/>
      <c r="AI132" s="90"/>
      <c r="AJ132" s="90"/>
      <c r="AK132" s="90"/>
      <c r="AL132" s="90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  <c r="BG132" s="16"/>
      <c r="BH132" s="16"/>
      <c r="BI132" s="16"/>
    </row>
    <row r="133" spans="1:61" s="14" customFormat="1" x14ac:dyDescent="0.2">
      <c r="A133" s="19"/>
      <c r="C133" s="123" t="str">
        <f>C19</f>
        <v>Total Composite Factor for FY 2013</v>
      </c>
      <c r="D133" s="10"/>
      <c r="E133" s="14" t="s">
        <v>6</v>
      </c>
      <c r="G133" s="86" t="e">
        <f>SUM(I133:AG133)</f>
        <v>#REF!</v>
      </c>
      <c r="H133" s="87"/>
      <c r="I133" s="102" t="e">
        <f>1-SUM(K133:BF133)</f>
        <v>#REF!</v>
      </c>
      <c r="J133" s="103"/>
      <c r="K133" s="102" t="e">
        <f>ROUND(AVERAGE(K129:K131),4)</f>
        <v>#REF!</v>
      </c>
      <c r="L133" s="103"/>
      <c r="M133" s="102" t="e">
        <f>ROUND(AVERAGE(M129:M131),4)</f>
        <v>#REF!</v>
      </c>
      <c r="N133" s="104"/>
      <c r="O133" s="102" t="e">
        <f>ROUND(AVERAGE(O129:O131),4)</f>
        <v>#REF!</v>
      </c>
      <c r="P133" s="104"/>
      <c r="Q133" s="102" t="e">
        <f>ROUND(AVERAGE(Q129:Q131),4)</f>
        <v>#REF!</v>
      </c>
      <c r="R133" s="104"/>
      <c r="S133" s="102" t="e">
        <f>ROUND(AVERAGE(S129:S131),4)</f>
        <v>#REF!</v>
      </c>
      <c r="T133" s="104"/>
      <c r="U133" s="102" t="e">
        <f>ROUND(AVERAGE(U129:U131),4)</f>
        <v>#REF!</v>
      </c>
      <c r="V133" s="111"/>
      <c r="W133" s="104"/>
      <c r="X133" s="91"/>
      <c r="Y133" s="104"/>
      <c r="Z133" s="91"/>
      <c r="AA133" s="104"/>
      <c r="AB133" s="104"/>
      <c r="AC133" s="104"/>
      <c r="AD133" s="104"/>
      <c r="AE133" s="16"/>
      <c r="AF133" s="16"/>
      <c r="AG133" s="91"/>
      <c r="AH133" s="91"/>
      <c r="AI133" s="104"/>
      <c r="AJ133" s="104"/>
      <c r="AK133" s="104"/>
      <c r="AL133" s="104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  <c r="BG133" s="16"/>
      <c r="BH133" s="16"/>
      <c r="BI133" s="16"/>
    </row>
    <row r="137" spans="1:61" s="6" customFormat="1" x14ac:dyDescent="0.2">
      <c r="A137" s="43"/>
      <c r="C137" s="136" t="s">
        <v>108</v>
      </c>
      <c r="I137" s="82"/>
      <c r="N137" s="20"/>
      <c r="P137" s="20"/>
      <c r="R137" s="20"/>
      <c r="T137" s="20"/>
      <c r="V137" s="20"/>
      <c r="X137" s="20"/>
    </row>
    <row r="138" spans="1:61" s="6" customFormat="1" ht="25.5" x14ac:dyDescent="0.2">
      <c r="A138" s="45"/>
      <c r="B138" s="46"/>
      <c r="C138" s="47"/>
      <c r="E138" s="20"/>
      <c r="G138" s="7" t="s">
        <v>1</v>
      </c>
      <c r="I138" s="83" t="s">
        <v>13</v>
      </c>
      <c r="K138" s="7" t="s">
        <v>10</v>
      </c>
      <c r="M138" s="7" t="s">
        <v>11</v>
      </c>
      <c r="N138" s="20"/>
      <c r="O138" s="7" t="s">
        <v>12</v>
      </c>
      <c r="P138" s="20"/>
      <c r="Q138" s="112" t="s">
        <v>83</v>
      </c>
      <c r="R138" s="20"/>
      <c r="S138" s="7" t="s">
        <v>82</v>
      </c>
      <c r="T138" s="20"/>
      <c r="U138" s="7" t="s">
        <v>14</v>
      </c>
      <c r="V138" s="20"/>
      <c r="W138" s="139"/>
      <c r="X138" s="20"/>
      <c r="Y138" s="20"/>
      <c r="Z138" s="20"/>
      <c r="AA138" s="139"/>
      <c r="AB138" s="139"/>
      <c r="AC138" s="139"/>
      <c r="AD138" s="139"/>
      <c r="AE138" s="7"/>
      <c r="AF138" s="20"/>
      <c r="AG138" s="20"/>
      <c r="AH138" s="20"/>
      <c r="AI138" s="139"/>
      <c r="AJ138" s="139"/>
      <c r="AK138" s="139"/>
      <c r="AL138" s="139"/>
      <c r="AM138" s="20"/>
      <c r="AN138" s="20"/>
      <c r="AO138" s="20"/>
    </row>
    <row r="139" spans="1:61" x14ac:dyDescent="0.2">
      <c r="G139" s="48"/>
      <c r="H139" s="48"/>
      <c r="I139" s="49"/>
      <c r="W139" s="48"/>
      <c r="Y139" s="48"/>
      <c r="Z139" s="117"/>
      <c r="AA139" s="117"/>
      <c r="AB139" s="117"/>
      <c r="AC139" s="48"/>
      <c r="AD139" s="48"/>
      <c r="AG139" s="117"/>
      <c r="AH139" s="117"/>
      <c r="AI139" s="48"/>
      <c r="AJ139" s="48"/>
      <c r="AK139" s="48"/>
      <c r="AL139" s="48"/>
      <c r="AM139" s="48"/>
      <c r="AN139" s="48"/>
      <c r="AO139" s="48"/>
    </row>
    <row r="140" spans="1:61" s="3" customFormat="1" x14ac:dyDescent="0.2">
      <c r="A140" s="19"/>
      <c r="C140" s="2" t="s">
        <v>2</v>
      </c>
      <c r="D140" s="10"/>
      <c r="E140" s="3" t="s">
        <v>3</v>
      </c>
      <c r="G140" s="84">
        <f>SUM(I140:AG140)</f>
        <v>6035296572.7199993</v>
      </c>
      <c r="H140" s="49"/>
      <c r="I140" s="113">
        <f>I10</f>
        <v>503797716.75</v>
      </c>
      <c r="J140" s="8"/>
      <c r="K140" s="113">
        <f>K10</f>
        <v>465694921.06</v>
      </c>
      <c r="L140" s="8"/>
      <c r="M140" s="113">
        <f>M10</f>
        <v>178307235.72999999</v>
      </c>
      <c r="N140" s="49"/>
      <c r="O140" s="113">
        <f>O10</f>
        <v>494319819.33999997</v>
      </c>
      <c r="P140" s="49"/>
      <c r="Q140" s="113">
        <f>Q10</f>
        <v>1024397447.76</v>
      </c>
      <c r="R140" s="49"/>
      <c r="S140" s="113">
        <f>S10</f>
        <v>435562796.50999999</v>
      </c>
      <c r="T140" s="49"/>
      <c r="U140" s="113">
        <f>U10</f>
        <v>2909762764.3699999</v>
      </c>
      <c r="V140" s="49"/>
      <c r="W140" s="49"/>
      <c r="X140" s="49"/>
      <c r="Y140" s="49"/>
      <c r="Z140" s="49"/>
      <c r="AA140" s="49"/>
      <c r="AB140" s="49"/>
      <c r="AC140" s="49"/>
      <c r="AD140" s="49"/>
      <c r="AE140" s="113">
        <f>AE10</f>
        <v>23453871.199999999</v>
      </c>
      <c r="AF140" s="49"/>
      <c r="AG140" s="49"/>
      <c r="AH140" s="49"/>
      <c r="AI140" s="49"/>
      <c r="AJ140" s="49"/>
      <c r="AK140" s="49"/>
      <c r="AL140" s="49"/>
      <c r="AM140" s="96"/>
      <c r="AN140" s="96"/>
      <c r="AO140" s="96"/>
    </row>
    <row r="141" spans="1:61" s="3" customFormat="1" x14ac:dyDescent="0.2">
      <c r="A141" s="19"/>
      <c r="C141" s="3" t="s">
        <v>4</v>
      </c>
      <c r="D141" s="10"/>
      <c r="E141" s="3" t="s">
        <v>5</v>
      </c>
      <c r="G141" s="85" t="e">
        <f>SUM(I141:AG141)</f>
        <v>#REF!</v>
      </c>
      <c r="H141" s="49"/>
      <c r="I141" s="114">
        <f>I11</f>
        <v>297023</v>
      </c>
      <c r="J141" s="8"/>
      <c r="K141" s="113">
        <f>K11</f>
        <v>247550</v>
      </c>
      <c r="L141" s="8"/>
      <c r="M141" s="113">
        <f>M11</f>
        <v>73346</v>
      </c>
      <c r="N141" s="49"/>
      <c r="O141" s="113">
        <f>O11</f>
        <v>270431</v>
      </c>
      <c r="P141" s="49"/>
      <c r="Q141" s="113">
        <f>Q11</f>
        <v>528545</v>
      </c>
      <c r="R141" s="49"/>
      <c r="S141" s="113">
        <f>S11</f>
        <v>248848</v>
      </c>
      <c r="T141" s="49"/>
      <c r="U141" s="113" t="e">
        <f>U11</f>
        <v>#REF!</v>
      </c>
      <c r="V141" s="49"/>
      <c r="W141" s="49"/>
      <c r="X141" s="49"/>
      <c r="Y141" s="49"/>
      <c r="Z141" s="49"/>
      <c r="AA141" s="49"/>
      <c r="AB141" s="49"/>
      <c r="AC141" s="49"/>
      <c r="AD141" s="49"/>
      <c r="AE141" s="113">
        <f>AE11</f>
        <v>7</v>
      </c>
      <c r="AF141" s="49"/>
      <c r="AG141" s="49"/>
      <c r="AH141" s="49"/>
      <c r="AI141" s="49"/>
      <c r="AJ141" s="49"/>
      <c r="AK141" s="49"/>
      <c r="AL141" s="49"/>
      <c r="AM141" s="96"/>
      <c r="AN141" s="96"/>
      <c r="AO141" s="96"/>
    </row>
    <row r="142" spans="1:61" s="3" customFormat="1" x14ac:dyDescent="0.2">
      <c r="A142" s="19"/>
      <c r="C142" s="2" t="s">
        <v>15</v>
      </c>
      <c r="D142" s="10"/>
      <c r="E142" s="3" t="s">
        <v>3</v>
      </c>
      <c r="G142" s="84">
        <f>SUM(I142:AG142)</f>
        <v>264170280.26000002</v>
      </c>
      <c r="H142" s="49"/>
      <c r="I142" s="114">
        <f>I12</f>
        <v>27206253.27</v>
      </c>
      <c r="J142" s="8"/>
      <c r="K142" s="113">
        <f>K12</f>
        <v>23972323.100000001</v>
      </c>
      <c r="L142" s="8"/>
      <c r="M142" s="114">
        <f>M12</f>
        <v>10289510.67</v>
      </c>
      <c r="N142" s="49"/>
      <c r="O142" s="114">
        <f>O12</f>
        <v>22111377.52</v>
      </c>
      <c r="P142" s="49"/>
      <c r="Q142" s="113">
        <f>Q12</f>
        <v>49299476.899999999</v>
      </c>
      <c r="R142" s="49"/>
      <c r="S142" s="113">
        <f>S12</f>
        <v>31477147.5</v>
      </c>
      <c r="T142" s="49"/>
      <c r="U142" s="113">
        <f>U12</f>
        <v>98525277.590000004</v>
      </c>
      <c r="V142" s="49"/>
      <c r="W142" s="49"/>
      <c r="X142" s="49"/>
      <c r="Y142" s="49"/>
      <c r="Z142" s="49"/>
      <c r="AA142" s="49"/>
      <c r="AB142" s="49"/>
      <c r="AC142" s="49"/>
      <c r="AD142" s="49"/>
      <c r="AE142" s="113">
        <f>AE12</f>
        <v>1288913.71</v>
      </c>
      <c r="AF142" s="49"/>
      <c r="AG142" s="49"/>
      <c r="AH142" s="49"/>
      <c r="AI142" s="49"/>
      <c r="AJ142" s="49"/>
      <c r="AK142" s="49"/>
      <c r="AL142" s="49"/>
      <c r="AM142" s="96"/>
      <c r="AN142" s="96"/>
      <c r="AO142" s="96"/>
    </row>
    <row r="143" spans="1:61" s="3" customFormat="1" x14ac:dyDescent="0.2">
      <c r="A143" s="19"/>
      <c r="C143" s="50" t="s">
        <v>16</v>
      </c>
      <c r="D143" s="10"/>
      <c r="G143" s="51"/>
      <c r="H143" s="8"/>
      <c r="I143" s="1"/>
      <c r="J143" s="4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8"/>
      <c r="X143" s="1"/>
      <c r="Y143" s="18"/>
      <c r="Z143" s="96"/>
      <c r="AA143" s="18"/>
      <c r="AB143" s="18"/>
      <c r="AC143" s="18"/>
      <c r="AD143" s="18"/>
      <c r="AE143" s="1"/>
      <c r="AF143" s="1"/>
      <c r="AG143" s="96"/>
      <c r="AH143" s="96"/>
      <c r="AI143" s="1"/>
      <c r="AJ143" s="1"/>
      <c r="AK143" s="1"/>
      <c r="AL143" s="1"/>
      <c r="AM143" s="96"/>
      <c r="AN143" s="96"/>
      <c r="AO143" s="96"/>
    </row>
    <row r="144" spans="1:61" x14ac:dyDescent="0.2">
      <c r="A144" s="52" t="s">
        <v>9</v>
      </c>
      <c r="B144" s="47"/>
      <c r="D144" s="10"/>
      <c r="G144" s="53"/>
      <c r="I144" s="110"/>
      <c r="W144" s="48"/>
      <c r="Y144" s="48"/>
      <c r="Z144" s="117"/>
      <c r="AA144" s="117"/>
      <c r="AB144" s="117"/>
      <c r="AC144" s="48"/>
      <c r="AD144" s="48"/>
      <c r="AG144" s="117"/>
      <c r="AH144" s="117"/>
      <c r="AI144" s="53"/>
      <c r="AJ144" s="53"/>
      <c r="AK144" s="48"/>
      <c r="AL144" s="48"/>
      <c r="AM144" s="48"/>
      <c r="AN144" s="48"/>
      <c r="AO144" s="48"/>
    </row>
    <row r="145" spans="1:69" s="14" customFormat="1" x14ac:dyDescent="0.2">
      <c r="A145" s="19"/>
      <c r="C145" s="2" t="s">
        <v>2</v>
      </c>
      <c r="D145" s="10"/>
      <c r="E145" s="14" t="s">
        <v>6</v>
      </c>
      <c r="G145" s="86">
        <f>SUM(I145:AG145)</f>
        <v>1</v>
      </c>
      <c r="H145" s="87"/>
      <c r="I145" s="88">
        <f>1-SUM(K145:BF145)</f>
        <v>9.770000000000012E-2</v>
      </c>
      <c r="J145" s="87"/>
      <c r="K145" s="86">
        <f>ROUND(K140/$G$10,4)</f>
        <v>6.3E-2</v>
      </c>
      <c r="L145" s="87"/>
      <c r="M145" s="86">
        <f>ROUND(M140/$G140,4)</f>
        <v>2.9499999999999998E-2</v>
      </c>
      <c r="N145" s="90"/>
      <c r="O145" s="86">
        <f>ROUND(O140/$G140,4)</f>
        <v>8.1900000000000001E-2</v>
      </c>
      <c r="P145" s="90"/>
      <c r="Q145" s="86">
        <f>ROUND(Q140/$G140,4)</f>
        <v>0.16969999999999999</v>
      </c>
      <c r="R145" s="90"/>
      <c r="S145" s="86">
        <f>ROUND(S140/$G140,4)</f>
        <v>7.22E-2</v>
      </c>
      <c r="T145" s="90"/>
      <c r="U145" s="86">
        <f>ROUND(U140/$G140,4)</f>
        <v>0.48209999999999997</v>
      </c>
      <c r="V145" s="90"/>
      <c r="W145" s="90"/>
      <c r="X145" s="90"/>
      <c r="Y145" s="90"/>
      <c r="Z145" s="16"/>
      <c r="AA145" s="90"/>
      <c r="AB145" s="90"/>
      <c r="AC145" s="90"/>
      <c r="AD145" s="90"/>
      <c r="AE145" s="86">
        <f>ROUND(AE140/$G140,4)</f>
        <v>3.8999999999999998E-3</v>
      </c>
      <c r="AF145" s="90"/>
      <c r="AG145" s="16"/>
      <c r="AH145" s="16"/>
      <c r="AI145" s="90"/>
      <c r="AJ145" s="90"/>
      <c r="AK145" s="90"/>
      <c r="AL145" s="90"/>
      <c r="AM145" s="16"/>
      <c r="AN145" s="16"/>
      <c r="AO145" s="16"/>
    </row>
    <row r="146" spans="1:69" s="14" customFormat="1" x14ac:dyDescent="0.2">
      <c r="A146" s="19"/>
      <c r="C146" s="3" t="s">
        <v>4</v>
      </c>
      <c r="D146" s="10"/>
      <c r="E146" s="14" t="s">
        <v>6</v>
      </c>
      <c r="G146" s="89" t="e">
        <f>SUM(I146:AG146)</f>
        <v>#REF!</v>
      </c>
      <c r="H146" s="87"/>
      <c r="I146" s="88" t="e">
        <f>1-SUM(K146:BF146)</f>
        <v>#REF!</v>
      </c>
      <c r="J146" s="87"/>
      <c r="K146" s="86" t="e">
        <f>ROUND(K141/$G$11,4)</f>
        <v>#REF!</v>
      </c>
      <c r="L146" s="87"/>
      <c r="M146" s="86" t="e">
        <f>ROUND(M141/$G141,4)</f>
        <v>#REF!</v>
      </c>
      <c r="N146" s="90"/>
      <c r="O146" s="86" t="e">
        <f>ROUND(O141/$G141,4)</f>
        <v>#REF!</v>
      </c>
      <c r="P146" s="90"/>
      <c r="Q146" s="86" t="e">
        <f>ROUND(Q141/$G141,4)</f>
        <v>#REF!</v>
      </c>
      <c r="R146" s="90"/>
      <c r="S146" s="86" t="e">
        <f>ROUND(S141/$G141,4)</f>
        <v>#REF!</v>
      </c>
      <c r="T146" s="90"/>
      <c r="U146" s="86" t="e">
        <f>ROUND(U141/$G141,4)</f>
        <v>#REF!</v>
      </c>
      <c r="V146" s="90"/>
      <c r="W146" s="90"/>
      <c r="X146" s="90"/>
      <c r="Y146" s="90"/>
      <c r="Z146" s="16"/>
      <c r="AA146" s="90"/>
      <c r="AB146" s="90"/>
      <c r="AC146" s="90"/>
      <c r="AD146" s="90"/>
      <c r="AE146" s="86" t="e">
        <f>ROUND(AE141/$G141,4)</f>
        <v>#REF!</v>
      </c>
      <c r="AF146" s="90"/>
      <c r="AG146" s="16"/>
      <c r="AH146" s="16"/>
      <c r="AI146" s="90"/>
      <c r="AJ146" s="90"/>
      <c r="AK146" s="90"/>
      <c r="AL146" s="90"/>
      <c r="AM146" s="16"/>
      <c r="AN146" s="16"/>
      <c r="AO146" s="16"/>
    </row>
    <row r="147" spans="1:69" s="14" customFormat="1" x14ac:dyDescent="0.2">
      <c r="A147" s="19"/>
      <c r="C147" s="2" t="s">
        <v>7</v>
      </c>
      <c r="D147" s="10"/>
      <c r="E147" s="14" t="s">
        <v>6</v>
      </c>
      <c r="G147" s="89">
        <f>SUM(I147:AG147)</f>
        <v>1</v>
      </c>
      <c r="H147" s="87"/>
      <c r="I147" s="88">
        <f>1-SUM(K147:BF147)</f>
        <v>0.10289999999999999</v>
      </c>
      <c r="J147" s="87"/>
      <c r="K147" s="86">
        <f>ROUND(K142/$G142,4)</f>
        <v>9.0700000000000003E-2</v>
      </c>
      <c r="L147" s="87"/>
      <c r="M147" s="86">
        <f>ROUND(M142/$G142,4)</f>
        <v>3.9E-2</v>
      </c>
      <c r="N147" s="90"/>
      <c r="O147" s="86">
        <f>ROUND(O142/$G142,4)</f>
        <v>8.3699999999999997E-2</v>
      </c>
      <c r="P147" s="90"/>
      <c r="Q147" s="86">
        <f>ROUND(Q142/$G142,4)</f>
        <v>0.18659999999999999</v>
      </c>
      <c r="R147" s="90"/>
      <c r="S147" s="86">
        <f>ROUND(S142/$G142,4)</f>
        <v>0.1192</v>
      </c>
      <c r="T147" s="90"/>
      <c r="U147" s="86">
        <f>ROUND(U142/$G142,4)</f>
        <v>0.373</v>
      </c>
      <c r="V147" s="90"/>
      <c r="W147" s="90"/>
      <c r="X147" s="90"/>
      <c r="Y147" s="90"/>
      <c r="Z147" s="16"/>
      <c r="AA147" s="90"/>
      <c r="AB147" s="90"/>
      <c r="AC147" s="90"/>
      <c r="AD147" s="90"/>
      <c r="AE147" s="86">
        <f>ROUND(AE142/$G142,4)</f>
        <v>4.8999999999999998E-3</v>
      </c>
      <c r="AF147" s="90"/>
      <c r="AG147" s="16"/>
      <c r="AH147" s="16"/>
      <c r="AI147" s="90"/>
      <c r="AJ147" s="90"/>
      <c r="AK147" s="90"/>
      <c r="AL147" s="90"/>
      <c r="AM147" s="16"/>
      <c r="AN147" s="16"/>
      <c r="AO147" s="16"/>
    </row>
    <row r="148" spans="1:69" s="14" customFormat="1" x14ac:dyDescent="0.2">
      <c r="A148" s="19"/>
      <c r="C148" s="54"/>
      <c r="D148" s="10"/>
      <c r="G148" s="90"/>
      <c r="H148" s="90"/>
      <c r="I148" s="91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16"/>
      <c r="AA148" s="90"/>
      <c r="AB148" s="90"/>
      <c r="AC148" s="90"/>
      <c r="AD148" s="90"/>
      <c r="AE148" s="90"/>
      <c r="AF148" s="90"/>
      <c r="AG148" s="16"/>
      <c r="AH148" s="16"/>
      <c r="AI148" s="90"/>
      <c r="AJ148" s="90"/>
      <c r="AK148" s="90"/>
      <c r="AL148" s="90"/>
      <c r="AM148" s="16"/>
      <c r="AN148" s="16"/>
      <c r="AO148" s="16"/>
    </row>
    <row r="149" spans="1:69" s="14" customFormat="1" x14ac:dyDescent="0.2">
      <c r="A149" s="19"/>
      <c r="C149" s="123" t="str">
        <f>C19</f>
        <v>Total Composite Factor for FY 2013</v>
      </c>
      <c r="D149" s="10"/>
      <c r="E149" s="14" t="s">
        <v>6</v>
      </c>
      <c r="G149" s="86" t="e">
        <f>SUM(I149:AG149)</f>
        <v>#REF!</v>
      </c>
      <c r="H149" s="87"/>
      <c r="I149" s="102" t="e">
        <f>1-SUM(K149:BF149)</f>
        <v>#REF!</v>
      </c>
      <c r="J149" s="103"/>
      <c r="K149" s="102" t="e">
        <f>ROUND(AVERAGE(K145:K147),4)</f>
        <v>#REF!</v>
      </c>
      <c r="L149" s="103"/>
      <c r="M149" s="102" t="e">
        <f>ROUND(AVERAGE(M145:M147),4)</f>
        <v>#REF!</v>
      </c>
      <c r="N149" s="104"/>
      <c r="O149" s="102" t="e">
        <f>ROUND(AVERAGE(O145:O147),4)</f>
        <v>#REF!</v>
      </c>
      <c r="P149" s="104"/>
      <c r="Q149" s="102" t="e">
        <f>ROUND(AVERAGE(Q145:Q147),4)</f>
        <v>#REF!</v>
      </c>
      <c r="R149" s="104"/>
      <c r="S149" s="102" t="e">
        <f>ROUND(AVERAGE(S145:S147),4)</f>
        <v>#REF!</v>
      </c>
      <c r="T149" s="104"/>
      <c r="U149" s="102" t="e">
        <f>ROUND(AVERAGE(U145:U147),4)</f>
        <v>#REF!</v>
      </c>
      <c r="V149" s="111"/>
      <c r="W149" s="104"/>
      <c r="X149" s="91"/>
      <c r="Y149" s="104"/>
      <c r="Z149" s="91"/>
      <c r="AA149" s="104"/>
      <c r="AB149" s="104"/>
      <c r="AC149" s="104"/>
      <c r="AD149" s="104"/>
      <c r="AE149" s="102" t="e">
        <f>ROUND(AVERAGE(AE145:AE147),4)</f>
        <v>#REF!</v>
      </c>
      <c r="AF149" s="104"/>
      <c r="AG149" s="91"/>
      <c r="AH149" s="91"/>
      <c r="AI149" s="104"/>
      <c r="AJ149" s="104"/>
      <c r="AK149" s="104"/>
      <c r="AL149" s="104"/>
      <c r="AM149" s="16"/>
      <c r="AN149" s="16"/>
      <c r="AO149" s="16"/>
    </row>
    <row r="150" spans="1:69" x14ac:dyDescent="0.2">
      <c r="W150" s="48"/>
      <c r="Y150" s="48"/>
      <c r="Z150" s="117"/>
      <c r="AA150" s="117"/>
      <c r="AB150" s="117"/>
      <c r="AC150" s="48"/>
      <c r="AD150" s="48"/>
      <c r="AG150" s="117"/>
      <c r="AH150" s="117"/>
      <c r="AI150" s="48"/>
      <c r="AJ150" s="48"/>
      <c r="AK150" s="48"/>
      <c r="AL150" s="48"/>
      <c r="AM150" s="48"/>
      <c r="AN150" s="48"/>
      <c r="AO150" s="48"/>
    </row>
    <row r="153" spans="1:69" s="6" customFormat="1" x14ac:dyDescent="0.2">
      <c r="A153" s="43"/>
      <c r="C153" s="136" t="s">
        <v>109</v>
      </c>
      <c r="D153" s="137"/>
      <c r="E153" s="138"/>
      <c r="I153" s="82"/>
      <c r="N153" s="20"/>
      <c r="P153" s="20"/>
      <c r="R153" s="20"/>
      <c r="T153" s="20"/>
      <c r="V153" s="20"/>
      <c r="X153" s="20"/>
    </row>
    <row r="154" spans="1:69" s="6" customFormat="1" ht="25.5" x14ac:dyDescent="0.2">
      <c r="A154" s="45" t="s">
        <v>8</v>
      </c>
      <c r="B154" s="46"/>
      <c r="C154" s="47"/>
      <c r="E154" s="20"/>
      <c r="G154" s="7" t="s">
        <v>1</v>
      </c>
      <c r="I154" s="83" t="s">
        <v>13</v>
      </c>
      <c r="K154" s="7" t="s">
        <v>10</v>
      </c>
      <c r="M154" s="7" t="s">
        <v>11</v>
      </c>
      <c r="N154" s="20"/>
      <c r="O154" s="7" t="s">
        <v>12</v>
      </c>
      <c r="P154" s="20"/>
      <c r="Q154" s="112" t="s">
        <v>83</v>
      </c>
      <c r="R154" s="20"/>
      <c r="S154" s="7" t="s">
        <v>82</v>
      </c>
      <c r="T154" s="20"/>
      <c r="U154" s="20"/>
      <c r="V154" s="20"/>
      <c r="W154" s="139"/>
      <c r="X154" s="20"/>
      <c r="Y154" s="20"/>
      <c r="Z154" s="20"/>
      <c r="AA154" s="139"/>
      <c r="AB154" s="139"/>
      <c r="AC154" s="139"/>
      <c r="AD154" s="139"/>
      <c r="AE154" s="20"/>
      <c r="AF154" s="20"/>
      <c r="AG154" s="20"/>
      <c r="AH154" s="20"/>
      <c r="AI154" s="139"/>
      <c r="AJ154" s="139"/>
      <c r="AK154" s="139"/>
      <c r="AL154" s="139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</row>
    <row r="155" spans="1:69" x14ac:dyDescent="0.2">
      <c r="G155" s="48"/>
      <c r="H155" s="48"/>
      <c r="I155" s="49"/>
      <c r="U155" s="48"/>
      <c r="W155" s="48"/>
      <c r="Y155" s="48"/>
      <c r="Z155" s="117"/>
      <c r="AA155" s="117"/>
      <c r="AB155" s="117"/>
      <c r="AC155" s="48"/>
      <c r="AD155" s="48"/>
      <c r="AE155" s="48"/>
      <c r="AF155" s="48"/>
      <c r="AG155" s="117"/>
      <c r="AH155" s="117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  <c r="BO155" s="48"/>
      <c r="BP155" s="48"/>
      <c r="BQ155" s="48"/>
    </row>
    <row r="156" spans="1:69" s="3" customFormat="1" x14ac:dyDescent="0.2">
      <c r="A156" s="19"/>
      <c r="C156" s="2" t="s">
        <v>2</v>
      </c>
      <c r="D156" s="10"/>
      <c r="E156" s="3" t="s">
        <v>3</v>
      </c>
      <c r="G156" s="84">
        <f>SUM(I156:AG156)</f>
        <v>1573884772.6399999</v>
      </c>
      <c r="H156" s="49"/>
      <c r="I156" s="113"/>
      <c r="J156" s="8"/>
      <c r="K156" s="113">
        <f>K10</f>
        <v>465694921.06</v>
      </c>
      <c r="L156" s="8"/>
      <c r="M156" s="113">
        <f>M10</f>
        <v>178307235.72999999</v>
      </c>
      <c r="N156" s="49"/>
      <c r="O156" s="113">
        <f>O10</f>
        <v>494319819.33999997</v>
      </c>
      <c r="P156" s="49"/>
      <c r="Q156" s="113"/>
      <c r="R156" s="49"/>
      <c r="S156" s="113">
        <f>S10</f>
        <v>435562796.50999999</v>
      </c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96"/>
      <c r="AF156" s="96"/>
      <c r="AG156" s="49"/>
      <c r="AH156" s="49"/>
      <c r="AI156" s="49"/>
      <c r="AJ156" s="49"/>
      <c r="AK156" s="49"/>
      <c r="AL156" s="49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  <c r="BO156" s="96"/>
      <c r="BP156" s="96"/>
      <c r="BQ156" s="96"/>
    </row>
    <row r="157" spans="1:69" s="3" customFormat="1" x14ac:dyDescent="0.2">
      <c r="A157" s="19"/>
      <c r="C157" s="3" t="s">
        <v>4</v>
      </c>
      <c r="D157" s="10"/>
      <c r="E157" s="3" t="s">
        <v>5</v>
      </c>
      <c r="G157" s="85">
        <f>SUM(I157:AG157)</f>
        <v>840175</v>
      </c>
      <c r="H157" s="49"/>
      <c r="I157" s="114"/>
      <c r="J157" s="8"/>
      <c r="K157" s="113">
        <f>K11</f>
        <v>247550</v>
      </c>
      <c r="L157" s="8"/>
      <c r="M157" s="113">
        <f>M11</f>
        <v>73346</v>
      </c>
      <c r="N157" s="49"/>
      <c r="O157" s="113">
        <f>O11</f>
        <v>270431</v>
      </c>
      <c r="P157" s="49"/>
      <c r="Q157" s="113"/>
      <c r="R157" s="49"/>
      <c r="S157" s="113">
        <f>S11</f>
        <v>248848</v>
      </c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96"/>
      <c r="AF157" s="96"/>
      <c r="AG157" s="49"/>
      <c r="AH157" s="49"/>
      <c r="AI157" s="49"/>
      <c r="AJ157" s="49"/>
      <c r="AK157" s="49"/>
      <c r="AL157" s="49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  <c r="BO157" s="96"/>
      <c r="BP157" s="96"/>
      <c r="BQ157" s="96"/>
    </row>
    <row r="158" spans="1:69" s="3" customFormat="1" x14ac:dyDescent="0.2">
      <c r="A158" s="19"/>
      <c r="C158" s="2" t="s">
        <v>15</v>
      </c>
      <c r="D158" s="10"/>
      <c r="E158" s="3" t="s">
        <v>3</v>
      </c>
      <c r="G158" s="84">
        <f>SUM(I158:AG158)</f>
        <v>87850358.790000007</v>
      </c>
      <c r="H158" s="49"/>
      <c r="I158" s="114"/>
      <c r="J158" s="8"/>
      <c r="K158" s="113">
        <f>K12</f>
        <v>23972323.100000001</v>
      </c>
      <c r="L158" s="8"/>
      <c r="M158" s="114">
        <f>M12</f>
        <v>10289510.67</v>
      </c>
      <c r="N158" s="49"/>
      <c r="O158" s="114">
        <f>O12</f>
        <v>22111377.52</v>
      </c>
      <c r="P158" s="49"/>
      <c r="Q158" s="113"/>
      <c r="R158" s="49"/>
      <c r="S158" s="113">
        <f>S12</f>
        <v>31477147.5</v>
      </c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96"/>
      <c r="AF158" s="96"/>
      <c r="AG158" s="49"/>
      <c r="AH158" s="49"/>
      <c r="AI158" s="49"/>
      <c r="AJ158" s="49"/>
      <c r="AK158" s="49"/>
      <c r="AL158" s="49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  <c r="BO158" s="96"/>
      <c r="BP158" s="96"/>
      <c r="BQ158" s="96"/>
    </row>
    <row r="159" spans="1:69" s="3" customFormat="1" x14ac:dyDescent="0.2">
      <c r="A159" s="19"/>
      <c r="C159" s="50" t="s">
        <v>16</v>
      </c>
      <c r="D159" s="10"/>
      <c r="G159" s="51"/>
      <c r="H159" s="8"/>
      <c r="I159" s="1"/>
      <c r="J159" s="4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8"/>
      <c r="X159" s="1"/>
      <c r="Y159" s="18"/>
      <c r="Z159" s="96"/>
      <c r="AA159" s="18"/>
      <c r="AB159" s="18"/>
      <c r="AC159" s="18"/>
      <c r="AD159" s="18"/>
      <c r="AE159" s="96"/>
      <c r="AF159" s="96"/>
      <c r="AG159" s="96"/>
      <c r="AH159" s="96"/>
      <c r="AI159" s="1"/>
      <c r="AJ159" s="1"/>
      <c r="AK159" s="1"/>
      <c r="AL159" s="1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  <c r="BO159" s="96"/>
      <c r="BP159" s="96"/>
      <c r="BQ159" s="96"/>
    </row>
    <row r="160" spans="1:69" x14ac:dyDescent="0.2">
      <c r="A160" s="52" t="s">
        <v>9</v>
      </c>
      <c r="B160" s="47"/>
      <c r="D160" s="10"/>
      <c r="G160" s="53"/>
      <c r="I160" s="110"/>
      <c r="U160" s="48"/>
      <c r="W160" s="48"/>
      <c r="Y160" s="48"/>
      <c r="Z160" s="117"/>
      <c r="AA160" s="117"/>
      <c r="AB160" s="117"/>
      <c r="AC160" s="48"/>
      <c r="AD160" s="48"/>
      <c r="AE160" s="48"/>
      <c r="AF160" s="48"/>
      <c r="AG160" s="117"/>
      <c r="AH160" s="117"/>
      <c r="AI160" s="53"/>
      <c r="AJ160" s="53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  <c r="BO160" s="48"/>
      <c r="BP160" s="48"/>
      <c r="BQ160" s="48"/>
    </row>
    <row r="161" spans="1:69" s="14" customFormat="1" x14ac:dyDescent="0.2">
      <c r="A161" s="19"/>
      <c r="C161" s="2" t="s">
        <v>2</v>
      </c>
      <c r="D161" s="10"/>
      <c r="E161" s="14" t="s">
        <v>6</v>
      </c>
      <c r="G161" s="86">
        <f>SUM(I161:AG161)</f>
        <v>1</v>
      </c>
      <c r="H161" s="87"/>
      <c r="I161" s="86">
        <f>ROUND(I156/$G156,4)</f>
        <v>0</v>
      </c>
      <c r="J161" s="87"/>
      <c r="K161" s="86">
        <f>1-SUM(M161:BF161)</f>
        <v>0.29590000000000005</v>
      </c>
      <c r="L161" s="87"/>
      <c r="M161" s="86">
        <f>ROUND(M156/$G156,4)</f>
        <v>0.1133</v>
      </c>
      <c r="N161" s="90"/>
      <c r="O161" s="86">
        <f>ROUND(O156/$G156,4)</f>
        <v>0.31409999999999999</v>
      </c>
      <c r="P161" s="90"/>
      <c r="Q161" s="86">
        <f>ROUND(Q156/$G156,4)</f>
        <v>0</v>
      </c>
      <c r="R161" s="90"/>
      <c r="S161" s="86">
        <f>ROUND(S156/$G156,4)</f>
        <v>0.2767</v>
      </c>
      <c r="T161" s="90"/>
      <c r="U161" s="90"/>
      <c r="V161" s="90"/>
      <c r="W161" s="90"/>
      <c r="X161" s="90"/>
      <c r="Y161" s="90"/>
      <c r="Z161" s="16"/>
      <c r="AA161" s="90"/>
      <c r="AB161" s="90"/>
      <c r="AC161" s="90"/>
      <c r="AD161" s="90"/>
      <c r="AE161" s="16"/>
      <c r="AF161" s="16"/>
      <c r="AG161" s="16"/>
      <c r="AH161" s="16"/>
      <c r="AI161" s="90"/>
      <c r="AJ161" s="90"/>
      <c r="AK161" s="90"/>
      <c r="AL161" s="90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  <c r="BO161" s="16"/>
      <c r="BP161" s="16"/>
      <c r="BQ161" s="16"/>
    </row>
    <row r="162" spans="1:69" s="14" customFormat="1" x14ac:dyDescent="0.2">
      <c r="A162" s="19"/>
      <c r="C162" s="3" t="s">
        <v>4</v>
      </c>
      <c r="D162" s="10"/>
      <c r="E162" s="14" t="s">
        <v>6</v>
      </c>
      <c r="G162" s="89">
        <f>SUM(I162:AG162)</f>
        <v>1</v>
      </c>
      <c r="H162" s="87"/>
      <c r="I162" s="86">
        <f>ROUND(I157/$G157,4)</f>
        <v>0</v>
      </c>
      <c r="J162" s="87"/>
      <c r="K162" s="86">
        <f>1-SUM(M162:AK162)</f>
        <v>0.29459999999999997</v>
      </c>
      <c r="L162" s="87"/>
      <c r="M162" s="86">
        <f>ROUND(M157/$G157,4)</f>
        <v>8.7300000000000003E-2</v>
      </c>
      <c r="N162" s="90"/>
      <c r="O162" s="86">
        <f>ROUND(O157/$G157,4)</f>
        <v>0.32190000000000002</v>
      </c>
      <c r="P162" s="90"/>
      <c r="Q162" s="86">
        <f>ROUND(Q157/$G157,4)</f>
        <v>0</v>
      </c>
      <c r="R162" s="90"/>
      <c r="S162" s="86">
        <f>ROUND(S157/$G157,4)</f>
        <v>0.29620000000000002</v>
      </c>
      <c r="T162" s="90"/>
      <c r="U162" s="90"/>
      <c r="V162" s="90"/>
      <c r="W162" s="90"/>
      <c r="X162" s="90"/>
      <c r="Y162" s="90"/>
      <c r="Z162" s="16"/>
      <c r="AA162" s="90"/>
      <c r="AB162" s="90"/>
      <c r="AC162" s="90"/>
      <c r="AD162" s="90"/>
      <c r="AE162" s="16"/>
      <c r="AF162" s="16"/>
      <c r="AG162" s="16"/>
      <c r="AH162" s="16"/>
      <c r="AI162" s="90"/>
      <c r="AJ162" s="90"/>
      <c r="AK162" s="90"/>
      <c r="AL162" s="90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  <c r="BO162" s="16"/>
      <c r="BP162" s="16"/>
      <c r="BQ162" s="16"/>
    </row>
    <row r="163" spans="1:69" s="14" customFormat="1" x14ac:dyDescent="0.2">
      <c r="A163" s="19"/>
      <c r="C163" s="2" t="s">
        <v>7</v>
      </c>
      <c r="D163" s="10"/>
      <c r="E163" s="14" t="s">
        <v>6</v>
      </c>
      <c r="G163" s="89">
        <f>SUM(I163:AG163)</f>
        <v>1</v>
      </c>
      <c r="H163" s="87"/>
      <c r="I163" s="86">
        <f>ROUND(I158/$G158,4)</f>
        <v>0</v>
      </c>
      <c r="J163" s="87"/>
      <c r="K163" s="86">
        <f>1-SUM(M163:AK163)</f>
        <v>0.27290000000000003</v>
      </c>
      <c r="L163" s="87"/>
      <c r="M163" s="86">
        <f>ROUND(M158/$G158,4)</f>
        <v>0.1171</v>
      </c>
      <c r="N163" s="90"/>
      <c r="O163" s="86">
        <f>ROUND(O158/$G158,4)</f>
        <v>0.25169999999999998</v>
      </c>
      <c r="P163" s="90"/>
      <c r="Q163" s="86">
        <f>ROUND(Q158/$G158,4)</f>
        <v>0</v>
      </c>
      <c r="R163" s="90"/>
      <c r="S163" s="86">
        <f>ROUND(S158/$G158,4)</f>
        <v>0.35830000000000001</v>
      </c>
      <c r="T163" s="90"/>
      <c r="U163" s="90"/>
      <c r="V163" s="90"/>
      <c r="W163" s="90"/>
      <c r="X163" s="90"/>
      <c r="Y163" s="90"/>
      <c r="Z163" s="16"/>
      <c r="AA163" s="90"/>
      <c r="AB163" s="90"/>
      <c r="AC163" s="90"/>
      <c r="AD163" s="90"/>
      <c r="AE163" s="16"/>
      <c r="AF163" s="16"/>
      <c r="AG163" s="16"/>
      <c r="AH163" s="16"/>
      <c r="AI163" s="90"/>
      <c r="AJ163" s="90"/>
      <c r="AK163" s="90"/>
      <c r="AL163" s="90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  <c r="BO163" s="16"/>
      <c r="BP163" s="16"/>
      <c r="BQ163" s="16"/>
    </row>
    <row r="164" spans="1:69" s="14" customFormat="1" x14ac:dyDescent="0.2">
      <c r="A164" s="19"/>
      <c r="C164" s="54"/>
      <c r="D164" s="1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16"/>
      <c r="AA164" s="90"/>
      <c r="AB164" s="90"/>
      <c r="AC164" s="90"/>
      <c r="AD164" s="90"/>
      <c r="AE164" s="16"/>
      <c r="AF164" s="16"/>
      <c r="AG164" s="16"/>
      <c r="AH164" s="16"/>
      <c r="AI164" s="90"/>
      <c r="AJ164" s="90"/>
      <c r="AK164" s="90"/>
      <c r="AL164" s="90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  <c r="BO164" s="16"/>
      <c r="BP164" s="16"/>
      <c r="BQ164" s="16"/>
    </row>
    <row r="165" spans="1:69" s="14" customFormat="1" x14ac:dyDescent="0.2">
      <c r="A165" s="19"/>
      <c r="C165" s="123" t="str">
        <f>C19</f>
        <v>Total Composite Factor for FY 2013</v>
      </c>
      <c r="D165" s="10"/>
      <c r="E165" s="14" t="s">
        <v>6</v>
      </c>
      <c r="G165" s="86">
        <f>SUM(I165:AG165)</f>
        <v>1</v>
      </c>
      <c r="H165" s="87"/>
      <c r="I165" s="102">
        <f>ROUND(AVERAGE(I161:I163),4)</f>
        <v>0</v>
      </c>
      <c r="J165" s="103"/>
      <c r="K165" s="86">
        <f>1-SUM(M165:AK165)</f>
        <v>0.28780000000000006</v>
      </c>
      <c r="L165" s="103"/>
      <c r="M165" s="102">
        <f>ROUND(AVERAGE(M161:M163),4)</f>
        <v>0.10589999999999999</v>
      </c>
      <c r="N165" s="104"/>
      <c r="O165" s="102">
        <f>ROUND(AVERAGE(O161:O163),4)</f>
        <v>0.2959</v>
      </c>
      <c r="P165" s="104"/>
      <c r="Q165" s="102">
        <f>ROUND(AVERAGE(Q161:Q163),4)</f>
        <v>0</v>
      </c>
      <c r="R165" s="104"/>
      <c r="S165" s="102">
        <f>ROUND(AVERAGE(S161:S163),4)</f>
        <v>0.31040000000000001</v>
      </c>
      <c r="T165" s="104"/>
      <c r="U165" s="104"/>
      <c r="V165" s="111"/>
      <c r="W165" s="104"/>
      <c r="X165" s="91"/>
      <c r="Y165" s="104"/>
      <c r="Z165" s="91"/>
      <c r="AA165" s="104"/>
      <c r="AB165" s="104"/>
      <c r="AC165" s="104"/>
      <c r="AD165" s="104"/>
      <c r="AE165" s="16"/>
      <c r="AF165" s="16"/>
      <c r="AG165" s="91"/>
      <c r="AH165" s="91"/>
      <c r="AI165" s="104"/>
      <c r="AJ165" s="104"/>
      <c r="AK165" s="104"/>
      <c r="AL165" s="104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  <c r="BO165" s="16"/>
      <c r="BP165" s="16"/>
      <c r="BQ165" s="16"/>
    </row>
  </sheetData>
  <phoneticPr fontId="0" type="noConversion"/>
  <pageMargins left="0.41" right="0.2" top="0.25" bottom="0.57999999999999996" header="0.38" footer="0.33"/>
  <pageSetup paperSize="5" scale="58" fitToHeight="0" orientation="landscape" r:id="rId1"/>
  <headerFooter alignWithMargins="0">
    <oddFooter>Page &amp;P&amp;R&amp;Z&amp;F</oddFooter>
  </headerFooter>
  <rowBreaks count="2" manualBreakCount="2">
    <brk id="49" max="16383" man="1"/>
    <brk id="1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70C0"/>
    <pageSetUpPr fitToPage="1"/>
  </sheetPr>
  <dimension ref="A1:BN165"/>
  <sheetViews>
    <sheetView showGridLines="0" zoomScale="85" zoomScaleNormal="85" zoomScaleSheetLayoutView="100" workbookViewId="0">
      <pane xSplit="4" ySplit="8" topLeftCell="E9" activePane="bottomRight" state="frozen"/>
      <selection activeCell="G10" sqref="G10:G12"/>
      <selection pane="topRight" activeCell="G10" sqref="G10:G12"/>
      <selection pane="bottomLeft" activeCell="G10" sqref="G10:G12"/>
      <selection pane="bottomRight" activeCell="G11" sqref="G11"/>
    </sheetView>
  </sheetViews>
  <sheetFormatPr defaultRowHeight="12.75" x14ac:dyDescent="0.2"/>
  <cols>
    <col min="1" max="1" width="4" style="19" customWidth="1"/>
    <col min="2" max="2" width="0.85546875" style="5" customWidth="1"/>
    <col min="3" max="3" width="33.5703125" style="5" customWidth="1"/>
    <col min="4" max="4" width="0.85546875" style="5" customWidth="1"/>
    <col min="5" max="5" width="4" style="5" customWidth="1"/>
    <col min="6" max="6" width="1.42578125" style="5" customWidth="1"/>
    <col min="7" max="7" width="19.85546875" style="5" bestFit="1" customWidth="1"/>
    <col min="8" max="8" width="1.85546875" style="5" customWidth="1"/>
    <col min="9" max="9" width="17.42578125" style="8" customWidth="1"/>
    <col min="10" max="10" width="2.140625" style="5" customWidth="1"/>
    <col min="11" max="11" width="15.85546875" style="5" bestFit="1" customWidth="1"/>
    <col min="12" max="12" width="3" style="5" customWidth="1"/>
    <col min="13" max="13" width="15.42578125" style="5" bestFit="1" customWidth="1"/>
    <col min="14" max="14" width="2.5703125" style="48" customWidth="1"/>
    <col min="15" max="15" width="15.42578125" style="5" bestFit="1" customWidth="1"/>
    <col min="16" max="16" width="2.42578125" style="48" customWidth="1"/>
    <col min="17" max="17" width="16.85546875" style="5" bestFit="1" customWidth="1"/>
    <col min="18" max="18" width="3.140625" style="48" customWidth="1"/>
    <col min="19" max="19" width="15.42578125" style="5" bestFit="1" customWidth="1"/>
    <col min="20" max="20" width="0.85546875" style="48" customWidth="1"/>
    <col min="21" max="21" width="16.85546875" style="5" bestFit="1" customWidth="1"/>
    <col min="22" max="22" width="0.5703125" style="48" customWidth="1"/>
    <col min="23" max="23" width="16.85546875" style="5" bestFit="1" customWidth="1"/>
    <col min="24" max="24" width="4.7109375" style="48" customWidth="1"/>
    <col min="25" max="25" width="14.28515625" style="5" bestFit="1" customWidth="1"/>
    <col min="26" max="26" width="0.85546875" style="10" customWidth="1"/>
    <col min="27" max="27" width="16.42578125" style="5" customWidth="1"/>
    <col min="28" max="28" width="0.85546875" style="10" customWidth="1"/>
    <col min="29" max="29" width="14.28515625" style="5" bestFit="1" customWidth="1"/>
    <col min="30" max="30" width="0.85546875" style="10" customWidth="1"/>
    <col min="31" max="31" width="14.28515625" style="10" bestFit="1" customWidth="1"/>
    <col min="32" max="32" width="2" style="48" customWidth="1"/>
    <col min="33" max="33" width="14.28515625" style="5" bestFit="1" customWidth="1"/>
    <col min="34" max="34" width="2.5703125" style="5" customWidth="1"/>
    <col min="35" max="35" width="11.7109375" style="5" customWidth="1"/>
    <col min="36" max="36" width="1.85546875" style="5" customWidth="1"/>
    <col min="37" max="37" width="12.140625" style="5" customWidth="1"/>
    <col min="38" max="38" width="1.7109375" style="5" customWidth="1"/>
    <col min="39" max="39" width="12.140625" style="5" customWidth="1"/>
    <col min="40" max="40" width="1.5703125" style="5" customWidth="1"/>
    <col min="41" max="41" width="11.5703125" style="5" customWidth="1"/>
    <col min="42" max="42" width="1.85546875" style="5" customWidth="1"/>
    <col min="43" max="43" width="13.5703125" style="5" customWidth="1"/>
    <col min="44" max="44" width="2.140625" style="5" customWidth="1"/>
    <col min="45" max="45" width="11" style="5" customWidth="1"/>
    <col min="46" max="46" width="1.7109375" style="5" customWidth="1"/>
    <col min="47" max="47" width="11.7109375" style="5" customWidth="1"/>
    <col min="48" max="48" width="2.140625" style="5" customWidth="1"/>
    <col min="49" max="49" width="11.5703125" style="5" bestFit="1" customWidth="1"/>
    <col min="50" max="50" width="2.5703125" style="5" customWidth="1"/>
    <col min="51" max="51" width="10.85546875" style="5" customWidth="1"/>
    <col min="52" max="52" width="1.7109375" style="5" customWidth="1"/>
    <col min="53" max="53" width="11.5703125" style="5" customWidth="1"/>
    <col min="54" max="54" width="2.28515625" style="5" customWidth="1"/>
    <col min="55" max="55" width="12.7109375" style="5" customWidth="1"/>
    <col min="56" max="56" width="13.7109375" style="5" customWidth="1"/>
    <col min="57" max="16384" width="9.140625" style="5"/>
  </cols>
  <sheetData>
    <row r="1" spans="1:55" s="12" customFormat="1" x14ac:dyDescent="0.2">
      <c r="A1" s="11"/>
      <c r="B1" s="11"/>
      <c r="C1" s="11"/>
      <c r="D1" s="11"/>
      <c r="E1" s="11"/>
      <c r="F1" s="11"/>
      <c r="G1" s="11"/>
      <c r="H1" s="11"/>
      <c r="I1" s="41"/>
      <c r="J1" s="11"/>
      <c r="K1" s="11"/>
      <c r="L1" s="11"/>
      <c r="M1" s="11"/>
      <c r="N1" s="100"/>
      <c r="O1" s="11"/>
      <c r="P1" s="100"/>
      <c r="Q1" s="11"/>
      <c r="R1" s="100"/>
      <c r="T1" s="100"/>
      <c r="U1" s="11"/>
      <c r="V1" s="100"/>
      <c r="W1" s="11"/>
      <c r="X1" s="100"/>
      <c r="Y1" s="11"/>
      <c r="Z1" s="35"/>
      <c r="AA1" s="11"/>
      <c r="AB1" s="35"/>
      <c r="AC1" s="11"/>
      <c r="AD1" s="35"/>
      <c r="AE1" s="35"/>
      <c r="AF1" s="100"/>
      <c r="AG1" s="11"/>
      <c r="AH1" s="11"/>
      <c r="AI1" s="11"/>
      <c r="AJ1" s="35"/>
      <c r="AK1" s="35"/>
      <c r="AL1" s="100"/>
      <c r="AM1" s="11"/>
      <c r="AN1" s="11"/>
      <c r="AO1" s="11"/>
      <c r="AP1" s="35"/>
      <c r="AQ1" s="35"/>
      <c r="AR1" s="100"/>
      <c r="AS1" s="11"/>
      <c r="AT1" s="11"/>
      <c r="AU1" s="11"/>
      <c r="AV1" s="35"/>
      <c r="AW1" s="35"/>
      <c r="AX1" s="100"/>
      <c r="AY1" s="11"/>
      <c r="AZ1" s="11"/>
      <c r="BA1" s="11"/>
      <c r="BB1" s="35"/>
      <c r="BC1" s="35"/>
    </row>
    <row r="2" spans="1:55" s="12" customFormat="1" ht="15" x14ac:dyDescent="0.25">
      <c r="A2" s="11"/>
      <c r="B2" s="11"/>
      <c r="C2" s="11"/>
      <c r="D2" s="11"/>
      <c r="E2" s="11"/>
      <c r="F2" s="11"/>
      <c r="G2" s="11"/>
      <c r="H2" s="11"/>
      <c r="I2" s="41"/>
      <c r="J2" s="11"/>
      <c r="K2" s="11"/>
      <c r="L2" s="11"/>
      <c r="M2" s="11"/>
      <c r="N2" s="100"/>
      <c r="O2" s="11"/>
      <c r="P2" s="100"/>
      <c r="Q2" s="11"/>
      <c r="R2" s="100"/>
      <c r="T2" s="100"/>
      <c r="U2" s="11"/>
      <c r="V2" s="100"/>
      <c r="W2" s="11"/>
      <c r="X2" s="100"/>
      <c r="Y2" s="134"/>
      <c r="Z2" s="35"/>
      <c r="AA2" s="11"/>
      <c r="AB2" s="35"/>
      <c r="AC2" s="11"/>
      <c r="AD2" s="35"/>
      <c r="AE2" s="35"/>
      <c r="AF2" s="100"/>
      <c r="AG2" s="11"/>
      <c r="AH2" s="11"/>
      <c r="AI2" s="11"/>
      <c r="AJ2" s="35"/>
      <c r="AK2" s="35"/>
      <c r="AL2" s="100"/>
      <c r="AM2" s="11"/>
      <c r="AN2" s="11"/>
      <c r="AO2" s="11"/>
      <c r="AP2" s="35"/>
      <c r="AQ2" s="35"/>
      <c r="AR2" s="100"/>
      <c r="AS2" s="11"/>
      <c r="AT2" s="11"/>
      <c r="AU2" s="11"/>
      <c r="AV2" s="35"/>
      <c r="AW2" s="35"/>
      <c r="AX2" s="100"/>
      <c r="AY2" s="11"/>
      <c r="AZ2" s="11"/>
      <c r="BA2" s="11"/>
      <c r="BB2" s="35"/>
      <c r="BC2" s="35"/>
    </row>
    <row r="3" spans="1:55" s="12" customFormat="1" x14ac:dyDescent="0.2">
      <c r="A3" s="42" t="s">
        <v>0</v>
      </c>
      <c r="B3" s="11"/>
      <c r="C3" s="11"/>
      <c r="D3" s="11"/>
      <c r="E3" s="11"/>
      <c r="F3" s="11"/>
      <c r="G3" s="11"/>
      <c r="H3" s="11"/>
      <c r="I3" s="41"/>
      <c r="J3" s="11"/>
      <c r="K3" s="11"/>
      <c r="L3" s="11"/>
      <c r="M3" s="11"/>
      <c r="N3" s="100"/>
      <c r="O3" s="11"/>
      <c r="P3" s="100"/>
      <c r="Q3" s="11"/>
      <c r="R3" s="100"/>
      <c r="T3" s="100"/>
      <c r="U3" s="11"/>
      <c r="V3" s="100"/>
      <c r="W3" s="11"/>
      <c r="X3" s="100"/>
      <c r="Y3" s="135"/>
      <c r="Z3" s="35"/>
      <c r="AA3" s="11" t="s">
        <v>110</v>
      </c>
      <c r="AB3" s="35"/>
      <c r="AC3" s="11"/>
      <c r="AD3" s="35"/>
      <c r="AE3" s="35"/>
      <c r="AF3" s="100"/>
      <c r="AG3" s="11"/>
      <c r="AH3" s="11"/>
      <c r="AI3" s="11"/>
      <c r="AJ3" s="35"/>
      <c r="AK3" s="35"/>
      <c r="AL3" s="100"/>
      <c r="AM3" s="174"/>
      <c r="AN3" s="174"/>
      <c r="AO3" s="174"/>
      <c r="AP3" s="175"/>
      <c r="AQ3" s="35"/>
      <c r="AR3" s="100"/>
      <c r="AS3" s="11"/>
      <c r="AT3" s="11"/>
      <c r="AU3" s="11"/>
      <c r="AV3" s="35"/>
      <c r="AW3" s="35"/>
      <c r="AX3" s="100"/>
      <c r="AY3" s="11"/>
      <c r="AZ3" s="11"/>
      <c r="BA3" s="11"/>
      <c r="BB3" s="35"/>
      <c r="BC3" s="35"/>
    </row>
    <row r="4" spans="1:55" s="12" customFormat="1" x14ac:dyDescent="0.2">
      <c r="A4" s="42" t="s">
        <v>121</v>
      </c>
      <c r="B4" s="11"/>
      <c r="C4" s="11"/>
      <c r="D4" s="11"/>
      <c r="E4" s="11"/>
      <c r="F4" s="11"/>
      <c r="G4" s="11"/>
      <c r="H4" s="11"/>
      <c r="I4" s="41"/>
      <c r="J4" s="11"/>
      <c r="K4" s="11"/>
      <c r="L4" s="11"/>
      <c r="M4" s="11"/>
      <c r="N4" s="100"/>
      <c r="O4" s="11"/>
      <c r="P4" s="100"/>
      <c r="Q4" s="11"/>
      <c r="R4" s="100"/>
      <c r="T4" s="100"/>
      <c r="U4" s="11"/>
      <c r="V4" s="100"/>
      <c r="W4" s="11"/>
      <c r="X4" s="100"/>
      <c r="Y4" s="11"/>
      <c r="Z4" s="35"/>
      <c r="AA4" s="173" t="s">
        <v>134</v>
      </c>
      <c r="AB4" s="177"/>
      <c r="AC4" s="178"/>
      <c r="AD4" s="177"/>
      <c r="AE4" s="177"/>
      <c r="AF4" s="100"/>
      <c r="AG4" s="11"/>
      <c r="AH4" s="11"/>
      <c r="AI4" s="11"/>
      <c r="AJ4" s="35"/>
      <c r="AK4" s="35"/>
      <c r="AL4" s="100"/>
      <c r="AM4" s="11"/>
      <c r="AN4" s="11"/>
      <c r="AO4" s="11"/>
      <c r="AP4" s="35"/>
      <c r="AQ4" s="35"/>
      <c r="AR4" s="100"/>
      <c r="AS4" s="11"/>
      <c r="AT4" s="11"/>
      <c r="AU4" s="11"/>
      <c r="AV4" s="35"/>
      <c r="AW4" s="35"/>
      <c r="AX4" s="100"/>
      <c r="AY4" s="11"/>
      <c r="AZ4" s="11"/>
      <c r="BA4" s="11"/>
      <c r="BB4" s="35"/>
      <c r="BC4" s="35"/>
    </row>
    <row r="5" spans="1:55" s="12" customFormat="1" x14ac:dyDescent="0.2">
      <c r="A5" s="43"/>
      <c r="I5" s="44"/>
      <c r="N5" s="101"/>
      <c r="P5" s="101"/>
      <c r="R5" s="101"/>
      <c r="T5" s="101"/>
      <c r="V5" s="101"/>
      <c r="X5" s="101"/>
      <c r="AA5" s="115"/>
      <c r="AF5" s="101"/>
      <c r="AL5" s="101"/>
      <c r="AR5" s="101"/>
      <c r="AX5" s="101"/>
    </row>
    <row r="6" spans="1:55" s="6" customFormat="1" x14ac:dyDescent="0.2">
      <c r="A6" s="43"/>
      <c r="I6" s="82">
        <v>30</v>
      </c>
      <c r="K6" s="6">
        <v>60</v>
      </c>
      <c r="M6" s="6">
        <v>20</v>
      </c>
      <c r="N6" s="20"/>
      <c r="O6" s="6">
        <v>20</v>
      </c>
      <c r="P6" s="20"/>
      <c r="Q6" s="6">
        <v>50</v>
      </c>
      <c r="R6" s="20"/>
      <c r="S6" s="6">
        <v>70</v>
      </c>
      <c r="T6" s="20"/>
      <c r="U6" s="6">
        <v>80</v>
      </c>
      <c r="V6" s="20"/>
      <c r="W6" s="6">
        <v>180</v>
      </c>
      <c r="X6" s="20"/>
      <c r="Y6" s="172">
        <v>212</v>
      </c>
      <c r="AA6" s="176">
        <v>221</v>
      </c>
      <c r="AC6" s="176">
        <v>231</v>
      </c>
      <c r="AE6" s="172">
        <v>232</v>
      </c>
      <c r="AF6" s="20"/>
      <c r="AG6" s="172">
        <v>233</v>
      </c>
      <c r="AI6" s="176">
        <v>234</v>
      </c>
      <c r="AK6" s="176">
        <v>236</v>
      </c>
      <c r="AL6" s="20"/>
      <c r="AM6" s="176">
        <v>237</v>
      </c>
      <c r="AO6" s="176">
        <v>239</v>
      </c>
      <c r="AQ6" s="176">
        <v>240</v>
      </c>
      <c r="AR6" s="20"/>
      <c r="AS6" s="176">
        <v>301</v>
      </c>
      <c r="AU6" s="176">
        <v>302</v>
      </c>
      <c r="AW6" s="172">
        <v>303</v>
      </c>
      <c r="AX6" s="20"/>
      <c r="AY6" s="176">
        <v>306</v>
      </c>
      <c r="BA6" s="176">
        <v>312</v>
      </c>
      <c r="BC6" s="176">
        <v>321</v>
      </c>
    </row>
    <row r="7" spans="1:55" s="6" customFormat="1" x14ac:dyDescent="0.2">
      <c r="A7" s="43"/>
      <c r="C7" s="98" t="s">
        <v>80</v>
      </c>
      <c r="I7" s="82"/>
      <c r="N7" s="20"/>
      <c r="P7" s="20"/>
      <c r="R7" s="20"/>
      <c r="T7" s="20"/>
      <c r="V7" s="20"/>
      <c r="X7" s="20"/>
      <c r="AF7" s="20"/>
      <c r="AL7" s="20"/>
      <c r="AR7" s="20"/>
      <c r="AX7" s="20"/>
    </row>
    <row r="8" spans="1:55" s="6" customFormat="1" ht="38.25" x14ac:dyDescent="0.2">
      <c r="A8" s="45" t="s">
        <v>8</v>
      </c>
      <c r="B8" s="46"/>
      <c r="C8" s="47"/>
      <c r="E8" s="20"/>
      <c r="G8" s="7" t="s">
        <v>1</v>
      </c>
      <c r="I8" s="83" t="s">
        <v>13</v>
      </c>
      <c r="K8" s="7" t="s">
        <v>10</v>
      </c>
      <c r="M8" s="7" t="s">
        <v>11</v>
      </c>
      <c r="N8" s="20"/>
      <c r="O8" s="7" t="s">
        <v>12</v>
      </c>
      <c r="P8" s="20"/>
      <c r="Q8" s="112" t="s">
        <v>83</v>
      </c>
      <c r="R8" s="20"/>
      <c r="S8" s="7" t="s">
        <v>82</v>
      </c>
      <c r="T8" s="20"/>
      <c r="U8" s="7" t="s">
        <v>14</v>
      </c>
      <c r="V8" s="20"/>
      <c r="W8" s="9" t="s">
        <v>84</v>
      </c>
      <c r="X8" s="20"/>
      <c r="Y8" s="7" t="s">
        <v>86</v>
      </c>
      <c r="AA8" s="9" t="s">
        <v>123</v>
      </c>
      <c r="AB8" s="36"/>
      <c r="AC8" s="9" t="s">
        <v>124</v>
      </c>
      <c r="AE8" s="9" t="s">
        <v>125</v>
      </c>
      <c r="AF8" s="20"/>
      <c r="AG8" s="9" t="s">
        <v>87</v>
      </c>
      <c r="AI8" s="9" t="s">
        <v>126</v>
      </c>
      <c r="AK8" s="9" t="s">
        <v>88</v>
      </c>
      <c r="AL8" s="20"/>
      <c r="AM8" s="9" t="s">
        <v>127</v>
      </c>
      <c r="AO8" s="9">
        <v>239</v>
      </c>
      <c r="AQ8" s="9">
        <v>240</v>
      </c>
      <c r="AR8" s="20"/>
      <c r="AS8" s="9" t="s">
        <v>128</v>
      </c>
      <c r="AT8" s="9"/>
      <c r="AU8" s="9" t="s">
        <v>129</v>
      </c>
      <c r="AW8" s="9" t="s">
        <v>89</v>
      </c>
      <c r="AX8" s="20"/>
      <c r="AY8" s="9" t="s">
        <v>130</v>
      </c>
      <c r="BA8" s="9" t="s">
        <v>131</v>
      </c>
      <c r="BC8" s="9" t="s">
        <v>132</v>
      </c>
    </row>
    <row r="9" spans="1:55" x14ac:dyDescent="0.2">
      <c r="G9" s="48"/>
      <c r="H9" s="48"/>
      <c r="I9" s="49"/>
      <c r="AJ9" s="10"/>
      <c r="AK9" s="10"/>
      <c r="AL9" s="48"/>
      <c r="AP9" s="10"/>
      <c r="AQ9" s="10"/>
      <c r="AR9" s="48"/>
      <c r="AV9" s="10"/>
      <c r="AW9" s="10"/>
      <c r="AX9" s="48"/>
      <c r="BB9" s="10"/>
      <c r="BC9" s="10"/>
    </row>
    <row r="10" spans="1:55" s="152" customFormat="1" x14ac:dyDescent="0.2">
      <c r="A10" s="151"/>
      <c r="C10" s="153" t="s">
        <v>2</v>
      </c>
      <c r="D10" s="154"/>
      <c r="E10" s="152" t="s">
        <v>3</v>
      </c>
      <c r="G10" s="155">
        <f>SUM(I10:BC10)</f>
        <v>7388488691.3999987</v>
      </c>
      <c r="H10" s="156"/>
      <c r="I10" s="157">
        <f>503734670.89+63045.86</f>
        <v>503797716.75</v>
      </c>
      <c r="J10" s="158"/>
      <c r="K10" s="157">
        <f>465686869.31+8051.75</f>
        <v>465694921.06</v>
      </c>
      <c r="L10" s="158"/>
      <c r="M10" s="157">
        <v>178307235.72999999</v>
      </c>
      <c r="N10" s="156"/>
      <c r="O10" s="157">
        <v>494319819.33999997</v>
      </c>
      <c r="P10" s="156"/>
      <c r="Q10" s="157">
        <f>1023853005.83+544441.93</f>
        <v>1024397447.76</v>
      </c>
      <c r="R10" s="156"/>
      <c r="S10" s="157">
        <f>423816796.51+11746000</f>
        <v>435562796.50999999</v>
      </c>
      <c r="T10" s="156"/>
      <c r="U10" s="157">
        <v>2909762764.3699999</v>
      </c>
      <c r="V10" s="156"/>
      <c r="W10" s="157">
        <v>1280759006.2</v>
      </c>
      <c r="X10" s="156"/>
      <c r="Y10" s="157">
        <f>51497.31+34782013.57</f>
        <v>34833510.880000003</v>
      </c>
      <c r="Z10" s="158"/>
      <c r="AA10" s="157">
        <v>3047559.41</v>
      </c>
      <c r="AB10" s="158"/>
      <c r="AC10" s="157">
        <v>288000</v>
      </c>
      <c r="AD10" s="158"/>
      <c r="AE10" s="157">
        <f>425557.38+8101630.37</f>
        <v>8527187.75</v>
      </c>
      <c r="AF10" s="156"/>
      <c r="AG10" s="157">
        <f>27901.77+14295511.79</f>
        <v>14323413.559999999</v>
      </c>
      <c r="AH10" s="159"/>
      <c r="AI10" s="157">
        <v>7139991.3600000003</v>
      </c>
      <c r="AJ10" s="158"/>
      <c r="AK10" s="157">
        <f>17425.5+3649851.78</f>
        <v>3667277.28</v>
      </c>
      <c r="AL10" s="156"/>
      <c r="AM10" s="157"/>
      <c r="AN10" s="159"/>
      <c r="AO10" s="157">
        <v>0</v>
      </c>
      <c r="AP10" s="158"/>
      <c r="AQ10" s="157"/>
      <c r="AR10" s="156"/>
      <c r="AS10" s="157">
        <v>52368.66</v>
      </c>
      <c r="AT10" s="157"/>
      <c r="AU10" s="157"/>
      <c r="AV10" s="158"/>
      <c r="AW10" s="157">
        <f>148754.32+23305116.88</f>
        <v>23453871.199999999</v>
      </c>
      <c r="AX10" s="156"/>
      <c r="AY10" s="157">
        <v>553803.57999999996</v>
      </c>
      <c r="AZ10" s="159"/>
      <c r="BA10" s="157"/>
      <c r="BB10" s="158"/>
      <c r="BC10" s="157"/>
    </row>
    <row r="11" spans="1:55" s="161" customFormat="1" x14ac:dyDescent="0.2">
      <c r="A11" s="160"/>
      <c r="C11" s="161" t="s">
        <v>4</v>
      </c>
      <c r="D11" s="162"/>
      <c r="E11" s="161" t="s">
        <v>5</v>
      </c>
      <c r="G11" s="163" t="e">
        <f>SUM(I11:BC11)</f>
        <v>#REF!</v>
      </c>
      <c r="H11" s="164"/>
      <c r="I11" s="165" t="e">
        <f>'Summary customer count 2013-old'!E2</f>
        <v>#REF!</v>
      </c>
      <c r="J11" s="166"/>
      <c r="K11" s="167">
        <f>'Summary customer count 2013-old'!E3</f>
        <v>247550.41666666666</v>
      </c>
      <c r="L11" s="166"/>
      <c r="M11" s="167" t="e">
        <f>'Summary customer count 2013-old'!B4</f>
        <v>#REF!</v>
      </c>
      <c r="N11" s="164"/>
      <c r="O11" s="167" t="e">
        <f>'Summary customer count 2013-old'!C4</f>
        <v>#REF!</v>
      </c>
      <c r="P11" s="164"/>
      <c r="Q11" s="167">
        <f>'Summary customer count 2013-old'!E5</f>
        <v>528545.33333333337</v>
      </c>
      <c r="R11" s="164"/>
      <c r="S11" s="167" t="e">
        <f>'Summary customer count 2013-old'!E6</f>
        <v>#REF!</v>
      </c>
      <c r="T11" s="164"/>
      <c r="U11" s="167" t="e">
        <f>'Summary customer count 2013-old'!E7</f>
        <v>#REF!</v>
      </c>
      <c r="V11" s="164"/>
      <c r="W11" s="167" t="e">
        <f>'Summary customer count 2013-old'!E8</f>
        <v>#REF!</v>
      </c>
      <c r="X11" s="164"/>
      <c r="Y11" s="167">
        <v>1118</v>
      </c>
      <c r="Z11" s="166"/>
      <c r="AA11" s="167"/>
      <c r="AB11" s="166"/>
      <c r="AC11" s="167"/>
      <c r="AD11" s="166"/>
      <c r="AE11" s="167"/>
      <c r="AF11" s="164"/>
      <c r="AG11" s="167"/>
      <c r="AH11" s="168"/>
      <c r="AI11" s="167"/>
      <c r="AJ11" s="166"/>
      <c r="AK11" s="167"/>
      <c r="AL11" s="164"/>
      <c r="AM11" s="167"/>
      <c r="AN11" s="168"/>
      <c r="AO11" s="167"/>
      <c r="AP11" s="166"/>
      <c r="AQ11" s="167"/>
      <c r="AR11" s="164"/>
      <c r="AS11" s="167"/>
      <c r="AT11" s="167"/>
      <c r="AU11" s="167"/>
      <c r="AV11" s="166"/>
      <c r="AW11" s="167">
        <f>'Summary customer count 2013-old'!E10</f>
        <v>7</v>
      </c>
      <c r="AX11" s="164"/>
      <c r="AY11" s="167"/>
      <c r="AZ11" s="168"/>
      <c r="BA11" s="167"/>
      <c r="BB11" s="166"/>
      <c r="BC11" s="167"/>
    </row>
    <row r="12" spans="1:55" s="145" customFormat="1" x14ac:dyDescent="0.2">
      <c r="A12" s="144"/>
      <c r="C12" s="146" t="s">
        <v>15</v>
      </c>
      <c r="D12" s="147"/>
      <c r="E12" s="145" t="s">
        <v>3</v>
      </c>
      <c r="G12" s="148">
        <f>SUM(I12:BC12)</f>
        <v>353674338.3499999</v>
      </c>
      <c r="H12" s="142"/>
      <c r="I12" s="141">
        <v>27206253.27</v>
      </c>
      <c r="J12" s="149"/>
      <c r="K12" s="143">
        <v>23972323.100000001</v>
      </c>
      <c r="L12" s="149"/>
      <c r="M12" s="141">
        <f>9061876.33+1227634.34</f>
        <v>10289510.67</v>
      </c>
      <c r="N12" s="142"/>
      <c r="O12" s="141">
        <f>18388873.41+3722504.11</f>
        <v>22111377.52</v>
      </c>
      <c r="P12" s="142"/>
      <c r="Q12" s="143">
        <v>49299476.899999999</v>
      </c>
      <c r="R12" s="142"/>
      <c r="S12" s="143">
        <v>31477147.5</v>
      </c>
      <c r="T12" s="142"/>
      <c r="U12" s="143">
        <v>98525277.590000004</v>
      </c>
      <c r="V12" s="142"/>
      <c r="W12" s="143">
        <f>62903902.48+1156.5+87507.55</f>
        <v>62992566.529999994</v>
      </c>
      <c r="X12" s="142"/>
      <c r="Y12" s="141">
        <v>21890852.850000001</v>
      </c>
      <c r="Z12" s="149"/>
      <c r="AA12" s="143">
        <v>129211.8</v>
      </c>
      <c r="AB12" s="149"/>
      <c r="AC12" s="143">
        <v>216510.71</v>
      </c>
      <c r="AD12" s="149"/>
      <c r="AE12" s="143">
        <v>378612.17</v>
      </c>
      <c r="AF12" s="142"/>
      <c r="AG12" s="143">
        <v>368687.52</v>
      </c>
      <c r="AH12" s="150"/>
      <c r="AI12" s="143">
        <v>606605.43999999994</v>
      </c>
      <c r="AJ12" s="149"/>
      <c r="AK12" s="143">
        <f>7818272.65-5287753.8</f>
        <v>2530518.8500000006</v>
      </c>
      <c r="AL12" s="142"/>
      <c r="AM12" s="143">
        <v>403.7</v>
      </c>
      <c r="AN12" s="150"/>
      <c r="AO12" s="143">
        <v>0</v>
      </c>
      <c r="AP12" s="149"/>
      <c r="AQ12" s="143">
        <v>0</v>
      </c>
      <c r="AR12" s="142"/>
      <c r="AS12" s="143">
        <v>380088.46</v>
      </c>
      <c r="AT12" s="143"/>
      <c r="AU12" s="143">
        <v>2672.63</v>
      </c>
      <c r="AV12" s="149"/>
      <c r="AW12" s="143">
        <v>1288913.71</v>
      </c>
      <c r="AX12" s="142"/>
      <c r="AY12" s="143">
        <v>19863.09</v>
      </c>
      <c r="AZ12" s="150"/>
      <c r="BA12" s="143">
        <v>-13660.66</v>
      </c>
      <c r="BB12" s="149"/>
      <c r="BC12" s="143">
        <v>1125</v>
      </c>
    </row>
    <row r="13" spans="1:55" s="3" customFormat="1" x14ac:dyDescent="0.2">
      <c r="A13" s="19"/>
      <c r="C13" s="50" t="s">
        <v>16</v>
      </c>
      <c r="D13" s="10"/>
      <c r="G13" s="51"/>
      <c r="H13" s="8"/>
      <c r="I13" s="1"/>
      <c r="J13" s="4"/>
      <c r="K13" s="1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8"/>
      <c r="X13" s="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52" t="s">
        <v>9</v>
      </c>
      <c r="B14" s="47"/>
      <c r="D14" s="10"/>
      <c r="G14" s="53"/>
      <c r="I14" s="110"/>
      <c r="K14" s="37"/>
      <c r="Q14" s="37"/>
      <c r="AA14" s="37"/>
      <c r="AJ14" s="10"/>
      <c r="AK14" s="10"/>
      <c r="AL14" s="48"/>
      <c r="AP14" s="10"/>
      <c r="AQ14" s="10"/>
      <c r="AR14" s="48"/>
      <c r="AV14" s="10"/>
      <c r="AW14" s="10"/>
      <c r="AX14" s="48"/>
      <c r="BB14" s="10"/>
      <c r="BC14" s="10"/>
    </row>
    <row r="15" spans="1:55" s="14" customFormat="1" x14ac:dyDescent="0.2">
      <c r="A15" s="19"/>
      <c r="C15" s="2" t="s">
        <v>2</v>
      </c>
      <c r="D15" s="10"/>
      <c r="E15" s="14" t="s">
        <v>6</v>
      </c>
      <c r="G15" s="86">
        <f>SUM(I15:BC15)</f>
        <v>1</v>
      </c>
      <c r="H15" s="87"/>
      <c r="I15" s="88">
        <f>1-SUM(K15:BC15)</f>
        <v>6.8300000000000138E-2</v>
      </c>
      <c r="J15" s="87"/>
      <c r="K15" s="86">
        <f>ROUND(K10/$G$10,4)</f>
        <v>6.3E-2</v>
      </c>
      <c r="L15" s="87"/>
      <c r="M15" s="86">
        <f>ROUND(M10/$G10,4)</f>
        <v>2.41E-2</v>
      </c>
      <c r="N15" s="90"/>
      <c r="O15" s="86">
        <f>ROUND(O10/$G10,4)</f>
        <v>6.6900000000000001E-2</v>
      </c>
      <c r="P15" s="90"/>
      <c r="Q15" s="86">
        <f>ROUND(Q10/$G10,4)</f>
        <v>0.1386</v>
      </c>
      <c r="R15" s="90"/>
      <c r="S15" s="86">
        <f>ROUND(S10/$G10,4)</f>
        <v>5.8999999999999997E-2</v>
      </c>
      <c r="T15" s="90"/>
      <c r="U15" s="86">
        <f>ROUND(U10/$G10,4)</f>
        <v>0.39379999999999998</v>
      </c>
      <c r="V15" s="90"/>
      <c r="W15" s="86">
        <f>ROUND(W10/$G10,4)</f>
        <v>0.17330000000000001</v>
      </c>
      <c r="X15" s="90"/>
      <c r="Y15" s="86">
        <f>ROUND(Y10/$G10,4)</f>
        <v>4.7000000000000002E-3</v>
      </c>
      <c r="AA15" s="86">
        <f>ROUND(AA10/$G10,4)</f>
        <v>4.0000000000000002E-4</v>
      </c>
      <c r="AC15" s="86">
        <f>ROUND(AC10/$G10,4)</f>
        <v>0</v>
      </c>
      <c r="AE15" s="86">
        <f>ROUND(AE10/$G10,4)</f>
        <v>1.1999999999999999E-3</v>
      </c>
      <c r="AF15" s="90"/>
      <c r="AG15" s="86">
        <f>ROUND(AG10/$G10,4)</f>
        <v>1.9E-3</v>
      </c>
      <c r="AH15" s="13"/>
      <c r="AI15" s="86">
        <f>ROUND(AI10/$G10,4)</f>
        <v>1E-3</v>
      </c>
      <c r="AK15" s="86">
        <f>ROUND(AK10/$G10,4)</f>
        <v>5.0000000000000001E-4</v>
      </c>
      <c r="AL15" s="90"/>
      <c r="AM15" s="86">
        <f>ROUND(AM10/$G10,4)</f>
        <v>0</v>
      </c>
      <c r="AN15" s="13"/>
      <c r="AO15" s="86">
        <f>ROUND(AO10/$G10,4)</f>
        <v>0</v>
      </c>
      <c r="AQ15" s="86">
        <f>ROUND(AQ10/$G10,4)</f>
        <v>0</v>
      </c>
      <c r="AR15" s="90"/>
      <c r="AS15" s="86">
        <f>ROUND(AS10/$G10,4)</f>
        <v>0</v>
      </c>
      <c r="AT15" s="86"/>
      <c r="AU15" s="86">
        <f>ROUND(AU10/$G10,4)</f>
        <v>0</v>
      </c>
      <c r="AW15" s="86">
        <f>ROUND(AW10/$G10,4)</f>
        <v>3.2000000000000002E-3</v>
      </c>
      <c r="AX15" s="90"/>
      <c r="AY15" s="86">
        <f>ROUND(AY10/$G10,4)</f>
        <v>1E-4</v>
      </c>
      <c r="AZ15" s="13"/>
      <c r="BA15" s="86">
        <f>ROUND(BA10/$G10,4)</f>
        <v>0</v>
      </c>
      <c r="BC15" s="86">
        <f>ROUND(BC10/$G10,4)</f>
        <v>0</v>
      </c>
    </row>
    <row r="16" spans="1:55" s="14" customFormat="1" x14ac:dyDescent="0.2">
      <c r="A16" s="19"/>
      <c r="C16" s="3" t="s">
        <v>4</v>
      </c>
      <c r="D16" s="10"/>
      <c r="E16" s="14" t="s">
        <v>6</v>
      </c>
      <c r="G16" s="89" t="e">
        <f>SUM(I16:BC16)</f>
        <v>#REF!</v>
      </c>
      <c r="H16" s="87"/>
      <c r="I16" s="88" t="e">
        <f>1-SUM(K16:BC16)</f>
        <v>#REF!</v>
      </c>
      <c r="J16" s="87"/>
      <c r="K16" s="86" t="e">
        <f>ROUND(K11/$G$11,4)</f>
        <v>#REF!</v>
      </c>
      <c r="L16" s="87"/>
      <c r="M16" s="86" t="e">
        <f>ROUND(M11/$G11,4)</f>
        <v>#REF!</v>
      </c>
      <c r="N16" s="90"/>
      <c r="O16" s="86" t="e">
        <f>ROUND(O11/$G11,4)</f>
        <v>#REF!</v>
      </c>
      <c r="P16" s="90"/>
      <c r="Q16" s="86" t="e">
        <f>ROUND(Q11/$G11,4)</f>
        <v>#REF!</v>
      </c>
      <c r="R16" s="90"/>
      <c r="S16" s="86" t="e">
        <f>ROUND(S11/$G11,4)</f>
        <v>#REF!</v>
      </c>
      <c r="T16" s="90"/>
      <c r="U16" s="86" t="e">
        <f>ROUND(U11/$G11,4)</f>
        <v>#REF!</v>
      </c>
      <c r="V16" s="90"/>
      <c r="W16" s="86" t="e">
        <f>ROUND(W11/$G11,4)</f>
        <v>#REF!</v>
      </c>
      <c r="X16" s="90"/>
      <c r="Y16" s="86" t="e">
        <f>ROUND(Y11/$G11,4)</f>
        <v>#REF!</v>
      </c>
      <c r="AA16" s="86" t="e">
        <f>ROUND(AA11/$G11,4)</f>
        <v>#REF!</v>
      </c>
      <c r="AC16" s="86" t="e">
        <f>ROUND(AC11/$G11,4)</f>
        <v>#REF!</v>
      </c>
      <c r="AE16" s="86" t="e">
        <f>ROUND(AE11/$G11,4)</f>
        <v>#REF!</v>
      </c>
      <c r="AF16" s="90"/>
      <c r="AG16" s="86" t="e">
        <f>ROUND(AG11/$G11,4)</f>
        <v>#REF!</v>
      </c>
      <c r="AH16" s="13"/>
      <c r="AI16" s="86" t="e">
        <f>ROUND(AI11/$G11,4)</f>
        <v>#REF!</v>
      </c>
      <c r="AK16" s="86" t="e">
        <f>ROUND(AK11/$G11,4)</f>
        <v>#REF!</v>
      </c>
      <c r="AL16" s="90"/>
      <c r="AM16" s="86" t="e">
        <f>ROUND(AM11/$G11,4)</f>
        <v>#REF!</v>
      </c>
      <c r="AN16" s="13"/>
      <c r="AO16" s="86" t="e">
        <f>ROUND(AO11/$G11,4)</f>
        <v>#REF!</v>
      </c>
      <c r="AQ16" s="86" t="e">
        <f>ROUND(AQ11/$G11,4)</f>
        <v>#REF!</v>
      </c>
      <c r="AR16" s="90"/>
      <c r="AS16" s="86" t="e">
        <f>ROUND(AS11/$G11,4)</f>
        <v>#REF!</v>
      </c>
      <c r="AT16" s="86"/>
      <c r="AU16" s="86" t="e">
        <f>ROUND(AU11/$G11,4)</f>
        <v>#REF!</v>
      </c>
      <c r="AW16" s="86" t="e">
        <f>ROUND(AW11/$G11,4)</f>
        <v>#REF!</v>
      </c>
      <c r="AX16" s="90"/>
      <c r="AY16" s="86" t="e">
        <f>ROUND(AY11/$G11,4)</f>
        <v>#REF!</v>
      </c>
      <c r="AZ16" s="13"/>
      <c r="BA16" s="86" t="e">
        <f>ROUND(BA11/$G11,4)</f>
        <v>#REF!</v>
      </c>
      <c r="BC16" s="86" t="e">
        <f>ROUND(BC11/$G11,4)</f>
        <v>#REF!</v>
      </c>
    </row>
    <row r="17" spans="1:55" s="14" customFormat="1" x14ac:dyDescent="0.2">
      <c r="A17" s="19"/>
      <c r="C17" s="2" t="s">
        <v>7</v>
      </c>
      <c r="D17" s="10"/>
      <c r="E17" s="14" t="s">
        <v>6</v>
      </c>
      <c r="G17" s="89">
        <f>SUM(I17:BC17)</f>
        <v>1.0000000000000002</v>
      </c>
      <c r="H17" s="87"/>
      <c r="I17" s="88">
        <f>1-SUM(K17:BC17)</f>
        <v>7.680000000000009E-2</v>
      </c>
      <c r="J17" s="87"/>
      <c r="K17" s="86">
        <f>ROUND(K12/$G12,4)</f>
        <v>6.7799999999999999E-2</v>
      </c>
      <c r="L17" s="87"/>
      <c r="M17" s="86">
        <f>ROUND(M12/$G12,4)</f>
        <v>2.9100000000000001E-2</v>
      </c>
      <c r="N17" s="90"/>
      <c r="O17" s="86">
        <f>ROUND(O12/$G12,4)</f>
        <v>6.25E-2</v>
      </c>
      <c r="P17" s="90"/>
      <c r="Q17" s="86">
        <f>ROUND(Q12/$G12,4)</f>
        <v>0.1394</v>
      </c>
      <c r="R17" s="90"/>
      <c r="S17" s="86">
        <f>ROUND(S12/$G12,4)</f>
        <v>8.8999999999999996E-2</v>
      </c>
      <c r="T17" s="90"/>
      <c r="U17" s="86">
        <f>ROUND(U12/$G12,4)</f>
        <v>0.27860000000000001</v>
      </c>
      <c r="V17" s="90"/>
      <c r="W17" s="86">
        <f>ROUND(W12/$G12,4)</f>
        <v>0.17810000000000001</v>
      </c>
      <c r="X17" s="90"/>
      <c r="Y17" s="86">
        <f>ROUND(Y12/$G12,4)</f>
        <v>6.1899999999999997E-2</v>
      </c>
      <c r="AA17" s="86">
        <f>ROUND(AA12/$G12,4)</f>
        <v>4.0000000000000002E-4</v>
      </c>
      <c r="AC17" s="86">
        <f>ROUND(AC12/$G12,4)</f>
        <v>5.9999999999999995E-4</v>
      </c>
      <c r="AE17" s="86">
        <f>ROUND(AE12/$G12,4)</f>
        <v>1.1000000000000001E-3</v>
      </c>
      <c r="AF17" s="90"/>
      <c r="AG17" s="86">
        <f>ROUND(AG12/$G12,4)</f>
        <v>1E-3</v>
      </c>
      <c r="AH17" s="13"/>
      <c r="AI17" s="86">
        <f>ROUND(AI12/$G12,4)</f>
        <v>1.6999999999999999E-3</v>
      </c>
      <c r="AK17" s="86">
        <f>ROUND(AK12/$G12,4)</f>
        <v>7.1999999999999998E-3</v>
      </c>
      <c r="AL17" s="90"/>
      <c r="AM17" s="86">
        <f>ROUND(AM12/$G12,4)</f>
        <v>0</v>
      </c>
      <c r="AN17" s="13"/>
      <c r="AO17" s="86">
        <f>ROUND(AO12/$G12,4)</f>
        <v>0</v>
      </c>
      <c r="AQ17" s="86">
        <f>ROUND(AQ12/$G12,4)</f>
        <v>0</v>
      </c>
      <c r="AR17" s="90"/>
      <c r="AS17" s="86">
        <f>ROUND(AS12/$G12,4)</f>
        <v>1.1000000000000001E-3</v>
      </c>
      <c r="AT17" s="86"/>
      <c r="AU17" s="86">
        <f>ROUND(AU12/$G12,4)</f>
        <v>0</v>
      </c>
      <c r="AW17" s="86">
        <f>ROUND(AW12/$G12,4)</f>
        <v>3.5999999999999999E-3</v>
      </c>
      <c r="AX17" s="90"/>
      <c r="AY17" s="86">
        <f>ROUND(AY12/$G12,4)</f>
        <v>1E-4</v>
      </c>
      <c r="AZ17" s="13"/>
      <c r="BA17" s="86">
        <f>ROUND(BA12/$G12,4)</f>
        <v>0</v>
      </c>
      <c r="BC17" s="86">
        <f>ROUND(BC12/$G12,4)</f>
        <v>0</v>
      </c>
    </row>
    <row r="18" spans="1:55" s="14" customFormat="1" x14ac:dyDescent="0.2">
      <c r="A18" s="19"/>
      <c r="C18" s="54"/>
      <c r="D18" s="10"/>
      <c r="G18" s="90"/>
      <c r="H18" s="90"/>
      <c r="I18" s="91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16"/>
      <c r="AA18" s="90"/>
      <c r="AB18" s="16"/>
      <c r="AC18" s="90"/>
      <c r="AD18" s="16"/>
      <c r="AE18" s="90"/>
      <c r="AF18" s="90"/>
      <c r="AG18" s="90"/>
      <c r="AH18" s="15"/>
      <c r="AI18" s="90"/>
      <c r="AJ18" s="16"/>
      <c r="AK18" s="90"/>
      <c r="AL18" s="90"/>
      <c r="AM18" s="90"/>
      <c r="AN18" s="15"/>
      <c r="AO18" s="90"/>
      <c r="AP18" s="16"/>
      <c r="AQ18" s="90"/>
      <c r="AR18" s="90"/>
      <c r="AS18" s="90"/>
      <c r="AT18" s="90"/>
      <c r="AU18" s="90"/>
      <c r="AV18" s="16"/>
      <c r="AW18" s="90"/>
      <c r="AX18" s="90"/>
      <c r="AY18" s="90"/>
      <c r="AZ18" s="15"/>
      <c r="BA18" s="90"/>
      <c r="BB18" s="16"/>
      <c r="BC18" s="90"/>
    </row>
    <row r="19" spans="1:55" s="14" customFormat="1" x14ac:dyDescent="0.2">
      <c r="A19" s="19"/>
      <c r="C19" s="54" t="s">
        <v>122</v>
      </c>
      <c r="D19" s="10"/>
      <c r="E19" s="14" t="s">
        <v>6</v>
      </c>
      <c r="G19" s="86" t="e">
        <f>SUM(I19:BC19)</f>
        <v>#REF!</v>
      </c>
      <c r="H19" s="87"/>
      <c r="I19" s="102" t="e">
        <f>1-SUM(K19:BC19)</f>
        <v>#REF!</v>
      </c>
      <c r="J19" s="103"/>
      <c r="K19" s="102" t="e">
        <f>ROUND(AVERAGE(K15:K17),4)</f>
        <v>#REF!</v>
      </c>
      <c r="L19" s="103"/>
      <c r="M19" s="102" t="e">
        <f>ROUND(AVERAGE(M15:M17),4)</f>
        <v>#REF!</v>
      </c>
      <c r="N19" s="104"/>
      <c r="O19" s="102" t="e">
        <f>ROUND(AVERAGE(O15:O17),4)</f>
        <v>#REF!</v>
      </c>
      <c r="P19" s="104"/>
      <c r="Q19" s="102" t="e">
        <f>ROUND(AVERAGE(Q15:Q17),4)</f>
        <v>#REF!</v>
      </c>
      <c r="R19" s="104"/>
      <c r="S19" s="102" t="e">
        <f>ROUND(AVERAGE(S15:S17),4)</f>
        <v>#REF!</v>
      </c>
      <c r="T19" s="104"/>
      <c r="U19" s="102" t="e">
        <f>ROUND(AVERAGE(U15:U17),4)</f>
        <v>#REF!</v>
      </c>
      <c r="V19" s="111"/>
      <c r="W19" s="102" t="e">
        <f>ROUND(AVERAGE(W15:W17),4)</f>
        <v>#REF!</v>
      </c>
      <c r="X19" s="88"/>
      <c r="Y19" s="102" t="e">
        <f>ROUND(AVERAGE(Y15:Y17),4)</f>
        <v>#REF!</v>
      </c>
      <c r="Z19" s="88"/>
      <c r="AA19" s="102" t="e">
        <f>ROUND(AVERAGE(AA15:AA17),4)</f>
        <v>#REF!</v>
      </c>
      <c r="AB19" s="88"/>
      <c r="AC19" s="102" t="e">
        <f>ROUND(AVERAGE(AC15:AC17),4)</f>
        <v>#REF!</v>
      </c>
      <c r="AD19" s="88"/>
      <c r="AE19" s="102" t="e">
        <f>ROUND(AVERAGE(AE15:AE17),4)</f>
        <v>#REF!</v>
      </c>
      <c r="AF19" s="88"/>
      <c r="AG19" s="102" t="e">
        <f>ROUND(AVERAGE(AG15:AG17),4)</f>
        <v>#REF!</v>
      </c>
      <c r="AH19" s="34"/>
      <c r="AI19" s="102" t="e">
        <f>ROUND(AVERAGE(AI15:AI17),4)</f>
        <v>#REF!</v>
      </c>
      <c r="AJ19" s="88"/>
      <c r="AK19" s="102" t="e">
        <f>ROUND(AVERAGE(AK15:AK17),4)</f>
        <v>#REF!</v>
      </c>
      <c r="AL19" s="88"/>
      <c r="AM19" s="102" t="e">
        <f>ROUND(AVERAGE(AM15:AM17),4)</f>
        <v>#REF!</v>
      </c>
      <c r="AN19" s="34"/>
      <c r="AO19" s="102" t="e">
        <f>ROUND(AVERAGE(AO15:AO17),4)</f>
        <v>#REF!</v>
      </c>
      <c r="AP19" s="88"/>
      <c r="AQ19" s="102" t="e">
        <f>ROUND(AVERAGE(AQ15:AQ17),4)</f>
        <v>#REF!</v>
      </c>
      <c r="AR19" s="88"/>
      <c r="AS19" s="102" t="e">
        <f>ROUND(AVERAGE(AS15:AS17),4)</f>
        <v>#REF!</v>
      </c>
      <c r="AT19" s="102"/>
      <c r="AU19" s="102" t="e">
        <f>ROUND(AVERAGE(AU15:AU17),4)</f>
        <v>#REF!</v>
      </c>
      <c r="AV19" s="88"/>
      <c r="AW19" s="102" t="e">
        <f>ROUND(AVERAGE(AW15:AW17),4)</f>
        <v>#REF!</v>
      </c>
      <c r="AX19" s="88"/>
      <c r="AY19" s="102" t="e">
        <f>ROUND(AVERAGE(AY15:AY17),4)</f>
        <v>#REF!</v>
      </c>
      <c r="AZ19" s="34"/>
      <c r="BA19" s="102" t="e">
        <f>ROUND(AVERAGE(BA15:BA17),4)</f>
        <v>#REF!</v>
      </c>
      <c r="BB19" s="88"/>
      <c r="BC19" s="102" t="e">
        <f>ROUND(AVERAGE(BC15:BC17),4)</f>
        <v>#REF!</v>
      </c>
    </row>
    <row r="20" spans="1:55" s="14" customFormat="1" x14ac:dyDescent="0.2">
      <c r="A20" s="19"/>
      <c r="C20" s="54"/>
      <c r="D20" s="10"/>
      <c r="G20" s="90"/>
      <c r="H20" s="87"/>
      <c r="I20" s="91"/>
      <c r="J20" s="87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34"/>
      <c r="AI20" s="16"/>
    </row>
    <row r="21" spans="1:55" s="14" customFormat="1" x14ac:dyDescent="0.2">
      <c r="A21" s="19"/>
      <c r="C21" s="54"/>
      <c r="D21" s="10"/>
      <c r="G21" s="55"/>
      <c r="H21" s="15"/>
      <c r="I21" s="56"/>
      <c r="J21" s="15"/>
      <c r="K21" s="15"/>
      <c r="L21" s="15"/>
      <c r="M21" s="15"/>
      <c r="N21" s="15"/>
      <c r="O21" s="15"/>
      <c r="P21" s="15"/>
      <c r="Q21" s="15"/>
      <c r="R21" s="15"/>
      <c r="T21" s="15"/>
      <c r="V21" s="16"/>
      <c r="W21" s="16"/>
      <c r="X21" s="15"/>
      <c r="Y21" s="15"/>
      <c r="Z21" s="16"/>
      <c r="AA21" s="15"/>
      <c r="AB21" s="16"/>
      <c r="AC21" s="15"/>
      <c r="AD21" s="16"/>
      <c r="AE21" s="15"/>
      <c r="AF21" s="15"/>
      <c r="AG21" s="15"/>
      <c r="AH21" s="15"/>
    </row>
    <row r="22" spans="1:55" s="14" customFormat="1" x14ac:dyDescent="0.2">
      <c r="A22" s="19"/>
      <c r="C22" s="99" t="s">
        <v>79</v>
      </c>
      <c r="D22" s="10"/>
      <c r="G22" s="55"/>
      <c r="H22" s="15"/>
      <c r="I22" s="51"/>
      <c r="J22" s="15"/>
      <c r="K22" s="15"/>
      <c r="L22" s="15"/>
      <c r="M22" s="15"/>
      <c r="N22" s="15"/>
      <c r="O22" s="15"/>
      <c r="P22" s="15"/>
      <c r="Q22" s="15"/>
      <c r="R22" s="15"/>
      <c r="T22" s="15"/>
      <c r="V22" s="16"/>
      <c r="W22" s="16"/>
      <c r="X22" s="15"/>
      <c r="Y22" s="15"/>
      <c r="Z22" s="16"/>
      <c r="AA22" s="15"/>
      <c r="AB22" s="16"/>
      <c r="AC22" s="15"/>
      <c r="AD22" s="16"/>
      <c r="AE22" s="15"/>
      <c r="AF22" s="15"/>
      <c r="AG22" s="15"/>
      <c r="AH22" s="15"/>
    </row>
    <row r="23" spans="1:55" s="17" customFormat="1" x14ac:dyDescent="0.2">
      <c r="A23" s="57"/>
      <c r="I23" s="58"/>
      <c r="M23" s="94"/>
      <c r="N23" s="92"/>
      <c r="P23" s="92"/>
      <c r="R23" s="92"/>
      <c r="T23" s="92"/>
      <c r="V23" s="92"/>
      <c r="X23" s="92"/>
      <c r="Z23" s="38"/>
      <c r="AB23" s="38"/>
      <c r="AD23" s="38"/>
      <c r="AE23" s="38"/>
      <c r="AF23" s="92"/>
    </row>
    <row r="24" spans="1:55" s="17" customFormat="1" x14ac:dyDescent="0.2">
      <c r="A24" s="57"/>
      <c r="C24" s="2" t="s">
        <v>2</v>
      </c>
      <c r="D24" s="10"/>
      <c r="E24" s="3" t="s">
        <v>3</v>
      </c>
      <c r="G24" s="84">
        <f>SUM(I24:BC24)</f>
        <v>6011842701.5199995</v>
      </c>
      <c r="I24" s="113">
        <f>I10</f>
        <v>503797716.75</v>
      </c>
      <c r="J24" s="8"/>
      <c r="K24" s="113">
        <f>K10</f>
        <v>465694921.06</v>
      </c>
      <c r="L24" s="8"/>
      <c r="M24" s="113">
        <f>M10</f>
        <v>178307235.72999999</v>
      </c>
      <c r="N24" s="49"/>
      <c r="O24" s="113">
        <f>O10</f>
        <v>494319819.33999997</v>
      </c>
      <c r="P24" s="49"/>
      <c r="Q24" s="113">
        <f>Q10</f>
        <v>1024397447.76</v>
      </c>
      <c r="R24" s="49"/>
      <c r="S24" s="113">
        <f>S10</f>
        <v>435562796.50999999</v>
      </c>
      <c r="T24" s="49"/>
      <c r="U24" s="113">
        <f>U10</f>
        <v>2909762764.3699999</v>
      </c>
      <c r="V24" s="1"/>
      <c r="W24" s="1"/>
      <c r="X24" s="92"/>
      <c r="Z24" s="38"/>
      <c r="AB24" s="38"/>
      <c r="AD24" s="38"/>
      <c r="AE24" s="38"/>
      <c r="AF24" s="92"/>
    </row>
    <row r="25" spans="1:55" s="17" customFormat="1" x14ac:dyDescent="0.2">
      <c r="A25" s="57"/>
      <c r="C25" s="3" t="s">
        <v>4</v>
      </c>
      <c r="D25" s="10"/>
      <c r="E25" s="3" t="s">
        <v>5</v>
      </c>
      <c r="G25" s="85" t="e">
        <f>SUM(I25:BC25)</f>
        <v>#REF!</v>
      </c>
      <c r="I25" s="114" t="e">
        <f>I11</f>
        <v>#REF!</v>
      </c>
      <c r="J25" s="8"/>
      <c r="K25" s="113">
        <f>K11</f>
        <v>247550.41666666666</v>
      </c>
      <c r="L25" s="8"/>
      <c r="M25" s="113" t="e">
        <f>M11</f>
        <v>#REF!</v>
      </c>
      <c r="N25" s="49"/>
      <c r="O25" s="113" t="e">
        <f>O11</f>
        <v>#REF!</v>
      </c>
      <c r="P25" s="49"/>
      <c r="Q25" s="113">
        <f>Q11</f>
        <v>528545.33333333337</v>
      </c>
      <c r="R25" s="49"/>
      <c r="S25" s="113" t="e">
        <f>S11</f>
        <v>#REF!</v>
      </c>
      <c r="T25" s="49"/>
      <c r="U25" s="113" t="e">
        <f>U11</f>
        <v>#REF!</v>
      </c>
      <c r="V25" s="1"/>
      <c r="W25" s="1"/>
      <c r="X25" s="92"/>
      <c r="Z25" s="38"/>
      <c r="AB25" s="38"/>
      <c r="AD25" s="38"/>
      <c r="AE25" s="38"/>
      <c r="AF25" s="92"/>
    </row>
    <row r="26" spans="1:55" s="17" customFormat="1" x14ac:dyDescent="0.2">
      <c r="A26" s="57"/>
      <c r="C26" s="2" t="s">
        <v>15</v>
      </c>
      <c r="D26" s="10"/>
      <c r="E26" s="3" t="s">
        <v>3</v>
      </c>
      <c r="G26" s="84">
        <f>SUM(I26:BC26)</f>
        <v>262881366.55000001</v>
      </c>
      <c r="I26" s="114">
        <f>I12</f>
        <v>27206253.27</v>
      </c>
      <c r="J26" s="8"/>
      <c r="K26" s="113">
        <f>K12</f>
        <v>23972323.100000001</v>
      </c>
      <c r="L26" s="8"/>
      <c r="M26" s="114">
        <f>M12</f>
        <v>10289510.67</v>
      </c>
      <c r="N26" s="49"/>
      <c r="O26" s="114">
        <f>O12</f>
        <v>22111377.52</v>
      </c>
      <c r="P26" s="49"/>
      <c r="Q26" s="113">
        <f>Q12</f>
        <v>49299476.899999999</v>
      </c>
      <c r="R26" s="49"/>
      <c r="S26" s="113">
        <f>S12</f>
        <v>31477147.5</v>
      </c>
      <c r="T26" s="49"/>
      <c r="U26" s="113">
        <f>U12</f>
        <v>98525277.590000004</v>
      </c>
      <c r="V26" s="1"/>
      <c r="W26" s="1"/>
      <c r="X26" s="92"/>
      <c r="Z26" s="38"/>
      <c r="AB26" s="38"/>
      <c r="AD26" s="38"/>
      <c r="AE26" s="38"/>
      <c r="AF26" s="92"/>
    </row>
    <row r="27" spans="1:55" s="17" customFormat="1" x14ac:dyDescent="0.2">
      <c r="A27" s="57"/>
      <c r="C27" s="50" t="s">
        <v>16</v>
      </c>
      <c r="D27" s="10"/>
      <c r="E27" s="3"/>
      <c r="I27" s="1"/>
      <c r="J27" s="4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92"/>
      <c r="Z27" s="38"/>
      <c r="AB27" s="38"/>
      <c r="AD27" s="38"/>
      <c r="AE27" s="38"/>
      <c r="AF27" s="92"/>
    </row>
    <row r="28" spans="1:55" s="17" customFormat="1" x14ac:dyDescent="0.2">
      <c r="A28" s="57"/>
      <c r="I28" s="58"/>
      <c r="M28" s="94"/>
      <c r="N28" s="92"/>
      <c r="P28" s="92"/>
      <c r="R28" s="92"/>
      <c r="T28" s="92"/>
      <c r="V28" s="92"/>
      <c r="W28" s="92"/>
      <c r="X28" s="92"/>
      <c r="Z28" s="38"/>
      <c r="AB28" s="38"/>
      <c r="AD28" s="38"/>
      <c r="AE28" s="38"/>
      <c r="AF28" s="92"/>
    </row>
    <row r="29" spans="1:55" s="17" customFormat="1" x14ac:dyDescent="0.2">
      <c r="A29" s="57"/>
      <c r="C29" s="2" t="s">
        <v>2</v>
      </c>
      <c r="D29" s="10"/>
      <c r="E29" s="14" t="s">
        <v>6</v>
      </c>
      <c r="F29" s="97"/>
      <c r="G29" s="102">
        <f>SUM(I29:BC29)</f>
        <v>1</v>
      </c>
      <c r="I29" s="102">
        <f>1-SUM(K29:BC29)</f>
        <v>8.3699999999999997E-2</v>
      </c>
      <c r="J29" s="103"/>
      <c r="K29" s="102">
        <f>ROUND(K24/$G$24,4)</f>
        <v>7.7499999999999999E-2</v>
      </c>
      <c r="L29" s="103"/>
      <c r="M29" s="102">
        <f>ROUND(M24/$G$24,4)</f>
        <v>2.9700000000000001E-2</v>
      </c>
      <c r="N29" s="104"/>
      <c r="O29" s="102">
        <f>ROUND(O24/$G$24,4)</f>
        <v>8.2199999999999995E-2</v>
      </c>
      <c r="P29" s="104"/>
      <c r="Q29" s="102">
        <f>ROUND(Q24/$G$24,4)</f>
        <v>0.1704</v>
      </c>
      <c r="R29" s="104"/>
      <c r="S29" s="102">
        <f>ROUND(S24/$G$24,4)</f>
        <v>7.2499999999999995E-2</v>
      </c>
      <c r="T29" s="104"/>
      <c r="U29" s="102">
        <f>ROUND(U24/$G$24,4)</f>
        <v>0.48399999999999999</v>
      </c>
      <c r="V29" s="104"/>
      <c r="W29" s="104"/>
      <c r="X29" s="92"/>
      <c r="Y29" s="105"/>
      <c r="Z29" s="106"/>
      <c r="AA29" s="105"/>
      <c r="AB29" s="106"/>
      <c r="AC29" s="105"/>
      <c r="AD29" s="106"/>
      <c r="AE29" s="106"/>
      <c r="AF29" s="92"/>
    </row>
    <row r="30" spans="1:55" s="17" customFormat="1" x14ac:dyDescent="0.2">
      <c r="A30" s="57"/>
      <c r="C30" s="3" t="s">
        <v>4</v>
      </c>
      <c r="D30" s="10"/>
      <c r="E30" s="14" t="s">
        <v>6</v>
      </c>
      <c r="F30" s="97"/>
      <c r="G30" s="102" t="e">
        <f>SUM(I30:BC30)</f>
        <v>#REF!</v>
      </c>
      <c r="I30" s="102" t="e">
        <f>1-SUM(K30:BC30)</f>
        <v>#REF!</v>
      </c>
      <c r="J30" s="103"/>
      <c r="K30" s="102" t="e">
        <f>ROUND(K25/$G$25,4)</f>
        <v>#REF!</v>
      </c>
      <c r="L30" s="103"/>
      <c r="M30" s="102" t="e">
        <f>ROUND(M25/$G$25,4)</f>
        <v>#REF!</v>
      </c>
      <c r="N30" s="104"/>
      <c r="O30" s="102" t="e">
        <f>ROUND(O25/$G$25,4)</f>
        <v>#REF!</v>
      </c>
      <c r="P30" s="104"/>
      <c r="Q30" s="102" t="e">
        <f>ROUND(Q25/$G$25,4)</f>
        <v>#REF!</v>
      </c>
      <c r="R30" s="104"/>
      <c r="S30" s="102" t="e">
        <f>ROUND(S25/$G$25,4)</f>
        <v>#REF!</v>
      </c>
      <c r="T30" s="104"/>
      <c r="U30" s="102" t="e">
        <f>ROUND(U25/$G$25,4)</f>
        <v>#REF!</v>
      </c>
      <c r="V30" s="104"/>
      <c r="W30" s="104"/>
      <c r="X30" s="92"/>
      <c r="Z30" s="38"/>
      <c r="AB30" s="38"/>
      <c r="AD30" s="38"/>
      <c r="AE30" s="38"/>
      <c r="AF30" s="92"/>
    </row>
    <row r="31" spans="1:55" s="17" customFormat="1" x14ac:dyDescent="0.2">
      <c r="A31" s="57"/>
      <c r="C31" s="2" t="s">
        <v>7</v>
      </c>
      <c r="D31" s="10"/>
      <c r="E31" s="14" t="s">
        <v>6</v>
      </c>
      <c r="F31" s="97"/>
      <c r="G31" s="102">
        <f>SUM(I31:BC31)</f>
        <v>1</v>
      </c>
      <c r="I31" s="102">
        <f>1-SUM(K31:BC31)</f>
        <v>0.10360000000000003</v>
      </c>
      <c r="J31" s="103"/>
      <c r="K31" s="102">
        <f>ROUND(K26/$G$26,4)</f>
        <v>9.1200000000000003E-2</v>
      </c>
      <c r="L31" s="103"/>
      <c r="M31" s="102">
        <f>ROUND(M26/$G$26,4)</f>
        <v>3.9100000000000003E-2</v>
      </c>
      <c r="N31" s="104"/>
      <c r="O31" s="102">
        <f>ROUND(O26/$G$26,4)</f>
        <v>8.4099999999999994E-2</v>
      </c>
      <c r="P31" s="104"/>
      <c r="Q31" s="102">
        <f>ROUND(Q26/$G$26,4)</f>
        <v>0.1875</v>
      </c>
      <c r="R31" s="104"/>
      <c r="S31" s="102">
        <f>ROUND(S26/$G$26,4)</f>
        <v>0.1197</v>
      </c>
      <c r="T31" s="104"/>
      <c r="U31" s="102">
        <f>ROUND(U26/$G$26,4)</f>
        <v>0.37480000000000002</v>
      </c>
      <c r="V31" s="104"/>
      <c r="W31" s="104"/>
      <c r="X31" s="92"/>
      <c r="Z31" s="38"/>
      <c r="AB31" s="38"/>
      <c r="AD31" s="38"/>
      <c r="AE31" s="38"/>
      <c r="AF31" s="92"/>
    </row>
    <row r="32" spans="1:55" s="17" customFormat="1" x14ac:dyDescent="0.2">
      <c r="A32" s="57"/>
      <c r="C32" s="54"/>
      <c r="D32" s="10"/>
      <c r="E32" s="14"/>
      <c r="G32" s="93"/>
      <c r="I32" s="103"/>
      <c r="J32" s="103"/>
      <c r="K32" s="103"/>
      <c r="L32" s="103"/>
      <c r="M32" s="103"/>
      <c r="N32" s="104"/>
      <c r="O32" s="103"/>
      <c r="P32" s="104"/>
      <c r="Q32" s="103"/>
      <c r="R32" s="104"/>
      <c r="S32" s="103"/>
      <c r="T32" s="104"/>
      <c r="U32" s="103"/>
      <c r="V32" s="104"/>
      <c r="W32" s="104"/>
      <c r="X32" s="92"/>
      <c r="Z32" s="38"/>
      <c r="AB32" s="38"/>
      <c r="AD32" s="38"/>
      <c r="AE32" s="38"/>
      <c r="AF32" s="92"/>
    </row>
    <row r="33" spans="1:32" s="17" customFormat="1" x14ac:dyDescent="0.2">
      <c r="A33" s="57"/>
      <c r="C33" s="54" t="str">
        <f>C19</f>
        <v>Total Composite Factor for FY 2013</v>
      </c>
      <c r="D33" s="10"/>
      <c r="E33" s="14" t="s">
        <v>6</v>
      </c>
      <c r="G33" s="102" t="e">
        <f>SUM(I33:BC33)</f>
        <v>#REF!</v>
      </c>
      <c r="I33" s="102" t="e">
        <f>1-SUM(K33:BC33)</f>
        <v>#REF!</v>
      </c>
      <c r="J33" s="103"/>
      <c r="K33" s="102" t="e">
        <f>ROUND(AVERAGE(K29:K31),4)</f>
        <v>#REF!</v>
      </c>
      <c r="L33" s="103"/>
      <c r="M33" s="102" t="e">
        <f>ROUND(AVERAGE(M29:M31),4)</f>
        <v>#REF!</v>
      </c>
      <c r="N33" s="104"/>
      <c r="O33" s="102" t="e">
        <f>ROUND(AVERAGE(O29:O31),4)</f>
        <v>#REF!</v>
      </c>
      <c r="P33" s="104"/>
      <c r="Q33" s="102" t="e">
        <f>ROUND(AVERAGE(Q29:Q31),4)</f>
        <v>#REF!</v>
      </c>
      <c r="R33" s="104"/>
      <c r="S33" s="102" t="e">
        <f>ROUND(AVERAGE(S29:S31),4)</f>
        <v>#REF!</v>
      </c>
      <c r="T33" s="104"/>
      <c r="U33" s="102" t="e">
        <f>ROUND(AVERAGE(U29:U31),4)</f>
        <v>#REF!</v>
      </c>
      <c r="V33" s="111"/>
      <c r="W33" s="104"/>
      <c r="X33" s="92"/>
      <c r="Z33" s="38"/>
      <c r="AB33" s="38"/>
      <c r="AD33" s="38"/>
      <c r="AE33" s="38"/>
      <c r="AF33" s="92"/>
    </row>
    <row r="34" spans="1:32" s="17" customFormat="1" x14ac:dyDescent="0.2">
      <c r="A34" s="57"/>
      <c r="C34" s="54"/>
      <c r="D34" s="10"/>
      <c r="E34" s="14"/>
      <c r="I34" s="59"/>
      <c r="N34" s="92"/>
      <c r="O34" s="93"/>
      <c r="P34" s="92"/>
      <c r="R34" s="92"/>
      <c r="T34" s="92"/>
      <c r="V34" s="92"/>
      <c r="X34" s="92"/>
      <c r="Z34" s="38"/>
      <c r="AB34" s="38"/>
      <c r="AD34" s="38"/>
      <c r="AE34" s="38"/>
      <c r="AF34" s="92"/>
    </row>
    <row r="35" spans="1:32" x14ac:dyDescent="0.2">
      <c r="O35" s="93"/>
    </row>
    <row r="36" spans="1:32" x14ac:dyDescent="0.2">
      <c r="C36" s="99" t="s">
        <v>81</v>
      </c>
      <c r="D36" s="10"/>
      <c r="E36" s="14"/>
      <c r="F36" s="14"/>
      <c r="G36" s="55"/>
      <c r="H36" s="15"/>
      <c r="I36" s="56"/>
      <c r="J36" s="15"/>
      <c r="K36" s="15"/>
      <c r="L36" s="15"/>
      <c r="M36" s="15"/>
      <c r="N36" s="15"/>
      <c r="O36" s="15"/>
      <c r="P36" s="15"/>
      <c r="Q36" s="15"/>
      <c r="R36" s="15"/>
      <c r="S36" s="14"/>
      <c r="T36" s="15"/>
      <c r="U36" s="14"/>
    </row>
    <row r="37" spans="1:32" x14ac:dyDescent="0.2">
      <c r="C37" s="17"/>
      <c r="D37" s="17"/>
      <c r="E37" s="17"/>
      <c r="F37" s="17"/>
      <c r="G37" s="17"/>
      <c r="H37" s="17"/>
      <c r="I37" s="58"/>
      <c r="J37" s="17"/>
      <c r="K37" s="17"/>
      <c r="L37" s="17"/>
      <c r="M37" s="94"/>
      <c r="N37" s="92"/>
      <c r="O37" s="17"/>
      <c r="P37" s="92"/>
      <c r="Q37" s="17"/>
      <c r="R37" s="92"/>
      <c r="S37" s="17"/>
      <c r="T37" s="92"/>
      <c r="U37" s="17"/>
    </row>
    <row r="38" spans="1:32" x14ac:dyDescent="0.2">
      <c r="C38" s="2" t="s">
        <v>2</v>
      </c>
      <c r="D38" s="10"/>
      <c r="E38" s="3" t="s">
        <v>3</v>
      </c>
      <c r="F38" s="17"/>
      <c r="G38" s="84">
        <f>SUM(I38:BC38)</f>
        <v>7292601707.7199993</v>
      </c>
      <c r="H38" s="17"/>
      <c r="I38" s="113">
        <f>I10</f>
        <v>503797716.75</v>
      </c>
      <c r="J38" s="8"/>
      <c r="K38" s="113">
        <f>K10</f>
        <v>465694921.06</v>
      </c>
      <c r="L38" s="8"/>
      <c r="M38" s="113">
        <f>M10</f>
        <v>178307235.72999999</v>
      </c>
      <c r="N38" s="49"/>
      <c r="O38" s="113">
        <f>O10</f>
        <v>494319819.33999997</v>
      </c>
      <c r="P38" s="49"/>
      <c r="Q38" s="113">
        <f>Q10</f>
        <v>1024397447.76</v>
      </c>
      <c r="R38" s="49"/>
      <c r="S38" s="113">
        <f>S10</f>
        <v>435562796.50999999</v>
      </c>
      <c r="T38" s="49"/>
      <c r="U38" s="113">
        <f>U10</f>
        <v>2909762764.3699999</v>
      </c>
      <c r="W38" s="113">
        <f>W10</f>
        <v>1280759006.2</v>
      </c>
    </row>
    <row r="39" spans="1:32" x14ac:dyDescent="0.2">
      <c r="C39" s="3" t="s">
        <v>4</v>
      </c>
      <c r="D39" s="10"/>
      <c r="E39" s="3" t="s">
        <v>5</v>
      </c>
      <c r="F39" s="17"/>
      <c r="G39" s="85" t="e">
        <f>SUM(I39:BC39)</f>
        <v>#REF!</v>
      </c>
      <c r="H39" s="17"/>
      <c r="I39" s="113" t="e">
        <f>I11</f>
        <v>#REF!</v>
      </c>
      <c r="J39" s="8"/>
      <c r="K39" s="113">
        <f>K11</f>
        <v>247550.41666666666</v>
      </c>
      <c r="L39" s="8"/>
      <c r="M39" s="113" t="e">
        <f>M11</f>
        <v>#REF!</v>
      </c>
      <c r="N39" s="49"/>
      <c r="O39" s="113" t="e">
        <f>O11</f>
        <v>#REF!</v>
      </c>
      <c r="P39" s="49"/>
      <c r="Q39" s="113">
        <f>Q11</f>
        <v>528545.33333333337</v>
      </c>
      <c r="R39" s="49"/>
      <c r="S39" s="113" t="e">
        <f>S11</f>
        <v>#REF!</v>
      </c>
      <c r="T39" s="49"/>
      <c r="U39" s="113" t="e">
        <f>U11</f>
        <v>#REF!</v>
      </c>
      <c r="W39" s="113" t="e">
        <f>W11</f>
        <v>#REF!</v>
      </c>
    </row>
    <row r="40" spans="1:32" x14ac:dyDescent="0.2">
      <c r="C40" s="2" t="s">
        <v>15</v>
      </c>
      <c r="D40" s="10"/>
      <c r="E40" s="3" t="s">
        <v>3</v>
      </c>
      <c r="F40" s="17"/>
      <c r="G40" s="84">
        <f>SUM(I40:BC40)</f>
        <v>325873933.07999998</v>
      </c>
      <c r="H40" s="17"/>
      <c r="I40" s="113">
        <f>I12</f>
        <v>27206253.27</v>
      </c>
      <c r="J40" s="8"/>
      <c r="K40" s="113">
        <f>K12</f>
        <v>23972323.100000001</v>
      </c>
      <c r="L40" s="8"/>
      <c r="M40" s="113">
        <f>M12</f>
        <v>10289510.67</v>
      </c>
      <c r="N40" s="49"/>
      <c r="O40" s="113">
        <f>O12</f>
        <v>22111377.52</v>
      </c>
      <c r="P40" s="49"/>
      <c r="Q40" s="113">
        <f>Q12</f>
        <v>49299476.899999999</v>
      </c>
      <c r="R40" s="49"/>
      <c r="S40" s="113">
        <f>S12</f>
        <v>31477147.5</v>
      </c>
      <c r="T40" s="49"/>
      <c r="U40" s="113">
        <f>U12</f>
        <v>98525277.590000004</v>
      </c>
      <c r="W40" s="113">
        <f>W12</f>
        <v>62992566.529999994</v>
      </c>
    </row>
    <row r="41" spans="1:32" x14ac:dyDescent="0.2">
      <c r="C41" s="50" t="s">
        <v>16</v>
      </c>
      <c r="D41" s="10"/>
      <c r="E41" s="3"/>
      <c r="F41" s="17"/>
      <c r="G41" s="17"/>
      <c r="H41" s="17"/>
      <c r="I41" s="1"/>
      <c r="J41" s="4"/>
      <c r="K41" s="1"/>
      <c r="L41" s="4"/>
      <c r="M41" s="1"/>
      <c r="N41" s="1"/>
      <c r="O41" s="1"/>
      <c r="P41" s="1"/>
      <c r="Q41" s="1"/>
      <c r="R41" s="1"/>
      <c r="S41" s="1"/>
      <c r="T41" s="1"/>
      <c r="U41" s="1"/>
      <c r="W41" s="18"/>
    </row>
    <row r="42" spans="1:32" x14ac:dyDescent="0.2">
      <c r="C42" s="17"/>
      <c r="D42" s="17"/>
      <c r="E42" s="17"/>
      <c r="F42" s="17"/>
      <c r="G42" s="17"/>
      <c r="H42" s="17"/>
      <c r="I42" s="58"/>
      <c r="J42" s="17"/>
      <c r="K42" s="17"/>
      <c r="L42" s="17"/>
      <c r="M42" s="94"/>
      <c r="N42" s="92"/>
      <c r="O42" s="17"/>
      <c r="P42" s="92"/>
      <c r="Q42" s="17"/>
      <c r="R42" s="92"/>
      <c r="S42" s="17"/>
      <c r="T42" s="92"/>
      <c r="U42" s="17"/>
    </row>
    <row r="43" spans="1:32" x14ac:dyDescent="0.2">
      <c r="C43" s="2" t="s">
        <v>2</v>
      </c>
      <c r="D43" s="10"/>
      <c r="E43" s="14" t="s">
        <v>6</v>
      </c>
      <c r="F43" s="97"/>
      <c r="G43" s="102">
        <f>SUM(I43:BC43)</f>
        <v>1</v>
      </c>
      <c r="H43" s="17"/>
      <c r="I43" s="102">
        <f>1-SUM(K43:BC43)</f>
        <v>6.899999999999995E-2</v>
      </c>
      <c r="J43" s="103"/>
      <c r="K43" s="102">
        <f>ROUND(K38/$G$38,4)</f>
        <v>6.3899999999999998E-2</v>
      </c>
      <c r="L43" s="103"/>
      <c r="M43" s="102">
        <f>ROUND(M38/$G$38,4)</f>
        <v>2.4500000000000001E-2</v>
      </c>
      <c r="N43" s="104"/>
      <c r="O43" s="102">
        <f>ROUND(O38/$G$38,4)</f>
        <v>6.7799999999999999E-2</v>
      </c>
      <c r="P43" s="104"/>
      <c r="Q43" s="102">
        <f>ROUND(Q38/$G$38,4)</f>
        <v>0.14050000000000001</v>
      </c>
      <c r="R43" s="104"/>
      <c r="S43" s="102">
        <f>ROUND(S38/$G$38,4)</f>
        <v>5.9700000000000003E-2</v>
      </c>
      <c r="T43" s="104"/>
      <c r="U43" s="102">
        <f>ROUND(U38/$G$38,4)</f>
        <v>0.39900000000000002</v>
      </c>
      <c r="W43" s="102">
        <f>ROUND(W38/$G$38,4)</f>
        <v>0.17560000000000001</v>
      </c>
    </row>
    <row r="44" spans="1:32" x14ac:dyDescent="0.2">
      <c r="C44" s="3" t="s">
        <v>4</v>
      </c>
      <c r="D44" s="10"/>
      <c r="E44" s="14" t="s">
        <v>6</v>
      </c>
      <c r="F44" s="97"/>
      <c r="G44" s="102" t="e">
        <f>SUM(I44:BC44)</f>
        <v>#REF!</v>
      </c>
      <c r="H44" s="17"/>
      <c r="I44" s="102" t="e">
        <f>1-SUM(K44:BC44)</f>
        <v>#REF!</v>
      </c>
      <c r="J44" s="103"/>
      <c r="K44" s="102" t="e">
        <f>ROUND(K39/$G$39,4)</f>
        <v>#REF!</v>
      </c>
      <c r="L44" s="103"/>
      <c r="M44" s="102" t="e">
        <f>ROUND(M39/$G$39,4)</f>
        <v>#REF!</v>
      </c>
      <c r="N44" s="104"/>
      <c r="O44" s="102" t="e">
        <f>ROUND(O39/$G$39,4)</f>
        <v>#REF!</v>
      </c>
      <c r="P44" s="104"/>
      <c r="Q44" s="102" t="e">
        <f>ROUND(Q39/$G$39,4)</f>
        <v>#REF!</v>
      </c>
      <c r="R44" s="104"/>
      <c r="S44" s="102" t="e">
        <f>ROUND(S39/$G$39,4)</f>
        <v>#REF!</v>
      </c>
      <c r="T44" s="104"/>
      <c r="U44" s="102" t="e">
        <f>ROUND(U39/$G$39,4)</f>
        <v>#REF!</v>
      </c>
      <c r="W44" s="102" t="e">
        <f>ROUND(W39/$G$39,4)</f>
        <v>#REF!</v>
      </c>
    </row>
    <row r="45" spans="1:32" x14ac:dyDescent="0.2">
      <c r="C45" s="2" t="s">
        <v>7</v>
      </c>
      <c r="D45" s="10"/>
      <c r="E45" s="14" t="s">
        <v>6</v>
      </c>
      <c r="F45" s="97"/>
      <c r="G45" s="102">
        <f>SUM(I45:BC45)</f>
        <v>1</v>
      </c>
      <c r="H45" s="17"/>
      <c r="I45" s="102">
        <f>1-SUM(K45:BC45)</f>
        <v>8.3399999999999919E-2</v>
      </c>
      <c r="J45" s="103"/>
      <c r="K45" s="102">
        <f>ROUND(K40/$G$40,4)</f>
        <v>7.3599999999999999E-2</v>
      </c>
      <c r="L45" s="103"/>
      <c r="M45" s="102">
        <f>ROUND(M40/$G$40,4)</f>
        <v>3.1600000000000003E-2</v>
      </c>
      <c r="N45" s="104"/>
      <c r="O45" s="102">
        <f>ROUND(O40/$G$40,4)</f>
        <v>6.7900000000000002E-2</v>
      </c>
      <c r="P45" s="104"/>
      <c r="Q45" s="102">
        <f>ROUND(Q40/$G$40,4)</f>
        <v>0.15129999999999999</v>
      </c>
      <c r="R45" s="104"/>
      <c r="S45" s="102">
        <f>ROUND(S40/$G$40,4)</f>
        <v>9.6600000000000005E-2</v>
      </c>
      <c r="T45" s="104"/>
      <c r="U45" s="102">
        <f>ROUND(U40/$G$40,4)</f>
        <v>0.30230000000000001</v>
      </c>
      <c r="W45" s="102">
        <f>ROUND(W40/$G$40,4)</f>
        <v>0.1933</v>
      </c>
    </row>
    <row r="46" spans="1:32" x14ac:dyDescent="0.2">
      <c r="C46" s="54"/>
      <c r="D46" s="10"/>
      <c r="E46" s="14"/>
      <c r="F46" s="17"/>
      <c r="G46" s="93"/>
      <c r="H46" s="17"/>
      <c r="I46" s="103"/>
      <c r="J46" s="103"/>
      <c r="K46" s="103"/>
      <c r="L46" s="103"/>
      <c r="M46" s="103"/>
      <c r="N46" s="104"/>
      <c r="O46" s="103"/>
      <c r="P46" s="104"/>
      <c r="Q46" s="103"/>
      <c r="R46" s="104"/>
      <c r="S46" s="103"/>
      <c r="T46" s="104"/>
      <c r="U46" s="103"/>
      <c r="W46" s="90"/>
    </row>
    <row r="47" spans="1:32" x14ac:dyDescent="0.2">
      <c r="C47" s="123" t="str">
        <f>C19</f>
        <v>Total Composite Factor for FY 2013</v>
      </c>
      <c r="D47" s="10"/>
      <c r="E47" s="14" t="s">
        <v>6</v>
      </c>
      <c r="F47" s="17"/>
      <c r="G47" s="102" t="e">
        <f>SUM(I47:BC47)</f>
        <v>#REF!</v>
      </c>
      <c r="H47" s="17"/>
      <c r="I47" s="102" t="e">
        <f>1-SUM(K47:BC47)</f>
        <v>#REF!</v>
      </c>
      <c r="J47" s="103"/>
      <c r="K47" s="102" t="e">
        <f>ROUND(AVERAGE(K43:K45),4)</f>
        <v>#REF!</v>
      </c>
      <c r="L47" s="103"/>
      <c r="M47" s="102" t="e">
        <f>ROUND(AVERAGE(M43:M45),4)</f>
        <v>#REF!</v>
      </c>
      <c r="N47" s="104"/>
      <c r="O47" s="102" t="e">
        <f>ROUND(AVERAGE(O43:O45),4)</f>
        <v>#REF!</v>
      </c>
      <c r="P47" s="104"/>
      <c r="Q47" s="102" t="e">
        <f>ROUND(AVERAGE(Q43:Q45),4)</f>
        <v>#REF!</v>
      </c>
      <c r="R47" s="104"/>
      <c r="S47" s="102" t="e">
        <f>ROUND(AVERAGE(S43:S45),4)</f>
        <v>#REF!</v>
      </c>
      <c r="T47" s="104"/>
      <c r="U47" s="102" t="e">
        <f>ROUND(AVERAGE(U43:U45),4)</f>
        <v>#REF!</v>
      </c>
      <c r="V47" s="111"/>
      <c r="W47" s="102" t="e">
        <f>ROUND(AVERAGE(W43:W45),4)</f>
        <v>#REF!</v>
      </c>
    </row>
    <row r="50" spans="3:49" x14ac:dyDescent="0.2">
      <c r="C50" s="99" t="s">
        <v>85</v>
      </c>
      <c r="D50" s="10"/>
      <c r="E50" s="14"/>
      <c r="F50" s="14"/>
      <c r="G50" s="55"/>
      <c r="H50" s="15"/>
      <c r="I50" s="56"/>
      <c r="J50" s="15"/>
      <c r="K50" s="15"/>
      <c r="L50" s="15"/>
      <c r="M50" s="15"/>
      <c r="N50" s="15"/>
      <c r="O50" s="15"/>
      <c r="P50" s="15"/>
      <c r="Q50" s="15"/>
      <c r="R50" s="15"/>
      <c r="S50" s="14"/>
      <c r="T50" s="15"/>
      <c r="U50" s="14"/>
    </row>
    <row r="51" spans="3:49" x14ac:dyDescent="0.2">
      <c r="C51" s="17"/>
      <c r="D51" s="17"/>
      <c r="E51" s="17"/>
      <c r="F51" s="17"/>
      <c r="G51" s="17"/>
      <c r="H51" s="17"/>
      <c r="I51" s="58"/>
      <c r="J51" s="17"/>
      <c r="K51" s="17"/>
      <c r="L51" s="17"/>
      <c r="M51" s="94"/>
      <c r="N51" s="92"/>
      <c r="O51" s="17"/>
      <c r="P51" s="92"/>
      <c r="Q51" s="17"/>
      <c r="R51" s="92"/>
      <c r="S51" s="17"/>
      <c r="T51" s="92"/>
      <c r="U51" s="17"/>
    </row>
    <row r="52" spans="3:49" x14ac:dyDescent="0.2">
      <c r="C52" s="2" t="s">
        <v>2</v>
      </c>
      <c r="D52" s="10"/>
      <c r="E52" s="3" t="s">
        <v>3</v>
      </c>
      <c r="F52" s="17"/>
      <c r="G52" s="84">
        <f>SUM(I52:BC52)</f>
        <v>7316055578.9199991</v>
      </c>
      <c r="H52" s="17"/>
      <c r="I52" s="113">
        <f>I10</f>
        <v>503797716.75</v>
      </c>
      <c r="J52" s="8"/>
      <c r="K52" s="113">
        <f>K10</f>
        <v>465694921.06</v>
      </c>
      <c r="L52" s="8"/>
      <c r="M52" s="113">
        <f>M10</f>
        <v>178307235.72999999</v>
      </c>
      <c r="N52" s="49"/>
      <c r="O52" s="113">
        <f>O10</f>
        <v>494319819.33999997</v>
      </c>
      <c r="P52" s="49"/>
      <c r="Q52" s="113">
        <f>Q10</f>
        <v>1024397447.76</v>
      </c>
      <c r="R52" s="49"/>
      <c r="S52" s="113">
        <f>S10</f>
        <v>435562796.50999999</v>
      </c>
      <c r="T52" s="49"/>
      <c r="U52" s="113">
        <f>U10</f>
        <v>2909762764.3699999</v>
      </c>
      <c r="W52" s="113">
        <f>W10</f>
        <v>1280759006.2</v>
      </c>
      <c r="AE52" s="117"/>
      <c r="AG52" s="49"/>
      <c r="AH52" s="48"/>
      <c r="AW52" s="113">
        <f>AW10</f>
        <v>23453871.199999999</v>
      </c>
    </row>
    <row r="53" spans="3:49" x14ac:dyDescent="0.2">
      <c r="C53" s="3" t="s">
        <v>4</v>
      </c>
      <c r="D53" s="10"/>
      <c r="E53" s="3" t="s">
        <v>5</v>
      </c>
      <c r="F53" s="17"/>
      <c r="G53" s="84" t="e">
        <f>SUM(I53:BC53)</f>
        <v>#REF!</v>
      </c>
      <c r="H53" s="17"/>
      <c r="I53" s="113" t="e">
        <f>I11</f>
        <v>#REF!</v>
      </c>
      <c r="J53" s="8"/>
      <c r="K53" s="113">
        <f>K11</f>
        <v>247550.41666666666</v>
      </c>
      <c r="L53" s="8"/>
      <c r="M53" s="113" t="e">
        <f>M11</f>
        <v>#REF!</v>
      </c>
      <c r="N53" s="49"/>
      <c r="O53" s="113" t="e">
        <f>O11</f>
        <v>#REF!</v>
      </c>
      <c r="P53" s="49"/>
      <c r="Q53" s="113">
        <f>Q11</f>
        <v>528545.33333333337</v>
      </c>
      <c r="R53" s="49"/>
      <c r="S53" s="113" t="e">
        <f>S11</f>
        <v>#REF!</v>
      </c>
      <c r="T53" s="49"/>
      <c r="U53" s="113" t="e">
        <f>U11</f>
        <v>#REF!</v>
      </c>
      <c r="W53" s="113" t="e">
        <f>W11</f>
        <v>#REF!</v>
      </c>
      <c r="AE53" s="117"/>
      <c r="AG53" s="49"/>
      <c r="AH53" s="48"/>
      <c r="AW53" s="113">
        <f>AW11</f>
        <v>7</v>
      </c>
    </row>
    <row r="54" spans="3:49" x14ac:dyDescent="0.2">
      <c r="C54" s="2" t="s">
        <v>15</v>
      </c>
      <c r="D54" s="10"/>
      <c r="E54" s="3" t="s">
        <v>3</v>
      </c>
      <c r="F54" s="17"/>
      <c r="G54" s="84">
        <f>SUM(I54:BC54)</f>
        <v>327162846.78999996</v>
      </c>
      <c r="H54" s="17"/>
      <c r="I54" s="113">
        <f>I12</f>
        <v>27206253.27</v>
      </c>
      <c r="J54" s="8"/>
      <c r="K54" s="113">
        <f>K12</f>
        <v>23972323.100000001</v>
      </c>
      <c r="L54" s="8"/>
      <c r="M54" s="113">
        <f>M12</f>
        <v>10289510.67</v>
      </c>
      <c r="N54" s="49"/>
      <c r="O54" s="113">
        <f>O12</f>
        <v>22111377.52</v>
      </c>
      <c r="P54" s="49"/>
      <c r="Q54" s="113">
        <f>Q12</f>
        <v>49299476.899999999</v>
      </c>
      <c r="R54" s="49"/>
      <c r="S54" s="113">
        <f>S12</f>
        <v>31477147.5</v>
      </c>
      <c r="T54" s="49"/>
      <c r="U54" s="113">
        <f>U12</f>
        <v>98525277.590000004</v>
      </c>
      <c r="W54" s="113">
        <f>W12</f>
        <v>62992566.529999994</v>
      </c>
      <c r="AE54" s="117"/>
      <c r="AG54" s="49"/>
      <c r="AH54" s="48"/>
      <c r="AW54" s="113">
        <f>AW12</f>
        <v>1288913.71</v>
      </c>
    </row>
    <row r="55" spans="3:49" x14ac:dyDescent="0.2">
      <c r="C55" s="50" t="s">
        <v>16</v>
      </c>
      <c r="D55" s="10"/>
      <c r="E55" s="3"/>
      <c r="F55" s="17"/>
      <c r="G55" s="17"/>
      <c r="H55" s="17"/>
      <c r="I55" s="1"/>
      <c r="J55" s="4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W55" s="18"/>
      <c r="AE55" s="117"/>
      <c r="AG55" s="18"/>
      <c r="AH55" s="48"/>
      <c r="AW55" s="18"/>
    </row>
    <row r="56" spans="3:49" x14ac:dyDescent="0.2">
      <c r="C56" s="17"/>
      <c r="D56" s="17"/>
      <c r="E56" s="17"/>
      <c r="F56" s="17"/>
      <c r="G56" s="17"/>
      <c r="H56" s="17"/>
      <c r="I56" s="58"/>
      <c r="J56" s="17"/>
      <c r="K56" s="17"/>
      <c r="L56" s="17"/>
      <c r="M56" s="94"/>
      <c r="N56" s="92"/>
      <c r="O56" s="17"/>
      <c r="P56" s="92"/>
      <c r="Q56" s="17"/>
      <c r="R56" s="92"/>
      <c r="S56" s="17"/>
      <c r="T56" s="92"/>
      <c r="U56" s="17"/>
      <c r="AE56" s="117"/>
      <c r="AG56" s="48"/>
      <c r="AH56" s="48"/>
    </row>
    <row r="57" spans="3:49" x14ac:dyDescent="0.2">
      <c r="C57" s="2" t="s">
        <v>2</v>
      </c>
      <c r="D57" s="10"/>
      <c r="E57" s="14" t="s">
        <v>6</v>
      </c>
      <c r="F57" s="97"/>
      <c r="G57" s="102">
        <f>SUM(I57:BC57)</f>
        <v>1</v>
      </c>
      <c r="H57" s="17"/>
      <c r="I57" s="102">
        <f>1-SUM(K57:BC57)</f>
        <v>6.8799999999999972E-2</v>
      </c>
      <c r="J57" s="103"/>
      <c r="K57" s="102">
        <f>ROUND(K52/$G$52,4)</f>
        <v>6.3700000000000007E-2</v>
      </c>
      <c r="L57" s="103"/>
      <c r="M57" s="102">
        <f>ROUND(M52/$G$52,4)</f>
        <v>2.4400000000000002E-2</v>
      </c>
      <c r="N57" s="104"/>
      <c r="O57" s="102">
        <f>ROUND(O52/$G$52,4)</f>
        <v>6.7599999999999993E-2</v>
      </c>
      <c r="P57" s="104"/>
      <c r="Q57" s="102">
        <f>ROUND(Q52/$G$52,4)</f>
        <v>0.14000000000000001</v>
      </c>
      <c r="R57" s="104"/>
      <c r="S57" s="102">
        <f>ROUND(S52/$G$52,4)</f>
        <v>5.9499999999999997E-2</v>
      </c>
      <c r="T57" s="104"/>
      <c r="U57" s="102">
        <f>ROUND(U52/$G$52,4)</f>
        <v>0.3977</v>
      </c>
      <c r="W57" s="102">
        <f>ROUND(W52/$G$52,4)</f>
        <v>0.17510000000000001</v>
      </c>
      <c r="AE57" s="117"/>
      <c r="AG57" s="104"/>
      <c r="AH57" s="48"/>
      <c r="AW57" s="102">
        <f>ROUND(AW52/$G$52,4)</f>
        <v>3.2000000000000002E-3</v>
      </c>
    </row>
    <row r="58" spans="3:49" x14ac:dyDescent="0.2">
      <c r="C58" s="3" t="s">
        <v>4</v>
      </c>
      <c r="D58" s="10"/>
      <c r="E58" s="14" t="s">
        <v>6</v>
      </c>
      <c r="F58" s="97"/>
      <c r="G58" s="102" t="e">
        <f>SUM(I58:BC58)</f>
        <v>#REF!</v>
      </c>
      <c r="H58" s="17"/>
      <c r="I58" s="102" t="e">
        <f>1-SUM(K58:BC58)</f>
        <v>#REF!</v>
      </c>
      <c r="J58" s="103"/>
      <c r="K58" s="102" t="e">
        <f>ROUND(K53/$G$53,4)</f>
        <v>#REF!</v>
      </c>
      <c r="L58" s="103"/>
      <c r="M58" s="102" t="e">
        <f>ROUND(M53/$G$53,4)</f>
        <v>#REF!</v>
      </c>
      <c r="N58" s="104"/>
      <c r="O58" s="102" t="e">
        <f>ROUND(O53/$G$53,4)</f>
        <v>#REF!</v>
      </c>
      <c r="P58" s="104"/>
      <c r="Q58" s="102" t="e">
        <f>ROUND(Q53/$G$53,4)</f>
        <v>#REF!</v>
      </c>
      <c r="R58" s="104"/>
      <c r="S58" s="102" t="e">
        <f>ROUND(S53/$G$53,4)</f>
        <v>#REF!</v>
      </c>
      <c r="T58" s="104"/>
      <c r="U58" s="102" t="e">
        <f>ROUND(U53/$G$53,4)</f>
        <v>#REF!</v>
      </c>
      <c r="W58" s="102" t="e">
        <f>ROUND(W53/$G$53,4)</f>
        <v>#REF!</v>
      </c>
      <c r="AE58" s="117"/>
      <c r="AG58" s="104"/>
      <c r="AH58" s="48"/>
      <c r="AW58" s="102" t="e">
        <f>ROUND(AW53/$G$53,4)</f>
        <v>#REF!</v>
      </c>
    </row>
    <row r="59" spans="3:49" x14ac:dyDescent="0.2">
      <c r="C59" s="2" t="s">
        <v>7</v>
      </c>
      <c r="D59" s="10"/>
      <c r="E59" s="14" t="s">
        <v>6</v>
      </c>
      <c r="F59" s="97"/>
      <c r="G59" s="102">
        <f>SUM(I59:BC59)</f>
        <v>1</v>
      </c>
      <c r="H59" s="17"/>
      <c r="I59" s="102">
        <f>1-SUM(K59:BC59)</f>
        <v>8.3099999999999952E-2</v>
      </c>
      <c r="J59" s="103"/>
      <c r="K59" s="102">
        <f>ROUND(K54/$G$54,4)</f>
        <v>7.3300000000000004E-2</v>
      </c>
      <c r="L59" s="103"/>
      <c r="M59" s="102">
        <f>ROUND(M54/$G$54,4)</f>
        <v>3.15E-2</v>
      </c>
      <c r="N59" s="104"/>
      <c r="O59" s="102">
        <f>ROUND(O54/$G$54,4)</f>
        <v>6.7599999999999993E-2</v>
      </c>
      <c r="P59" s="104"/>
      <c r="Q59" s="102">
        <f>ROUND(Q54/$G$54,4)</f>
        <v>0.1507</v>
      </c>
      <c r="R59" s="104"/>
      <c r="S59" s="102">
        <f>ROUND(S54/$G$54,4)</f>
        <v>9.6199999999999994E-2</v>
      </c>
      <c r="T59" s="104"/>
      <c r="U59" s="102">
        <f>ROUND(U54/$G$54,4)</f>
        <v>0.30120000000000002</v>
      </c>
      <c r="W59" s="102">
        <f>ROUND(W54/$G$54,4)</f>
        <v>0.1925</v>
      </c>
      <c r="AE59" s="117"/>
      <c r="AG59" s="104"/>
      <c r="AH59" s="48"/>
      <c r="AW59" s="102">
        <f>ROUND(AW54/$G$54,4)</f>
        <v>3.8999999999999998E-3</v>
      </c>
    </row>
    <row r="60" spans="3:49" x14ac:dyDescent="0.2">
      <c r="C60" s="54"/>
      <c r="D60" s="10"/>
      <c r="E60" s="14"/>
      <c r="F60" s="17"/>
      <c r="G60" s="93"/>
      <c r="H60" s="17"/>
      <c r="I60" s="103"/>
      <c r="J60" s="103"/>
      <c r="K60" s="103"/>
      <c r="L60" s="103"/>
      <c r="M60" s="103"/>
      <c r="N60" s="104"/>
      <c r="O60" s="103"/>
      <c r="P60" s="104"/>
      <c r="Q60" s="103"/>
      <c r="R60" s="104"/>
      <c r="S60" s="103"/>
      <c r="T60" s="104"/>
      <c r="U60" s="103"/>
      <c r="W60" s="90"/>
      <c r="AE60" s="117"/>
      <c r="AG60" s="90"/>
      <c r="AH60" s="48"/>
      <c r="AW60" s="90"/>
    </row>
    <row r="61" spans="3:49" x14ac:dyDescent="0.2">
      <c r="C61" s="123" t="str">
        <f>C19</f>
        <v>Total Composite Factor for FY 2013</v>
      </c>
      <c r="D61" s="10"/>
      <c r="E61" s="14" t="s">
        <v>6</v>
      </c>
      <c r="F61" s="17"/>
      <c r="G61" s="102" t="e">
        <f>SUM(I61:BC61)</f>
        <v>#REF!</v>
      </c>
      <c r="H61" s="17"/>
      <c r="I61" s="102" t="e">
        <f>1-SUM(K61:BC61)</f>
        <v>#REF!</v>
      </c>
      <c r="J61" s="103"/>
      <c r="K61" s="102" t="e">
        <f>ROUND(AVERAGE(K57:K59),4)</f>
        <v>#REF!</v>
      </c>
      <c r="L61" s="103"/>
      <c r="M61" s="102" t="e">
        <f>ROUND(AVERAGE(M57:M59),4)</f>
        <v>#REF!</v>
      </c>
      <c r="N61" s="104"/>
      <c r="O61" s="102" t="e">
        <f>ROUND(AVERAGE(O57:O59),4)</f>
        <v>#REF!</v>
      </c>
      <c r="P61" s="104"/>
      <c r="Q61" s="102" t="e">
        <f>ROUND(AVERAGE(Q57:Q59),4)</f>
        <v>#REF!</v>
      </c>
      <c r="R61" s="104"/>
      <c r="S61" s="102" t="e">
        <f>ROUND(AVERAGE(S57:S59),4)</f>
        <v>#REF!</v>
      </c>
      <c r="T61" s="104"/>
      <c r="U61" s="102" t="e">
        <f>ROUND(AVERAGE(U57:U59),4)</f>
        <v>#REF!</v>
      </c>
      <c r="V61" s="111"/>
      <c r="W61" s="102" t="e">
        <f>ROUND(AVERAGE(W57:W59),4)</f>
        <v>#REF!</v>
      </c>
      <c r="AE61" s="117"/>
      <c r="AG61" s="104"/>
      <c r="AH61" s="48"/>
      <c r="AW61" s="102" t="e">
        <f>ROUND(AVERAGE(AW57:AW59),4)</f>
        <v>#REF!</v>
      </c>
    </row>
    <row r="62" spans="3:49" x14ac:dyDescent="0.2">
      <c r="C62" s="123"/>
      <c r="D62" s="10"/>
      <c r="E62" s="14"/>
      <c r="F62" s="17"/>
      <c r="G62" s="104"/>
      <c r="H62" s="17"/>
      <c r="I62" s="104"/>
      <c r="J62" s="103"/>
      <c r="K62" s="104"/>
      <c r="L62" s="103"/>
      <c r="M62" s="104"/>
      <c r="N62" s="104"/>
      <c r="O62" s="104"/>
      <c r="P62" s="104"/>
      <c r="Q62" s="104"/>
      <c r="R62" s="104"/>
      <c r="S62" s="104"/>
      <c r="T62" s="104"/>
      <c r="U62" s="104"/>
      <c r="V62" s="111"/>
      <c r="W62" s="104"/>
      <c r="AE62" s="117"/>
      <c r="AG62" s="104"/>
      <c r="AH62" s="48"/>
    </row>
    <row r="64" spans="3:49" x14ac:dyDescent="0.2">
      <c r="C64" s="121" t="s">
        <v>99</v>
      </c>
      <c r="D64" s="10"/>
      <c r="E64" s="14"/>
      <c r="F64" s="14"/>
      <c r="G64" s="55"/>
      <c r="H64" s="15"/>
      <c r="I64" s="56"/>
      <c r="J64" s="15"/>
      <c r="K64" s="15"/>
      <c r="L64" s="15"/>
      <c r="M64" s="15"/>
      <c r="N64" s="15"/>
      <c r="O64" s="15"/>
      <c r="P64" s="15"/>
      <c r="Q64" s="15"/>
      <c r="R64" s="15"/>
      <c r="S64" s="14"/>
      <c r="T64" s="15"/>
      <c r="U64" s="14"/>
    </row>
    <row r="65" spans="3:23" x14ac:dyDescent="0.2">
      <c r="C65" s="17"/>
      <c r="D65" s="17"/>
      <c r="E65" s="17"/>
      <c r="F65" s="17"/>
      <c r="G65" s="17"/>
      <c r="H65" s="17"/>
      <c r="I65" s="58"/>
      <c r="J65" s="17"/>
      <c r="K65" s="17"/>
      <c r="L65" s="17"/>
      <c r="M65" s="94"/>
      <c r="N65" s="92"/>
      <c r="O65" s="17"/>
      <c r="P65" s="92"/>
      <c r="Q65" s="17"/>
      <c r="R65" s="92"/>
      <c r="S65" s="17"/>
      <c r="T65" s="92"/>
      <c r="U65" s="17"/>
    </row>
    <row r="66" spans="3:23" x14ac:dyDescent="0.2">
      <c r="C66" s="2" t="s">
        <v>2</v>
      </c>
      <c r="D66" s="10"/>
      <c r="E66" s="3" t="s">
        <v>3</v>
      </c>
      <c r="F66" s="17"/>
      <c r="G66" s="84">
        <f>SUM(I66:BC66)</f>
        <v>1405055434.3199999</v>
      </c>
      <c r="H66" s="17"/>
      <c r="I66" s="113">
        <f>I10</f>
        <v>503797716.75</v>
      </c>
      <c r="J66" s="8"/>
      <c r="K66" s="113">
        <f>K10</f>
        <v>465694921.06</v>
      </c>
      <c r="L66" s="8"/>
      <c r="M66" s="113"/>
      <c r="N66" s="8"/>
      <c r="O66" s="113"/>
      <c r="P66" s="8"/>
      <c r="Q66" s="113"/>
      <c r="R66" s="8"/>
      <c r="S66" s="113">
        <f>S10</f>
        <v>435562796.50999999</v>
      </c>
      <c r="T66" s="8"/>
      <c r="U66" s="113"/>
      <c r="V66" s="8"/>
      <c r="W66" s="113"/>
    </row>
    <row r="67" spans="3:23" x14ac:dyDescent="0.2">
      <c r="C67" s="3" t="s">
        <v>4</v>
      </c>
      <c r="D67" s="10"/>
      <c r="E67" s="3" t="s">
        <v>5</v>
      </c>
      <c r="F67" s="17"/>
      <c r="G67" s="84" t="e">
        <f>SUM(I67:BC67)</f>
        <v>#REF!</v>
      </c>
      <c r="H67" s="17"/>
      <c r="I67" s="113" t="e">
        <f>I11</f>
        <v>#REF!</v>
      </c>
      <c r="J67" s="8"/>
      <c r="K67" s="113">
        <f>K11</f>
        <v>247550.41666666666</v>
      </c>
      <c r="L67" s="8"/>
      <c r="M67" s="113"/>
      <c r="N67" s="8"/>
      <c r="O67" s="113"/>
      <c r="P67" s="8"/>
      <c r="Q67" s="113"/>
      <c r="R67" s="8"/>
      <c r="S67" s="113" t="e">
        <f>S11</f>
        <v>#REF!</v>
      </c>
      <c r="T67" s="8"/>
      <c r="U67" s="113"/>
      <c r="V67" s="8"/>
      <c r="W67" s="113"/>
    </row>
    <row r="68" spans="3:23" x14ac:dyDescent="0.2">
      <c r="C68" s="2" t="s">
        <v>15</v>
      </c>
      <c r="D68" s="10"/>
      <c r="E68" s="3" t="s">
        <v>3</v>
      </c>
      <c r="F68" s="17"/>
      <c r="G68" s="84">
        <f>SUM(I68:BC68)</f>
        <v>82655723.870000005</v>
      </c>
      <c r="H68" s="17"/>
      <c r="I68" s="113">
        <f>I12</f>
        <v>27206253.27</v>
      </c>
      <c r="J68" s="8"/>
      <c r="K68" s="113">
        <f>K12</f>
        <v>23972323.100000001</v>
      </c>
      <c r="L68" s="8"/>
      <c r="M68" s="113"/>
      <c r="N68" s="8"/>
      <c r="O68" s="113"/>
      <c r="P68" s="8"/>
      <c r="Q68" s="113"/>
      <c r="R68" s="8"/>
      <c r="S68" s="113">
        <f>S12</f>
        <v>31477147.5</v>
      </c>
      <c r="T68" s="8"/>
      <c r="U68" s="113"/>
      <c r="V68" s="8"/>
      <c r="W68" s="113"/>
    </row>
    <row r="69" spans="3:23" x14ac:dyDescent="0.2">
      <c r="C69" s="50" t="s">
        <v>16</v>
      </c>
      <c r="D69" s="10"/>
      <c r="E69" s="3"/>
      <c r="F69" s="17"/>
      <c r="G69" s="17"/>
      <c r="H69" s="17"/>
      <c r="I69" s="1"/>
      <c r="J69" s="4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W69" s="18"/>
    </row>
    <row r="70" spans="3:23" x14ac:dyDescent="0.2">
      <c r="C70" s="17"/>
      <c r="D70" s="17"/>
      <c r="E70" s="17"/>
      <c r="F70" s="17"/>
      <c r="G70" s="17"/>
      <c r="H70" s="17"/>
      <c r="I70" s="58"/>
      <c r="J70" s="17"/>
      <c r="K70" s="17"/>
      <c r="L70" s="17"/>
      <c r="M70" s="94"/>
      <c r="N70" s="92"/>
      <c r="O70" s="17"/>
      <c r="P70" s="92"/>
      <c r="Q70" s="17"/>
      <c r="R70" s="92"/>
      <c r="S70" s="17"/>
      <c r="T70" s="92"/>
      <c r="U70" s="17"/>
    </row>
    <row r="71" spans="3:23" x14ac:dyDescent="0.2">
      <c r="C71" s="2" t="s">
        <v>2</v>
      </c>
      <c r="D71" s="10"/>
      <c r="E71" s="14" t="s">
        <v>6</v>
      </c>
      <c r="F71" s="97"/>
      <c r="G71" s="102">
        <f>SUM(I71:BC71)</f>
        <v>1</v>
      </c>
      <c r="H71" s="17"/>
      <c r="I71" s="102">
        <f>1-SUM(K71:BC71)</f>
        <v>0.35860000000000003</v>
      </c>
      <c r="J71" s="103"/>
      <c r="K71" s="102">
        <f>ROUND(K66/$G$66,4)</f>
        <v>0.33139999999999997</v>
      </c>
      <c r="L71" s="103"/>
      <c r="M71" s="102">
        <f>ROUND(M66/$G$52,4)</f>
        <v>0</v>
      </c>
      <c r="N71" s="104"/>
      <c r="O71" s="102">
        <f>ROUND(O66/$G$52,4)</f>
        <v>0</v>
      </c>
      <c r="P71" s="104"/>
      <c r="Q71" s="102">
        <f>ROUND(Q66/$G$52,4)</f>
        <v>0</v>
      </c>
      <c r="R71" s="104"/>
      <c r="S71" s="102">
        <f>ROUND(S66/$G$66,4)</f>
        <v>0.31</v>
      </c>
      <c r="T71" s="104"/>
      <c r="U71" s="102">
        <f>ROUND(U66/$G$52,4)</f>
        <v>0</v>
      </c>
      <c r="W71" s="102">
        <f>ROUND(W66/$G$52,4)</f>
        <v>0</v>
      </c>
    </row>
    <row r="72" spans="3:23" x14ac:dyDescent="0.2">
      <c r="C72" s="3" t="s">
        <v>4</v>
      </c>
      <c r="D72" s="10"/>
      <c r="E72" s="14" t="s">
        <v>6</v>
      </c>
      <c r="F72" s="97"/>
      <c r="G72" s="102" t="e">
        <f>SUM(I72:BC72)</f>
        <v>#REF!</v>
      </c>
      <c r="H72" s="17"/>
      <c r="I72" s="102" t="e">
        <f>1-SUM(K72:BC72)</f>
        <v>#REF!</v>
      </c>
      <c r="J72" s="103"/>
      <c r="K72" s="102" t="e">
        <f>ROUND(K67/$G$67,4)</f>
        <v>#REF!</v>
      </c>
      <c r="L72" s="103"/>
      <c r="M72" s="102" t="e">
        <f>ROUND(M67/$G$53,4)</f>
        <v>#REF!</v>
      </c>
      <c r="N72" s="104"/>
      <c r="O72" s="102" t="e">
        <f>ROUND(O67/$G$53,4)</f>
        <v>#REF!</v>
      </c>
      <c r="P72" s="104"/>
      <c r="Q72" s="102" t="e">
        <f>ROUND(Q67/$G$53,4)</f>
        <v>#REF!</v>
      </c>
      <c r="R72" s="104"/>
      <c r="S72" s="102" t="e">
        <f>ROUND(S67/$G$67,4)</f>
        <v>#REF!</v>
      </c>
      <c r="T72" s="104"/>
      <c r="U72" s="102" t="e">
        <f>ROUND(U67/$G$53,4)</f>
        <v>#REF!</v>
      </c>
      <c r="W72" s="102" t="e">
        <f>ROUND(W67/$G$53,4)</f>
        <v>#REF!</v>
      </c>
    </row>
    <row r="73" spans="3:23" x14ac:dyDescent="0.2">
      <c r="C73" s="2" t="s">
        <v>7</v>
      </c>
      <c r="D73" s="10"/>
      <c r="E73" s="14" t="s">
        <v>6</v>
      </c>
      <c r="F73" s="97"/>
      <c r="G73" s="102">
        <f>SUM(I73:BC73)</f>
        <v>1</v>
      </c>
      <c r="H73" s="17"/>
      <c r="I73" s="102">
        <f>1-SUM(K73:BC73)</f>
        <v>0.32919999999999994</v>
      </c>
      <c r="J73" s="103"/>
      <c r="K73" s="102">
        <f>ROUND(K68/$G$68,4)</f>
        <v>0.28999999999999998</v>
      </c>
      <c r="L73" s="103"/>
      <c r="M73" s="102">
        <f>ROUND(M68/$G$54,4)</f>
        <v>0</v>
      </c>
      <c r="N73" s="104"/>
      <c r="O73" s="102">
        <f>ROUND(O68/$G$54,4)</f>
        <v>0</v>
      </c>
      <c r="P73" s="104"/>
      <c r="Q73" s="102">
        <f>ROUND(Q68/$G$54,4)</f>
        <v>0</v>
      </c>
      <c r="R73" s="104"/>
      <c r="S73" s="102">
        <f>ROUND(S68/$G$68,4)</f>
        <v>0.38080000000000003</v>
      </c>
      <c r="T73" s="104"/>
      <c r="U73" s="102">
        <f>ROUND(U68/$G$54,4)</f>
        <v>0</v>
      </c>
      <c r="W73" s="102">
        <f>ROUND(W68/$G$54,4)</f>
        <v>0</v>
      </c>
    </row>
    <row r="74" spans="3:23" x14ac:dyDescent="0.2">
      <c r="C74" s="54"/>
      <c r="D74" s="10"/>
      <c r="E74" s="14"/>
      <c r="F74" s="17"/>
      <c r="G74" s="93"/>
      <c r="H74" s="17"/>
      <c r="I74" s="103"/>
      <c r="J74" s="103"/>
      <c r="K74" s="103"/>
      <c r="L74" s="103"/>
      <c r="M74" s="103"/>
      <c r="N74" s="104"/>
      <c r="O74" s="103"/>
      <c r="P74" s="104"/>
      <c r="Q74" s="103"/>
      <c r="R74" s="104"/>
      <c r="S74" s="103"/>
      <c r="T74" s="104"/>
      <c r="U74" s="103"/>
      <c r="W74" s="90"/>
    </row>
    <row r="75" spans="3:23" x14ac:dyDescent="0.2">
      <c r="C75" s="123" t="str">
        <f>C19</f>
        <v>Total Composite Factor for FY 2013</v>
      </c>
      <c r="D75" s="10"/>
      <c r="E75" s="14" t="s">
        <v>6</v>
      </c>
      <c r="F75" s="17"/>
      <c r="G75" s="102" t="e">
        <f>SUM(I75:BC75)</f>
        <v>#REF!</v>
      </c>
      <c r="H75" s="17"/>
      <c r="I75" s="102" t="e">
        <f>1-SUM(K75:BC75)</f>
        <v>#REF!</v>
      </c>
      <c r="J75" s="103"/>
      <c r="K75" s="102" t="e">
        <f>ROUND(AVERAGE(K71:K73),4)</f>
        <v>#REF!</v>
      </c>
      <c r="L75" s="103"/>
      <c r="M75" s="102" t="e">
        <f>ROUND(AVERAGE(M71:M73),4)</f>
        <v>#REF!</v>
      </c>
      <c r="N75" s="104"/>
      <c r="O75" s="102" t="e">
        <f>ROUND(AVERAGE(O71:O73),4)</f>
        <v>#REF!</v>
      </c>
      <c r="P75" s="104"/>
      <c r="Q75" s="102" t="e">
        <f>ROUND(AVERAGE(Q71:Q73),4)</f>
        <v>#REF!</v>
      </c>
      <c r="R75" s="104"/>
      <c r="S75" s="102" t="e">
        <f>ROUND(AVERAGE(S71:S73),4)</f>
        <v>#REF!</v>
      </c>
      <c r="T75" s="104"/>
      <c r="U75" s="102" t="e">
        <f>ROUND(AVERAGE(U71:U73),4)</f>
        <v>#REF!</v>
      </c>
      <c r="V75" s="111"/>
      <c r="W75" s="102" t="e">
        <f>ROUND(AVERAGE(W71:W73),4)</f>
        <v>#REF!</v>
      </c>
    </row>
    <row r="78" spans="3:23" x14ac:dyDescent="0.2">
      <c r="C78" s="99" t="s">
        <v>100</v>
      </c>
      <c r="D78" s="10"/>
      <c r="E78" s="14"/>
      <c r="F78" s="14"/>
      <c r="G78" s="55"/>
      <c r="H78" s="15"/>
      <c r="I78" s="56"/>
      <c r="J78" s="15"/>
      <c r="K78" s="15"/>
      <c r="L78" s="15"/>
      <c r="M78" s="15"/>
      <c r="N78" s="15"/>
      <c r="O78" s="15"/>
      <c r="P78" s="15"/>
      <c r="Q78" s="15"/>
      <c r="R78" s="15"/>
      <c r="S78" s="14"/>
      <c r="T78" s="15"/>
      <c r="U78" s="14"/>
    </row>
    <row r="79" spans="3:23" x14ac:dyDescent="0.2">
      <c r="C79" s="17"/>
      <c r="D79" s="17"/>
      <c r="E79" s="17"/>
      <c r="F79" s="17"/>
      <c r="G79" s="17"/>
      <c r="H79" s="17"/>
      <c r="I79" s="58"/>
      <c r="J79" s="17"/>
      <c r="K79" s="17"/>
      <c r="L79" s="17"/>
      <c r="M79" s="94"/>
      <c r="N79" s="92"/>
      <c r="O79" s="17"/>
      <c r="P79" s="92"/>
      <c r="Q79" s="17"/>
      <c r="R79" s="92"/>
      <c r="S79" s="17"/>
      <c r="T79" s="92"/>
      <c r="U79" s="17"/>
    </row>
    <row r="80" spans="3:23" x14ac:dyDescent="0.2">
      <c r="C80" s="2" t="s">
        <v>2</v>
      </c>
      <c r="D80" s="10"/>
      <c r="E80" s="3" t="s">
        <v>3</v>
      </c>
      <c r="F80" s="17"/>
      <c r="G80" s="84">
        <f>SUM(I80:BC80)</f>
        <v>672627055.06999993</v>
      </c>
      <c r="H80" s="17"/>
      <c r="I80" s="113"/>
      <c r="J80" s="8"/>
      <c r="K80" s="113"/>
      <c r="L80" s="8"/>
      <c r="M80" s="113">
        <f>M10</f>
        <v>178307235.72999999</v>
      </c>
      <c r="N80" s="8"/>
      <c r="O80" s="113">
        <f>O10</f>
        <v>494319819.33999997</v>
      </c>
      <c r="P80" s="8"/>
      <c r="Q80" s="113"/>
      <c r="R80" s="8"/>
      <c r="S80" s="113"/>
      <c r="T80" s="8"/>
      <c r="U80" s="113"/>
      <c r="V80" s="8"/>
      <c r="W80" s="113"/>
    </row>
    <row r="81" spans="1:34" x14ac:dyDescent="0.2">
      <c r="C81" s="3" t="s">
        <v>4</v>
      </c>
      <c r="D81" s="10"/>
      <c r="E81" s="3" t="s">
        <v>5</v>
      </c>
      <c r="F81" s="17"/>
      <c r="G81" s="84" t="e">
        <f>SUM(I81:BC81)</f>
        <v>#REF!</v>
      </c>
      <c r="H81" s="17"/>
      <c r="I81" s="113"/>
      <c r="J81" s="8"/>
      <c r="K81" s="113"/>
      <c r="L81" s="8"/>
      <c r="M81" s="113" t="e">
        <f>M11</f>
        <v>#REF!</v>
      </c>
      <c r="N81" s="8"/>
      <c r="O81" s="113" t="e">
        <f>O11</f>
        <v>#REF!</v>
      </c>
      <c r="P81" s="8"/>
      <c r="Q81" s="113"/>
      <c r="R81" s="8"/>
      <c r="S81" s="113"/>
      <c r="T81" s="8"/>
      <c r="U81" s="113"/>
      <c r="V81" s="8"/>
      <c r="W81" s="113"/>
    </row>
    <row r="82" spans="1:34" x14ac:dyDescent="0.2">
      <c r="C82" s="2" t="s">
        <v>15</v>
      </c>
      <c r="D82" s="10"/>
      <c r="E82" s="3" t="s">
        <v>3</v>
      </c>
      <c r="F82" s="17"/>
      <c r="G82" s="84">
        <f>SUM(I82:BC82)</f>
        <v>32400888.189999998</v>
      </c>
      <c r="H82" s="17"/>
      <c r="I82" s="113"/>
      <c r="J82" s="8"/>
      <c r="K82" s="113"/>
      <c r="L82" s="8"/>
      <c r="M82" s="113">
        <f>M12</f>
        <v>10289510.67</v>
      </c>
      <c r="N82" s="8"/>
      <c r="O82" s="113">
        <f>O12</f>
        <v>22111377.52</v>
      </c>
      <c r="P82" s="8"/>
      <c r="Q82" s="113"/>
      <c r="R82" s="8"/>
      <c r="S82" s="113"/>
      <c r="T82" s="8"/>
      <c r="U82" s="113"/>
      <c r="V82" s="8"/>
      <c r="W82" s="113"/>
    </row>
    <row r="83" spans="1:34" x14ac:dyDescent="0.2">
      <c r="C83" s="50" t="s">
        <v>16</v>
      </c>
      <c r="D83" s="10"/>
      <c r="E83" s="3"/>
      <c r="F83" s="17"/>
      <c r="G83" s="17"/>
      <c r="H83" s="17"/>
      <c r="I83" s="1"/>
      <c r="J83" s="4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W83" s="18"/>
    </row>
    <row r="84" spans="1:34" x14ac:dyDescent="0.2">
      <c r="C84" s="17"/>
      <c r="D84" s="17"/>
      <c r="E84" s="17"/>
      <c r="F84" s="17"/>
      <c r="G84" s="17"/>
      <c r="H84" s="17"/>
      <c r="I84" s="58"/>
      <c r="J84" s="17"/>
      <c r="K84" s="17"/>
      <c r="L84" s="17"/>
      <c r="M84" s="94"/>
      <c r="N84" s="92"/>
      <c r="O84" s="17"/>
      <c r="P84" s="92"/>
      <c r="Q84" s="17"/>
      <c r="R84" s="92"/>
      <c r="S84" s="17"/>
      <c r="T84" s="92"/>
      <c r="U84" s="17"/>
    </row>
    <row r="85" spans="1:34" x14ac:dyDescent="0.2">
      <c r="C85" s="2" t="s">
        <v>2</v>
      </c>
      <c r="D85" s="10"/>
      <c r="E85" s="14" t="s">
        <v>6</v>
      </c>
      <c r="F85" s="97"/>
      <c r="G85" s="102">
        <f>SUM(I85:BC85)</f>
        <v>1</v>
      </c>
      <c r="H85" s="17"/>
      <c r="I85" s="102">
        <f>ROUND(I80/$G$52,4)</f>
        <v>0</v>
      </c>
      <c r="J85" s="103"/>
      <c r="K85" s="102">
        <f>ROUND(K80/$G$66,4)</f>
        <v>0</v>
      </c>
      <c r="L85" s="103"/>
      <c r="M85" s="102">
        <f>ROUND(M80/$G$80,4)</f>
        <v>0.2651</v>
      </c>
      <c r="N85" s="104"/>
      <c r="O85" s="102">
        <f>ROUND(O80/$G$80,4)</f>
        <v>0.7349</v>
      </c>
      <c r="P85" s="104"/>
      <c r="Q85" s="102">
        <f>ROUND(Q80/$G$52,4)</f>
        <v>0</v>
      </c>
      <c r="R85" s="104"/>
      <c r="S85" s="102">
        <f>ROUND(S80/$G$66,4)</f>
        <v>0</v>
      </c>
      <c r="T85" s="104"/>
      <c r="U85" s="102">
        <f>ROUND(U80/$G$52,4)</f>
        <v>0</v>
      </c>
      <c r="W85" s="102">
        <f>ROUND(W80/$G$52,4)</f>
        <v>0</v>
      </c>
    </row>
    <row r="86" spans="1:34" x14ac:dyDescent="0.2">
      <c r="C86" s="3" t="s">
        <v>4</v>
      </c>
      <c r="D86" s="10"/>
      <c r="E86" s="14" t="s">
        <v>6</v>
      </c>
      <c r="F86" s="97"/>
      <c r="G86" s="102" t="e">
        <f>SUM(I86:BC86)</f>
        <v>#REF!</v>
      </c>
      <c r="H86" s="17"/>
      <c r="I86" s="102" t="e">
        <f>ROUND(I81/$G$53,4)</f>
        <v>#REF!</v>
      </c>
      <c r="J86" s="103"/>
      <c r="K86" s="102" t="e">
        <f>ROUND(K81/$G$67,4)</f>
        <v>#REF!</v>
      </c>
      <c r="L86" s="103"/>
      <c r="M86" s="102" t="e">
        <f>ROUND(M81/$G$81,4)</f>
        <v>#REF!</v>
      </c>
      <c r="N86" s="104"/>
      <c r="O86" s="102" t="e">
        <f>ROUND(O81/$G$81,4)</f>
        <v>#REF!</v>
      </c>
      <c r="P86" s="104"/>
      <c r="Q86" s="102" t="e">
        <f>ROUND(Q81/$G$53,4)</f>
        <v>#REF!</v>
      </c>
      <c r="R86" s="104"/>
      <c r="S86" s="102" t="e">
        <f>ROUND(S81/$G$67,4)</f>
        <v>#REF!</v>
      </c>
      <c r="T86" s="104"/>
      <c r="U86" s="102" t="e">
        <f>ROUND(U81/$G$53,4)</f>
        <v>#REF!</v>
      </c>
      <c r="W86" s="102" t="e">
        <f>ROUND(W81/$G$53,4)</f>
        <v>#REF!</v>
      </c>
    </row>
    <row r="87" spans="1:34" x14ac:dyDescent="0.2">
      <c r="C87" s="2" t="s">
        <v>7</v>
      </c>
      <c r="D87" s="10"/>
      <c r="E87" s="14" t="s">
        <v>6</v>
      </c>
      <c r="F87" s="97"/>
      <c r="G87" s="102">
        <f>SUM(I87:BC87)</f>
        <v>1</v>
      </c>
      <c r="H87" s="17"/>
      <c r="I87" s="102">
        <f>ROUND(I82/$G$54,4)</f>
        <v>0</v>
      </c>
      <c r="J87" s="103"/>
      <c r="K87" s="102">
        <f>ROUND(K82/$G$68,4)</f>
        <v>0</v>
      </c>
      <c r="L87" s="103"/>
      <c r="M87" s="102">
        <f>ROUND(M82/$G$82,4)</f>
        <v>0.31759999999999999</v>
      </c>
      <c r="N87" s="104"/>
      <c r="O87" s="102">
        <f>ROUND(O82/$G$82,4)</f>
        <v>0.68240000000000001</v>
      </c>
      <c r="P87" s="104"/>
      <c r="Q87" s="102">
        <f>ROUND(Q82/$G$54,4)</f>
        <v>0</v>
      </c>
      <c r="R87" s="104"/>
      <c r="S87" s="102">
        <f>ROUND(S82/$G$68,4)</f>
        <v>0</v>
      </c>
      <c r="T87" s="104"/>
      <c r="U87" s="102">
        <f>ROUND(U82/$G$54,4)</f>
        <v>0</v>
      </c>
      <c r="W87" s="102">
        <f>ROUND(W82/$G$54,4)</f>
        <v>0</v>
      </c>
    </row>
    <row r="88" spans="1:34" x14ac:dyDescent="0.2">
      <c r="C88" s="54"/>
      <c r="D88" s="10"/>
      <c r="E88" s="14"/>
      <c r="F88" s="17"/>
      <c r="G88" s="93"/>
      <c r="H88" s="17"/>
      <c r="I88" s="103"/>
      <c r="J88" s="103"/>
      <c r="K88" s="103"/>
      <c r="L88" s="103"/>
      <c r="M88" s="103"/>
      <c r="N88" s="104"/>
      <c r="O88" s="103"/>
      <c r="P88" s="104"/>
      <c r="Q88" s="103"/>
      <c r="R88" s="104"/>
      <c r="S88" s="103"/>
      <c r="T88" s="104"/>
      <c r="U88" s="103"/>
      <c r="W88" s="90"/>
    </row>
    <row r="89" spans="1:34" x14ac:dyDescent="0.2">
      <c r="C89" s="123" t="str">
        <f>C19</f>
        <v>Total Composite Factor for FY 2013</v>
      </c>
      <c r="D89" s="10"/>
      <c r="E89" s="14" t="s">
        <v>6</v>
      </c>
      <c r="F89" s="17"/>
      <c r="G89" s="102" t="e">
        <f>SUM(I89:BC89)</f>
        <v>#REF!</v>
      </c>
      <c r="H89" s="17"/>
      <c r="I89" s="102" t="e">
        <f>ROUND(AVERAGE(I85:I87),4)</f>
        <v>#REF!</v>
      </c>
      <c r="J89" s="103"/>
      <c r="K89" s="102" t="e">
        <f>ROUND(AVERAGE(K85:K87),4)</f>
        <v>#REF!</v>
      </c>
      <c r="L89" s="103"/>
      <c r="M89" s="102" t="e">
        <f>ROUND(AVERAGE(M85:M87),4)</f>
        <v>#REF!</v>
      </c>
      <c r="N89" s="104"/>
      <c r="O89" s="102" t="e">
        <f>ROUND(AVERAGE(O85:O87),4)</f>
        <v>#REF!</v>
      </c>
      <c r="P89" s="104"/>
      <c r="Q89" s="102" t="e">
        <f>ROUND(AVERAGE(Q85:Q87),4)</f>
        <v>#REF!</v>
      </c>
      <c r="R89" s="104"/>
      <c r="S89" s="102" t="e">
        <f>ROUND(AVERAGE(S85:S87),4)</f>
        <v>#REF!</v>
      </c>
      <c r="T89" s="104"/>
      <c r="U89" s="102" t="e">
        <f>ROUND(AVERAGE(U85:U87),4)</f>
        <v>#REF!</v>
      </c>
      <c r="V89" s="111"/>
      <c r="W89" s="102" t="e">
        <f>ROUND(AVERAGE(W85:W87),4)</f>
        <v>#REF!</v>
      </c>
    </row>
    <row r="92" spans="1:34" s="14" customFormat="1" x14ac:dyDescent="0.2">
      <c r="A92" s="19"/>
      <c r="C92" s="122" t="s">
        <v>102</v>
      </c>
      <c r="D92" s="10"/>
      <c r="G92" s="55"/>
      <c r="H92" s="15"/>
      <c r="I92" s="56"/>
      <c r="J92" s="15"/>
      <c r="K92" s="15"/>
      <c r="L92" s="15"/>
      <c r="M92" s="15"/>
      <c r="N92" s="15"/>
      <c r="O92" s="15"/>
      <c r="P92" s="15"/>
      <c r="Q92" s="15"/>
      <c r="R92" s="15"/>
      <c r="T92" s="15"/>
      <c r="V92" s="16"/>
      <c r="W92" s="16"/>
      <c r="X92" s="15"/>
      <c r="Y92" s="15"/>
      <c r="Z92" s="16"/>
      <c r="AA92" s="15"/>
      <c r="AB92" s="16"/>
      <c r="AC92" s="15"/>
      <c r="AD92" s="16"/>
      <c r="AE92" s="15"/>
      <c r="AF92" s="15"/>
      <c r="AG92" s="15"/>
      <c r="AH92" s="15"/>
    </row>
    <row r="93" spans="1:34" s="17" customFormat="1" x14ac:dyDescent="0.2">
      <c r="A93" s="57"/>
      <c r="I93" s="58"/>
      <c r="M93" s="94"/>
      <c r="N93" s="92"/>
      <c r="P93" s="92"/>
      <c r="R93" s="92"/>
      <c r="T93" s="92"/>
      <c r="V93" s="92"/>
      <c r="X93" s="92"/>
      <c r="Z93" s="38"/>
      <c r="AB93" s="38"/>
      <c r="AD93" s="38"/>
      <c r="AE93" s="38"/>
      <c r="AF93" s="92"/>
    </row>
    <row r="94" spans="1:34" s="17" customFormat="1" x14ac:dyDescent="0.2">
      <c r="A94" s="57"/>
      <c r="C94" s="2" t="s">
        <v>2</v>
      </c>
      <c r="D94" s="10"/>
      <c r="E94" s="3" t="s">
        <v>3</v>
      </c>
      <c r="G94" s="84">
        <f>SUM(I94:BC94)</f>
        <v>3102079937.1499996</v>
      </c>
      <c r="I94" s="113">
        <f>I10</f>
        <v>503797716.75</v>
      </c>
      <c r="J94" s="8"/>
      <c r="K94" s="113">
        <f>K10</f>
        <v>465694921.06</v>
      </c>
      <c r="L94" s="8"/>
      <c r="M94" s="113">
        <f>M10</f>
        <v>178307235.72999999</v>
      </c>
      <c r="N94" s="49"/>
      <c r="O94" s="113">
        <f>O10</f>
        <v>494319819.33999997</v>
      </c>
      <c r="P94" s="49"/>
      <c r="Q94" s="113">
        <f>Q10</f>
        <v>1024397447.76</v>
      </c>
      <c r="R94" s="49"/>
      <c r="S94" s="113">
        <f>S10</f>
        <v>435562796.50999999</v>
      </c>
      <c r="T94" s="49"/>
      <c r="U94" s="113"/>
      <c r="V94" s="1"/>
      <c r="W94" s="1"/>
      <c r="X94" s="92"/>
      <c r="Z94" s="38"/>
      <c r="AB94" s="38"/>
      <c r="AD94" s="38"/>
      <c r="AE94" s="38"/>
      <c r="AF94" s="92"/>
    </row>
    <row r="95" spans="1:34" s="17" customFormat="1" x14ac:dyDescent="0.2">
      <c r="A95" s="57"/>
      <c r="C95" s="3" t="s">
        <v>4</v>
      </c>
      <c r="D95" s="10"/>
      <c r="E95" s="3" t="s">
        <v>5</v>
      </c>
      <c r="G95" s="85" t="e">
        <f>SUM(I95:BC95)</f>
        <v>#REF!</v>
      </c>
      <c r="I95" s="113" t="e">
        <f>+I11</f>
        <v>#REF!</v>
      </c>
      <c r="J95" s="8"/>
      <c r="K95" s="113">
        <f>K11</f>
        <v>247550.41666666666</v>
      </c>
      <c r="L95" s="8"/>
      <c r="M95" s="113" t="e">
        <f>M11</f>
        <v>#REF!</v>
      </c>
      <c r="N95" s="49"/>
      <c r="O95" s="113" t="e">
        <f>O11</f>
        <v>#REF!</v>
      </c>
      <c r="P95" s="49"/>
      <c r="Q95" s="113">
        <f>Q11</f>
        <v>528545.33333333337</v>
      </c>
      <c r="R95" s="49"/>
      <c r="S95" s="113" t="e">
        <f>S11</f>
        <v>#REF!</v>
      </c>
      <c r="T95" s="49"/>
      <c r="U95" s="113"/>
      <c r="V95" s="1"/>
      <c r="W95" s="1"/>
      <c r="X95" s="92"/>
      <c r="Z95" s="38"/>
      <c r="AB95" s="38"/>
      <c r="AD95" s="38"/>
      <c r="AE95" s="38"/>
      <c r="AF95" s="92"/>
    </row>
    <row r="96" spans="1:34" s="17" customFormat="1" x14ac:dyDescent="0.2">
      <c r="A96" s="57"/>
      <c r="C96" s="2" t="s">
        <v>15</v>
      </c>
      <c r="D96" s="10"/>
      <c r="E96" s="3" t="s">
        <v>3</v>
      </c>
      <c r="G96" s="84">
        <f>SUM(I96:BC96)</f>
        <v>164356088.96000001</v>
      </c>
      <c r="I96" s="113">
        <f>+I12</f>
        <v>27206253.27</v>
      </c>
      <c r="J96" s="8"/>
      <c r="K96" s="113">
        <f>K12</f>
        <v>23972323.100000001</v>
      </c>
      <c r="L96" s="8"/>
      <c r="M96" s="113">
        <f>M12</f>
        <v>10289510.67</v>
      </c>
      <c r="N96" s="49"/>
      <c r="O96" s="113">
        <f>O12</f>
        <v>22111377.52</v>
      </c>
      <c r="P96" s="49"/>
      <c r="Q96" s="113">
        <f>Q12</f>
        <v>49299476.899999999</v>
      </c>
      <c r="R96" s="49"/>
      <c r="S96" s="113">
        <f>S12</f>
        <v>31477147.5</v>
      </c>
      <c r="T96" s="49"/>
      <c r="U96" s="113"/>
      <c r="V96" s="1"/>
      <c r="W96" s="1"/>
      <c r="X96" s="92"/>
      <c r="Z96" s="38"/>
      <c r="AB96" s="38"/>
      <c r="AD96" s="38"/>
      <c r="AE96" s="38"/>
      <c r="AF96" s="92"/>
    </row>
    <row r="97" spans="1:34" s="17" customFormat="1" x14ac:dyDescent="0.2">
      <c r="A97" s="57"/>
      <c r="C97" s="50" t="s">
        <v>16</v>
      </c>
      <c r="D97" s="10"/>
      <c r="E97" s="3"/>
      <c r="I97" s="1"/>
      <c r="J97" s="4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92"/>
      <c r="Z97" s="38"/>
      <c r="AB97" s="38"/>
      <c r="AD97" s="38"/>
      <c r="AE97" s="38"/>
      <c r="AF97" s="92"/>
    </row>
    <row r="98" spans="1:34" s="17" customFormat="1" x14ac:dyDescent="0.2">
      <c r="A98" s="57"/>
      <c r="I98" s="58"/>
      <c r="M98" s="94"/>
      <c r="N98" s="92"/>
      <c r="P98" s="92"/>
      <c r="R98" s="92"/>
      <c r="T98" s="92"/>
      <c r="V98" s="92"/>
      <c r="W98" s="92"/>
      <c r="X98" s="92"/>
      <c r="Z98" s="38"/>
      <c r="AB98" s="38"/>
      <c r="AD98" s="38"/>
      <c r="AE98" s="38"/>
      <c r="AF98" s="92"/>
    </row>
    <row r="99" spans="1:34" s="17" customFormat="1" x14ac:dyDescent="0.2">
      <c r="A99" s="57"/>
      <c r="C99" s="2" t="s">
        <v>2</v>
      </c>
      <c r="D99" s="10"/>
      <c r="E99" s="14" t="s">
        <v>6</v>
      </c>
      <c r="F99" s="97"/>
      <c r="G99" s="102">
        <f>SUM(I99:BC99)</f>
        <v>0.99999999999999989</v>
      </c>
      <c r="I99" s="102">
        <f>1-SUM(K99:BC99)</f>
        <v>0.16239999999999999</v>
      </c>
      <c r="J99" s="103"/>
      <c r="K99" s="102">
        <f>ROUND(K94/$G$94,4)</f>
        <v>0.15010000000000001</v>
      </c>
      <c r="L99" s="103"/>
      <c r="M99" s="102">
        <f>ROUND(M94/$G$94,4)</f>
        <v>5.7500000000000002E-2</v>
      </c>
      <c r="N99" s="104"/>
      <c r="O99" s="102">
        <f>ROUND(O94/$G$94,4)</f>
        <v>0.15939999999999999</v>
      </c>
      <c r="P99" s="104"/>
      <c r="Q99" s="102">
        <f>ROUND(Q94/$G$94,4)</f>
        <v>0.33019999999999999</v>
      </c>
      <c r="R99" s="104"/>
      <c r="S99" s="102">
        <f>ROUND(S94/$G$94,4)</f>
        <v>0.1404</v>
      </c>
      <c r="T99" s="104"/>
      <c r="U99" s="102"/>
      <c r="V99" s="48"/>
      <c r="W99" s="102"/>
      <c r="X99" s="92"/>
      <c r="Y99" s="105"/>
      <c r="Z99" s="106"/>
      <c r="AA99" s="105"/>
      <c r="AB99" s="106"/>
      <c r="AC99" s="105"/>
      <c r="AD99" s="106"/>
      <c r="AE99" s="106"/>
      <c r="AF99" s="92"/>
    </row>
    <row r="100" spans="1:34" s="17" customFormat="1" x14ac:dyDescent="0.2">
      <c r="A100" s="57"/>
      <c r="C100" s="3" t="s">
        <v>4</v>
      </c>
      <c r="D100" s="10"/>
      <c r="E100" s="14" t="s">
        <v>6</v>
      </c>
      <c r="F100" s="97"/>
      <c r="G100" s="102" t="e">
        <f>SUM(I100:BC100)</f>
        <v>#REF!</v>
      </c>
      <c r="I100" s="102" t="e">
        <f>1-SUM(K100:BC100)</f>
        <v>#REF!</v>
      </c>
      <c r="J100" s="103"/>
      <c r="K100" s="102" t="e">
        <f>ROUND(K95/$G$95,4)</f>
        <v>#REF!</v>
      </c>
      <c r="L100" s="103"/>
      <c r="M100" s="102" t="e">
        <f>ROUND(M95/$G$95,4)</f>
        <v>#REF!</v>
      </c>
      <c r="N100" s="104"/>
      <c r="O100" s="102" t="e">
        <f>ROUND(O95/$G$95,4)</f>
        <v>#REF!</v>
      </c>
      <c r="P100" s="104"/>
      <c r="Q100" s="102" t="e">
        <f>ROUND(Q95/$G$95,4)</f>
        <v>#REF!</v>
      </c>
      <c r="R100" s="104"/>
      <c r="S100" s="102" t="e">
        <f>ROUND(S95/$G$95,4)</f>
        <v>#REF!</v>
      </c>
      <c r="T100" s="104"/>
      <c r="U100" s="102"/>
      <c r="V100" s="48"/>
      <c r="W100" s="102"/>
      <c r="X100" s="92"/>
      <c r="Z100" s="38"/>
      <c r="AB100" s="38"/>
      <c r="AD100" s="38"/>
      <c r="AE100" s="38"/>
      <c r="AF100" s="92"/>
    </row>
    <row r="101" spans="1:34" s="17" customFormat="1" x14ac:dyDescent="0.2">
      <c r="A101" s="57"/>
      <c r="C101" s="2" t="s">
        <v>7</v>
      </c>
      <c r="D101" s="10"/>
      <c r="E101" s="14" t="s">
        <v>6</v>
      </c>
      <c r="F101" s="97"/>
      <c r="G101" s="102">
        <f>SUM(I101:BC101)</f>
        <v>1</v>
      </c>
      <c r="I101" s="102">
        <f>1-SUM(K101:BC101)</f>
        <v>0.16549999999999998</v>
      </c>
      <c r="J101" s="103"/>
      <c r="K101" s="102">
        <f>ROUND(K96/$G$96,4)</f>
        <v>0.1459</v>
      </c>
      <c r="L101" s="103"/>
      <c r="M101" s="102">
        <f>ROUND(M96/$G$96,4)</f>
        <v>6.2600000000000003E-2</v>
      </c>
      <c r="N101" s="104"/>
      <c r="O101" s="102">
        <f>ROUND(O96/$G$96,4)</f>
        <v>0.13450000000000001</v>
      </c>
      <c r="P101" s="104"/>
      <c r="Q101" s="102">
        <f>ROUND(Q96/$G$96,4)</f>
        <v>0.3</v>
      </c>
      <c r="R101" s="104"/>
      <c r="S101" s="102">
        <f>ROUND(S96/$G$96,4)</f>
        <v>0.1915</v>
      </c>
      <c r="T101" s="104"/>
      <c r="U101" s="102"/>
      <c r="V101" s="48"/>
      <c r="W101" s="102"/>
      <c r="X101" s="92"/>
      <c r="Z101" s="38"/>
      <c r="AB101" s="38"/>
      <c r="AD101" s="38"/>
      <c r="AE101" s="38"/>
      <c r="AF101" s="92"/>
    </row>
    <row r="102" spans="1:34" s="17" customFormat="1" x14ac:dyDescent="0.2">
      <c r="A102" s="57"/>
      <c r="C102" s="54"/>
      <c r="D102" s="10"/>
      <c r="E102" s="14"/>
      <c r="G102" s="93"/>
      <c r="I102" s="103"/>
      <c r="J102" s="103"/>
      <c r="K102" s="103"/>
      <c r="L102" s="103"/>
      <c r="M102" s="103"/>
      <c r="N102" s="104"/>
      <c r="O102" s="103"/>
      <c r="P102" s="104"/>
      <c r="Q102" s="103"/>
      <c r="R102" s="104"/>
      <c r="S102" s="103"/>
      <c r="T102" s="104"/>
      <c r="U102" s="103"/>
      <c r="V102" s="48"/>
      <c r="W102" s="90"/>
      <c r="X102" s="92"/>
      <c r="Z102" s="38"/>
      <c r="AB102" s="38"/>
      <c r="AD102" s="38"/>
      <c r="AE102" s="38"/>
      <c r="AF102" s="92"/>
    </row>
    <row r="103" spans="1:34" s="17" customFormat="1" x14ac:dyDescent="0.2">
      <c r="A103" s="57"/>
      <c r="C103" s="123" t="str">
        <f>C19</f>
        <v>Total Composite Factor for FY 2013</v>
      </c>
      <c r="D103" s="10"/>
      <c r="E103" s="14" t="s">
        <v>6</v>
      </c>
      <c r="G103" s="102" t="e">
        <f>SUM(I103:BC103)</f>
        <v>#REF!</v>
      </c>
      <c r="I103" s="102" t="e">
        <f>1-SUM(K103:AG103)</f>
        <v>#REF!</v>
      </c>
      <c r="J103" s="103"/>
      <c r="K103" s="102" t="e">
        <f>ROUND(AVERAGE(K99:K101),4)</f>
        <v>#REF!</v>
      </c>
      <c r="L103" s="103"/>
      <c r="M103" s="102" t="e">
        <f>ROUND(AVERAGE(M99:M101),4)</f>
        <v>#REF!</v>
      </c>
      <c r="N103" s="104"/>
      <c r="O103" s="102" t="e">
        <f>ROUND(AVERAGE(O99:O101),4)</f>
        <v>#REF!</v>
      </c>
      <c r="P103" s="104"/>
      <c r="Q103" s="102" t="e">
        <f>ROUND(AVERAGE(Q99:Q101),4)</f>
        <v>#REF!</v>
      </c>
      <c r="R103" s="104"/>
      <c r="S103" s="102" t="e">
        <f>ROUND(AVERAGE(S99:S101),4)</f>
        <v>#REF!</v>
      </c>
      <c r="T103" s="104"/>
      <c r="U103" s="102"/>
      <c r="V103" s="111"/>
      <c r="W103" s="102"/>
      <c r="X103" s="92"/>
      <c r="Z103" s="38"/>
      <c r="AB103" s="38"/>
      <c r="AD103" s="38"/>
      <c r="AE103" s="38"/>
      <c r="AF103" s="92"/>
    </row>
    <row r="104" spans="1:34" s="17" customFormat="1" x14ac:dyDescent="0.2">
      <c r="A104" s="57"/>
      <c r="C104" s="54"/>
      <c r="D104" s="10"/>
      <c r="E104" s="14"/>
      <c r="I104" s="59"/>
      <c r="N104" s="92"/>
      <c r="O104" s="93"/>
      <c r="P104" s="92"/>
      <c r="R104" s="92"/>
      <c r="T104" s="92"/>
      <c r="V104" s="92"/>
      <c r="X104" s="92"/>
      <c r="Z104" s="38"/>
      <c r="AB104" s="38"/>
      <c r="AD104" s="38"/>
      <c r="AE104" s="38"/>
      <c r="AF104" s="92"/>
    </row>
    <row r="106" spans="1:34" s="14" customFormat="1" x14ac:dyDescent="0.2">
      <c r="A106" s="19"/>
      <c r="C106" s="99" t="s">
        <v>101</v>
      </c>
      <c r="D106" s="10"/>
      <c r="G106" s="55"/>
      <c r="H106" s="15"/>
      <c r="I106" s="56"/>
      <c r="J106" s="15"/>
      <c r="K106" s="15"/>
      <c r="L106" s="15"/>
      <c r="M106" s="15"/>
      <c r="N106" s="15"/>
      <c r="O106" s="15"/>
      <c r="P106" s="15"/>
      <c r="Q106" s="15"/>
      <c r="R106" s="15"/>
      <c r="T106" s="15"/>
      <c r="V106" s="16"/>
      <c r="W106" s="16"/>
      <c r="X106" s="15"/>
      <c r="Y106" s="15"/>
      <c r="Z106" s="16"/>
      <c r="AA106" s="15"/>
      <c r="AB106" s="16"/>
      <c r="AC106" s="15"/>
      <c r="AD106" s="16"/>
      <c r="AE106" s="15"/>
      <c r="AF106" s="15"/>
      <c r="AG106" s="15"/>
      <c r="AH106" s="15"/>
    </row>
    <row r="107" spans="1:34" s="17" customFormat="1" x14ac:dyDescent="0.2">
      <c r="A107" s="57"/>
      <c r="I107" s="58"/>
      <c r="M107" s="94"/>
      <c r="N107" s="92"/>
      <c r="P107" s="92"/>
      <c r="R107" s="92"/>
      <c r="T107" s="92"/>
      <c r="V107" s="92"/>
      <c r="X107" s="92"/>
      <c r="Z107" s="38"/>
      <c r="AB107" s="38"/>
      <c r="AD107" s="38"/>
      <c r="AE107" s="38"/>
      <c r="AF107" s="92"/>
    </row>
    <row r="108" spans="1:34" s="17" customFormat="1" x14ac:dyDescent="0.2">
      <c r="A108" s="57"/>
      <c r="C108" s="2" t="s">
        <v>2</v>
      </c>
      <c r="D108" s="10"/>
      <c r="E108" s="3" t="s">
        <v>3</v>
      </c>
      <c r="G108" s="84">
        <f>SUM(I108:BC108)</f>
        <v>4694319487.3199997</v>
      </c>
      <c r="I108" s="113">
        <f>I10</f>
        <v>503797716.75</v>
      </c>
      <c r="J108" s="8"/>
      <c r="K108" s="113"/>
      <c r="L108" s="8"/>
      <c r="M108" s="113"/>
      <c r="N108" s="49"/>
      <c r="O108" s="113"/>
      <c r="P108" s="49"/>
      <c r="Q108" s="113"/>
      <c r="R108" s="49"/>
      <c r="S108" s="113"/>
      <c r="T108" s="49"/>
      <c r="U108" s="113">
        <f>U10</f>
        <v>2909762764.3699999</v>
      </c>
      <c r="V108" s="48"/>
      <c r="W108" s="113">
        <f>W10</f>
        <v>1280759006.2</v>
      </c>
      <c r="X108" s="92"/>
      <c r="Z108" s="38"/>
      <c r="AB108" s="38"/>
      <c r="AD108" s="38"/>
      <c r="AE108" s="38"/>
      <c r="AF108" s="92"/>
    </row>
    <row r="109" spans="1:34" s="17" customFormat="1" x14ac:dyDescent="0.2">
      <c r="A109" s="57"/>
      <c r="C109" s="3" t="s">
        <v>4</v>
      </c>
      <c r="D109" s="10"/>
      <c r="E109" s="3" t="s">
        <v>5</v>
      </c>
      <c r="G109" s="85" t="e">
        <f>SUM(I109:BC109)</f>
        <v>#REF!</v>
      </c>
      <c r="I109" s="113" t="e">
        <f>I11</f>
        <v>#REF!</v>
      </c>
      <c r="J109" s="8"/>
      <c r="K109" s="113"/>
      <c r="L109" s="8"/>
      <c r="M109" s="113"/>
      <c r="N109" s="49"/>
      <c r="O109" s="113"/>
      <c r="P109" s="49"/>
      <c r="Q109" s="113"/>
      <c r="R109" s="49"/>
      <c r="S109" s="113"/>
      <c r="T109" s="49"/>
      <c r="U109" s="113" t="e">
        <f>U11</f>
        <v>#REF!</v>
      </c>
      <c r="V109" s="48"/>
      <c r="W109" s="113" t="e">
        <f>W11</f>
        <v>#REF!</v>
      </c>
      <c r="X109" s="92"/>
      <c r="Z109" s="38"/>
      <c r="AB109" s="38"/>
      <c r="AD109" s="38"/>
      <c r="AE109" s="38"/>
      <c r="AF109" s="92"/>
    </row>
    <row r="110" spans="1:34" s="17" customFormat="1" x14ac:dyDescent="0.2">
      <c r="A110" s="57"/>
      <c r="C110" s="2" t="s">
        <v>15</v>
      </c>
      <c r="D110" s="10"/>
      <c r="E110" s="3" t="s">
        <v>3</v>
      </c>
      <c r="G110" s="84">
        <f>SUM(I110:BC110)</f>
        <v>188724097.38999999</v>
      </c>
      <c r="I110" s="113">
        <f>I12</f>
        <v>27206253.27</v>
      </c>
      <c r="J110" s="8"/>
      <c r="K110" s="113"/>
      <c r="L110" s="8"/>
      <c r="M110" s="113"/>
      <c r="N110" s="49"/>
      <c r="O110" s="113"/>
      <c r="P110" s="49"/>
      <c r="Q110" s="113"/>
      <c r="R110" s="49"/>
      <c r="S110" s="113"/>
      <c r="T110" s="49"/>
      <c r="U110" s="113">
        <f>U12</f>
        <v>98525277.590000004</v>
      </c>
      <c r="V110" s="48"/>
      <c r="W110" s="113">
        <f>W12</f>
        <v>62992566.529999994</v>
      </c>
      <c r="X110" s="92"/>
      <c r="Z110" s="38"/>
      <c r="AB110" s="38"/>
      <c r="AD110" s="38"/>
      <c r="AE110" s="38"/>
      <c r="AF110" s="92"/>
    </row>
    <row r="111" spans="1:34" s="17" customFormat="1" x14ac:dyDescent="0.2">
      <c r="A111" s="57"/>
      <c r="C111" s="50" t="s">
        <v>16</v>
      </c>
      <c r="D111" s="10"/>
      <c r="E111" s="3"/>
      <c r="I111" s="1"/>
      <c r="J111" s="4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48"/>
      <c r="W111" s="18"/>
      <c r="X111" s="92"/>
      <c r="Z111" s="38"/>
      <c r="AB111" s="38"/>
      <c r="AD111" s="38"/>
      <c r="AE111" s="38"/>
      <c r="AF111" s="92"/>
    </row>
    <row r="112" spans="1:34" s="17" customFormat="1" x14ac:dyDescent="0.2">
      <c r="A112" s="57"/>
      <c r="I112" s="58"/>
      <c r="M112" s="94"/>
      <c r="N112" s="92"/>
      <c r="P112" s="92"/>
      <c r="R112" s="92"/>
      <c r="T112" s="92"/>
      <c r="V112" s="48"/>
      <c r="W112" s="5"/>
      <c r="X112" s="92"/>
      <c r="Z112" s="38"/>
      <c r="AB112" s="38"/>
      <c r="AD112" s="38"/>
      <c r="AE112" s="38"/>
      <c r="AF112" s="92"/>
    </row>
    <row r="113" spans="1:58" s="17" customFormat="1" x14ac:dyDescent="0.2">
      <c r="A113" s="57"/>
      <c r="C113" s="2" t="s">
        <v>2</v>
      </c>
      <c r="D113" s="10"/>
      <c r="E113" s="14" t="s">
        <v>6</v>
      </c>
      <c r="F113" s="97"/>
      <c r="G113" s="102">
        <f>SUM(I113:BC113)</f>
        <v>1</v>
      </c>
      <c r="I113" s="102">
        <f>1-SUM(K113:BC113)</f>
        <v>0.10739999999999994</v>
      </c>
      <c r="J113" s="103"/>
      <c r="K113" s="102"/>
      <c r="L113" s="103"/>
      <c r="M113" s="102"/>
      <c r="N113" s="104"/>
      <c r="O113" s="102"/>
      <c r="P113" s="104"/>
      <c r="Q113" s="102"/>
      <c r="R113" s="104"/>
      <c r="S113" s="102"/>
      <c r="T113" s="104"/>
      <c r="U113" s="102">
        <f>ROUND(U108/$G$108,4)</f>
        <v>0.61980000000000002</v>
      </c>
      <c r="V113" s="48"/>
      <c r="W113" s="102">
        <f>ROUND(W108/$G$108,4)</f>
        <v>0.27279999999999999</v>
      </c>
      <c r="X113" s="92"/>
      <c r="Y113" s="105"/>
      <c r="Z113" s="106"/>
      <c r="AA113" s="105"/>
      <c r="AB113" s="106"/>
      <c r="AC113" s="105"/>
      <c r="AD113" s="106"/>
      <c r="AE113" s="106"/>
      <c r="AF113" s="92"/>
    </row>
    <row r="114" spans="1:58" s="17" customFormat="1" x14ac:dyDescent="0.2">
      <c r="A114" s="57"/>
      <c r="C114" s="3" t="s">
        <v>4</v>
      </c>
      <c r="D114" s="10"/>
      <c r="E114" s="14" t="s">
        <v>6</v>
      </c>
      <c r="F114" s="97"/>
      <c r="G114" s="102" t="e">
        <f>SUM(I114:BC114)</f>
        <v>#REF!</v>
      </c>
      <c r="I114" s="102" t="e">
        <f>1-SUM(K114:BC114)</f>
        <v>#REF!</v>
      </c>
      <c r="J114" s="103"/>
      <c r="K114" s="102"/>
      <c r="L114" s="103"/>
      <c r="M114" s="102"/>
      <c r="N114" s="104"/>
      <c r="O114" s="102"/>
      <c r="P114" s="104"/>
      <c r="Q114" s="102"/>
      <c r="R114" s="104"/>
      <c r="S114" s="102"/>
      <c r="T114" s="104"/>
      <c r="U114" s="102" t="e">
        <f>ROUND(U109/$G$109,4)</f>
        <v>#REF!</v>
      </c>
      <c r="V114" s="48"/>
      <c r="W114" s="102" t="e">
        <f>ROUND(W109/$G$109,4)</f>
        <v>#REF!</v>
      </c>
      <c r="X114" s="92"/>
      <c r="Z114" s="38"/>
      <c r="AB114" s="38"/>
      <c r="AD114" s="38"/>
      <c r="AE114" s="38"/>
      <c r="AF114" s="92"/>
    </row>
    <row r="115" spans="1:58" s="17" customFormat="1" x14ac:dyDescent="0.2">
      <c r="A115" s="57"/>
      <c r="C115" s="2" t="s">
        <v>7</v>
      </c>
      <c r="D115" s="10"/>
      <c r="E115" s="14" t="s">
        <v>6</v>
      </c>
      <c r="F115" s="97"/>
      <c r="G115" s="102">
        <f>SUM(I115:BC115)</f>
        <v>1</v>
      </c>
      <c r="I115" s="102">
        <f>1-SUM(K115:BC115)</f>
        <v>0.14410000000000001</v>
      </c>
      <c r="J115" s="103"/>
      <c r="K115" s="102"/>
      <c r="L115" s="103"/>
      <c r="M115" s="102"/>
      <c r="N115" s="104"/>
      <c r="O115" s="102"/>
      <c r="P115" s="104"/>
      <c r="Q115" s="102"/>
      <c r="R115" s="104"/>
      <c r="S115" s="102"/>
      <c r="T115" s="104"/>
      <c r="U115" s="102">
        <f>ROUND(U110/$G$110,4)</f>
        <v>0.52210000000000001</v>
      </c>
      <c r="V115" s="48"/>
      <c r="W115" s="102">
        <f>ROUND(W110/$G$110,4)</f>
        <v>0.33379999999999999</v>
      </c>
      <c r="X115" s="92"/>
      <c r="Z115" s="38"/>
      <c r="AB115" s="38"/>
      <c r="AD115" s="38"/>
      <c r="AE115" s="38"/>
      <c r="AF115" s="92"/>
    </row>
    <row r="116" spans="1:58" s="17" customFormat="1" x14ac:dyDescent="0.2">
      <c r="A116" s="57"/>
      <c r="C116" s="54"/>
      <c r="D116" s="10"/>
      <c r="E116" s="14"/>
      <c r="G116" s="93"/>
      <c r="I116" s="103"/>
      <c r="J116" s="103"/>
      <c r="K116" s="103"/>
      <c r="L116" s="103"/>
      <c r="M116" s="103"/>
      <c r="N116" s="104"/>
      <c r="O116" s="103"/>
      <c r="P116" s="104"/>
      <c r="Q116" s="103"/>
      <c r="R116" s="104"/>
      <c r="S116" s="103"/>
      <c r="T116" s="104"/>
      <c r="U116" s="103"/>
      <c r="V116" s="48"/>
      <c r="W116" s="90"/>
      <c r="X116" s="92"/>
      <c r="Z116" s="38"/>
      <c r="AB116" s="38"/>
      <c r="AD116" s="38"/>
      <c r="AE116" s="38"/>
      <c r="AF116" s="92"/>
    </row>
    <row r="117" spans="1:58" s="17" customFormat="1" x14ac:dyDescent="0.2">
      <c r="A117" s="57"/>
      <c r="C117" s="123" t="str">
        <f>C19</f>
        <v>Total Composite Factor for FY 2013</v>
      </c>
      <c r="D117" s="10"/>
      <c r="E117" s="14" t="s">
        <v>6</v>
      </c>
      <c r="G117" s="102" t="e">
        <f>SUM(I117:BC117)</f>
        <v>#REF!</v>
      </c>
      <c r="I117" s="102" t="e">
        <f>1-SUM(K117:BC117)</f>
        <v>#REF!</v>
      </c>
      <c r="J117" s="103"/>
      <c r="K117" s="102"/>
      <c r="L117" s="103"/>
      <c r="M117" s="102"/>
      <c r="N117" s="104"/>
      <c r="O117" s="102"/>
      <c r="P117" s="104"/>
      <c r="Q117" s="102"/>
      <c r="R117" s="104"/>
      <c r="S117" s="102"/>
      <c r="T117" s="104"/>
      <c r="U117" s="102" t="e">
        <f>ROUND(AVERAGE(U113:U115),4)</f>
        <v>#REF!</v>
      </c>
      <c r="V117" s="111"/>
      <c r="W117" s="102" t="e">
        <f>ROUND(AVERAGE(W113:W115),4)</f>
        <v>#REF!</v>
      </c>
      <c r="X117" s="92"/>
      <c r="Z117" s="38"/>
      <c r="AB117" s="38"/>
      <c r="AD117" s="38"/>
      <c r="AE117" s="38"/>
      <c r="AF117" s="92"/>
    </row>
    <row r="118" spans="1:58" s="17" customFormat="1" x14ac:dyDescent="0.2">
      <c r="A118" s="57"/>
      <c r="C118" s="54"/>
      <c r="D118" s="10"/>
      <c r="E118" s="14"/>
      <c r="I118" s="59"/>
      <c r="N118" s="92"/>
      <c r="O118" s="93"/>
      <c r="P118" s="92"/>
      <c r="R118" s="92"/>
      <c r="T118" s="92"/>
      <c r="V118" s="92"/>
      <c r="X118" s="92"/>
      <c r="Z118" s="38"/>
      <c r="AB118" s="38"/>
      <c r="AD118" s="38"/>
      <c r="AE118" s="38"/>
      <c r="AF118" s="92"/>
    </row>
    <row r="121" spans="1:58" s="6" customFormat="1" x14ac:dyDescent="0.2">
      <c r="A121" s="43"/>
      <c r="C121" s="136" t="s">
        <v>107</v>
      </c>
      <c r="I121" s="82"/>
      <c r="N121" s="20"/>
      <c r="P121" s="20"/>
      <c r="R121" s="20"/>
      <c r="T121" s="20"/>
      <c r="V121" s="20"/>
      <c r="X121" s="20"/>
      <c r="AF121" s="20"/>
    </row>
    <row r="122" spans="1:58" s="6" customFormat="1" ht="25.5" x14ac:dyDescent="0.2">
      <c r="A122" s="45"/>
      <c r="B122" s="46"/>
      <c r="C122" s="47"/>
      <c r="E122" s="20"/>
      <c r="G122" s="7" t="s">
        <v>1</v>
      </c>
      <c r="I122" s="83" t="s">
        <v>13</v>
      </c>
      <c r="K122" s="7" t="s">
        <v>10</v>
      </c>
      <c r="M122" s="7" t="s">
        <v>11</v>
      </c>
      <c r="N122" s="20"/>
      <c r="O122" s="7" t="s">
        <v>12</v>
      </c>
      <c r="P122" s="20"/>
      <c r="Q122" s="112" t="s">
        <v>83</v>
      </c>
      <c r="R122" s="20"/>
      <c r="S122" s="7" t="s">
        <v>82</v>
      </c>
      <c r="T122" s="20"/>
      <c r="U122" s="7" t="s">
        <v>14</v>
      </c>
      <c r="V122" s="20"/>
      <c r="W122" s="139"/>
      <c r="X122" s="20"/>
      <c r="Y122" s="20"/>
      <c r="Z122" s="20"/>
      <c r="AA122" s="139"/>
      <c r="AB122" s="139"/>
      <c r="AC122" s="139"/>
      <c r="AD122" s="20"/>
      <c r="AE122" s="139"/>
      <c r="AF122" s="20"/>
      <c r="AG122" s="139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</row>
    <row r="123" spans="1:58" x14ac:dyDescent="0.2">
      <c r="G123" s="48"/>
      <c r="H123" s="48"/>
      <c r="I123" s="49"/>
      <c r="W123" s="48"/>
      <c r="Y123" s="48"/>
      <c r="Z123" s="117"/>
      <c r="AA123" s="48"/>
      <c r="AB123" s="117"/>
      <c r="AC123" s="48"/>
      <c r="AD123" s="117"/>
      <c r="AE123" s="117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</row>
    <row r="124" spans="1:58" s="3" customFormat="1" x14ac:dyDescent="0.2">
      <c r="A124" s="19"/>
      <c r="C124" s="2" t="s">
        <v>2</v>
      </c>
      <c r="D124" s="10"/>
      <c r="E124" s="3" t="s">
        <v>3</v>
      </c>
      <c r="G124" s="84">
        <f>SUM(I124:BC124)</f>
        <v>3413560481.1199999</v>
      </c>
      <c r="H124" s="49"/>
      <c r="I124" s="113">
        <f>I10</f>
        <v>503797716.75</v>
      </c>
      <c r="J124" s="8"/>
      <c r="K124" s="113"/>
      <c r="L124" s="8"/>
      <c r="M124" s="113"/>
      <c r="N124" s="49"/>
      <c r="O124" s="113"/>
      <c r="P124" s="49"/>
      <c r="Q124" s="113"/>
      <c r="R124" s="49"/>
      <c r="S124" s="113"/>
      <c r="T124" s="49"/>
      <c r="U124" s="113">
        <f>U10</f>
        <v>2909762764.3699999</v>
      </c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1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</row>
    <row r="125" spans="1:58" s="3" customFormat="1" x14ac:dyDescent="0.2">
      <c r="A125" s="19"/>
      <c r="C125" s="3" t="s">
        <v>4</v>
      </c>
      <c r="D125" s="10"/>
      <c r="E125" s="3" t="s">
        <v>5</v>
      </c>
      <c r="G125" s="85" t="e">
        <f>SUM(I125:BC125)</f>
        <v>#REF!</v>
      </c>
      <c r="H125" s="49"/>
      <c r="I125" s="114" t="e">
        <f>I11</f>
        <v>#REF!</v>
      </c>
      <c r="J125" s="8"/>
      <c r="K125" s="113"/>
      <c r="L125" s="8"/>
      <c r="M125" s="113"/>
      <c r="N125" s="49"/>
      <c r="O125" s="113"/>
      <c r="P125" s="49"/>
      <c r="Q125" s="113"/>
      <c r="R125" s="49"/>
      <c r="S125" s="113"/>
      <c r="T125" s="49"/>
      <c r="U125" s="113" t="e">
        <f>U11</f>
        <v>#REF!</v>
      </c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1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</row>
    <row r="126" spans="1:58" s="3" customFormat="1" x14ac:dyDescent="0.2">
      <c r="A126" s="19"/>
      <c r="C126" s="2" t="s">
        <v>15</v>
      </c>
      <c r="D126" s="10"/>
      <c r="E126" s="3" t="s">
        <v>3</v>
      </c>
      <c r="G126" s="84">
        <f>SUM(I126:BC126)</f>
        <v>125731530.86</v>
      </c>
      <c r="H126" s="49"/>
      <c r="I126" s="114">
        <f>I12</f>
        <v>27206253.27</v>
      </c>
      <c r="J126" s="8"/>
      <c r="K126" s="113"/>
      <c r="L126" s="8"/>
      <c r="M126" s="114"/>
      <c r="N126" s="49"/>
      <c r="O126" s="114"/>
      <c r="P126" s="49"/>
      <c r="Q126" s="113"/>
      <c r="R126" s="49"/>
      <c r="S126" s="113"/>
      <c r="T126" s="49"/>
      <c r="U126" s="113">
        <f>U12</f>
        <v>98525277.590000004</v>
      </c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1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</row>
    <row r="127" spans="1:58" s="3" customFormat="1" x14ac:dyDescent="0.2">
      <c r="A127" s="19"/>
      <c r="C127" s="50" t="s">
        <v>16</v>
      </c>
      <c r="D127" s="10"/>
      <c r="G127" s="51"/>
      <c r="H127" s="8"/>
      <c r="I127" s="1"/>
      <c r="J127" s="4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8"/>
      <c r="X127" s="1"/>
      <c r="Y127" s="18"/>
      <c r="Z127" s="96"/>
      <c r="AA127" s="1"/>
      <c r="AB127" s="96"/>
      <c r="AC127" s="1"/>
      <c r="AD127" s="96"/>
      <c r="AE127" s="18"/>
      <c r="AF127" s="1"/>
      <c r="AG127" s="18"/>
      <c r="AH127" s="1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</row>
    <row r="128" spans="1:58" x14ac:dyDescent="0.2">
      <c r="A128" s="52" t="s">
        <v>9</v>
      </c>
      <c r="B128" s="47"/>
      <c r="D128" s="10"/>
      <c r="G128" s="53"/>
      <c r="I128" s="110"/>
      <c r="W128" s="48"/>
      <c r="Y128" s="48"/>
      <c r="Z128" s="117"/>
      <c r="AA128" s="53"/>
      <c r="AB128" s="117"/>
      <c r="AC128" s="48"/>
      <c r="AD128" s="117"/>
      <c r="AE128" s="117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</row>
    <row r="129" spans="1:58" s="14" customFormat="1" x14ac:dyDescent="0.2">
      <c r="A129" s="19"/>
      <c r="C129" s="2" t="s">
        <v>2</v>
      </c>
      <c r="D129" s="10"/>
      <c r="E129" s="14" t="s">
        <v>6</v>
      </c>
      <c r="G129" s="86">
        <f>SUM(I129:BC129)</f>
        <v>1</v>
      </c>
      <c r="H129" s="87"/>
      <c r="I129" s="88">
        <f>1-SUM(K129:BC129)</f>
        <v>0.14759999999999995</v>
      </c>
      <c r="J129" s="87"/>
      <c r="K129" s="86">
        <f>ROUND(K124/$G$10,4)</f>
        <v>0</v>
      </c>
      <c r="L129" s="87"/>
      <c r="M129" s="86">
        <f>ROUND(M124/$G124,4)</f>
        <v>0</v>
      </c>
      <c r="N129" s="90"/>
      <c r="O129" s="86">
        <f>ROUND(O124/$G124,4)</f>
        <v>0</v>
      </c>
      <c r="P129" s="90"/>
      <c r="Q129" s="86">
        <f>ROUND(Q124/$G124,4)</f>
        <v>0</v>
      </c>
      <c r="R129" s="90"/>
      <c r="S129" s="86">
        <f>ROUND(S124/$G124,4)</f>
        <v>0</v>
      </c>
      <c r="T129" s="90"/>
      <c r="U129" s="86">
        <f>ROUND(U124/$G124,4)</f>
        <v>0.85240000000000005</v>
      </c>
      <c r="V129" s="90"/>
      <c r="W129" s="90"/>
      <c r="X129" s="90"/>
      <c r="Y129" s="90"/>
      <c r="Z129" s="16"/>
      <c r="AA129" s="90"/>
      <c r="AB129" s="16"/>
      <c r="AC129" s="90"/>
      <c r="AD129" s="16"/>
      <c r="AE129" s="90"/>
      <c r="AF129" s="90"/>
      <c r="AG129" s="90"/>
      <c r="AH129" s="15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</row>
    <row r="130" spans="1:58" s="14" customFormat="1" x14ac:dyDescent="0.2">
      <c r="A130" s="19"/>
      <c r="C130" s="3" t="s">
        <v>4</v>
      </c>
      <c r="D130" s="10"/>
      <c r="E130" s="14" t="s">
        <v>6</v>
      </c>
      <c r="G130" s="89" t="e">
        <f>SUM(I130:BC130)</f>
        <v>#REF!</v>
      </c>
      <c r="H130" s="87"/>
      <c r="I130" s="88" t="e">
        <f>1-SUM(K130:BC130)</f>
        <v>#REF!</v>
      </c>
      <c r="J130" s="87"/>
      <c r="K130" s="86" t="e">
        <f>ROUND(K125/$G$11,4)</f>
        <v>#REF!</v>
      </c>
      <c r="L130" s="87"/>
      <c r="M130" s="86" t="e">
        <f>ROUND(M125/$G125,4)</f>
        <v>#REF!</v>
      </c>
      <c r="N130" s="90"/>
      <c r="O130" s="86" t="e">
        <f>ROUND(O125/$G125,4)</f>
        <v>#REF!</v>
      </c>
      <c r="P130" s="90"/>
      <c r="Q130" s="86" t="e">
        <f>ROUND(Q125/$G125,4)</f>
        <v>#REF!</v>
      </c>
      <c r="R130" s="90"/>
      <c r="S130" s="86" t="e">
        <f>ROUND(S125/$G125,4)</f>
        <v>#REF!</v>
      </c>
      <c r="T130" s="90"/>
      <c r="U130" s="86" t="e">
        <f>ROUND(U125/$G125,4)</f>
        <v>#REF!</v>
      </c>
      <c r="V130" s="90"/>
      <c r="W130" s="90"/>
      <c r="X130" s="90"/>
      <c r="Y130" s="90"/>
      <c r="Z130" s="16"/>
      <c r="AA130" s="90"/>
      <c r="AB130" s="16"/>
      <c r="AC130" s="90"/>
      <c r="AD130" s="16"/>
      <c r="AE130" s="90"/>
      <c r="AF130" s="90"/>
      <c r="AG130" s="90"/>
      <c r="AH130" s="15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</row>
    <row r="131" spans="1:58" s="14" customFormat="1" x14ac:dyDescent="0.2">
      <c r="A131" s="19"/>
      <c r="C131" s="2" t="s">
        <v>7</v>
      </c>
      <c r="D131" s="10"/>
      <c r="E131" s="14" t="s">
        <v>6</v>
      </c>
      <c r="G131" s="89">
        <f>SUM(I131:BC131)</f>
        <v>1</v>
      </c>
      <c r="H131" s="87"/>
      <c r="I131" s="88">
        <f>1-SUM(K131:BC131)</f>
        <v>0.21640000000000004</v>
      </c>
      <c r="J131" s="87"/>
      <c r="K131" s="86">
        <f>ROUND(K126/$G126,4)</f>
        <v>0</v>
      </c>
      <c r="L131" s="87"/>
      <c r="M131" s="86">
        <f>ROUND(M126/$G126,4)</f>
        <v>0</v>
      </c>
      <c r="N131" s="90"/>
      <c r="O131" s="86">
        <f>ROUND(O126/$G126,4)</f>
        <v>0</v>
      </c>
      <c r="P131" s="90"/>
      <c r="Q131" s="86">
        <f>ROUND(Q126/$G126,4)</f>
        <v>0</v>
      </c>
      <c r="R131" s="90"/>
      <c r="S131" s="86">
        <f>ROUND(S126/$G126,4)</f>
        <v>0</v>
      </c>
      <c r="T131" s="90"/>
      <c r="U131" s="86">
        <f>ROUND(U126/$G126,4)</f>
        <v>0.78359999999999996</v>
      </c>
      <c r="V131" s="90"/>
      <c r="W131" s="90"/>
      <c r="X131" s="90"/>
      <c r="Y131" s="90"/>
      <c r="Z131" s="16"/>
      <c r="AA131" s="90"/>
      <c r="AB131" s="16"/>
      <c r="AC131" s="90"/>
      <c r="AD131" s="16"/>
      <c r="AE131" s="90"/>
      <c r="AF131" s="90"/>
      <c r="AG131" s="90"/>
      <c r="AH131" s="15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</row>
    <row r="132" spans="1:58" s="14" customFormat="1" x14ac:dyDescent="0.2">
      <c r="A132" s="19"/>
      <c r="C132" s="54"/>
      <c r="D132" s="10"/>
      <c r="G132" s="90"/>
      <c r="H132" s="90"/>
      <c r="I132" s="91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16"/>
      <c r="AA132" s="90"/>
      <c r="AB132" s="16"/>
      <c r="AC132" s="90"/>
      <c r="AD132" s="16"/>
      <c r="AE132" s="90"/>
      <c r="AF132" s="90"/>
      <c r="AG132" s="90"/>
      <c r="AH132" s="15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</row>
    <row r="133" spans="1:58" s="14" customFormat="1" x14ac:dyDescent="0.2">
      <c r="A133" s="19"/>
      <c r="C133" s="123" t="str">
        <f>C19</f>
        <v>Total Composite Factor for FY 2013</v>
      </c>
      <c r="D133" s="10"/>
      <c r="E133" s="14" t="s">
        <v>6</v>
      </c>
      <c r="G133" s="86" t="e">
        <f>SUM(I133:BC133)</f>
        <v>#REF!</v>
      </c>
      <c r="H133" s="87"/>
      <c r="I133" s="102" t="e">
        <f>1-SUM(K133:BC133)</f>
        <v>#REF!</v>
      </c>
      <c r="J133" s="103"/>
      <c r="K133" s="102" t="e">
        <f>ROUND(AVERAGE(K129:K131),4)</f>
        <v>#REF!</v>
      </c>
      <c r="L133" s="103"/>
      <c r="M133" s="102" t="e">
        <f>ROUND(AVERAGE(M129:M131),4)</f>
        <v>#REF!</v>
      </c>
      <c r="N133" s="104"/>
      <c r="O133" s="102" t="e">
        <f>ROUND(AVERAGE(O129:O131),4)</f>
        <v>#REF!</v>
      </c>
      <c r="P133" s="104"/>
      <c r="Q133" s="102" t="e">
        <f>ROUND(AVERAGE(Q129:Q131),4)</f>
        <v>#REF!</v>
      </c>
      <c r="R133" s="104"/>
      <c r="S133" s="102" t="e">
        <f>ROUND(AVERAGE(S129:S131),4)</f>
        <v>#REF!</v>
      </c>
      <c r="T133" s="104"/>
      <c r="U133" s="102" t="e">
        <f>ROUND(AVERAGE(U129:U131),4)</f>
        <v>#REF!</v>
      </c>
      <c r="V133" s="111"/>
      <c r="W133" s="104"/>
      <c r="X133" s="91"/>
      <c r="Y133" s="104"/>
      <c r="Z133" s="91"/>
      <c r="AA133" s="104"/>
      <c r="AB133" s="91"/>
      <c r="AC133" s="104"/>
      <c r="AD133" s="91"/>
      <c r="AE133" s="104"/>
      <c r="AF133" s="91"/>
      <c r="AG133" s="104"/>
      <c r="AH133" s="15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</row>
    <row r="137" spans="1:58" s="6" customFormat="1" x14ac:dyDescent="0.2">
      <c r="A137" s="43"/>
      <c r="C137" s="136" t="s">
        <v>108</v>
      </c>
      <c r="I137" s="82"/>
      <c r="N137" s="20"/>
      <c r="P137" s="20"/>
      <c r="R137" s="20"/>
      <c r="T137" s="20"/>
      <c r="V137" s="20"/>
      <c r="X137" s="20"/>
      <c r="AF137" s="20"/>
    </row>
    <row r="138" spans="1:58" s="6" customFormat="1" ht="25.5" x14ac:dyDescent="0.2">
      <c r="A138" s="45"/>
      <c r="B138" s="46"/>
      <c r="C138" s="47"/>
      <c r="E138" s="20"/>
      <c r="G138" s="7" t="s">
        <v>1</v>
      </c>
      <c r="I138" s="83" t="s">
        <v>13</v>
      </c>
      <c r="K138" s="7" t="s">
        <v>10</v>
      </c>
      <c r="M138" s="7" t="s">
        <v>11</v>
      </c>
      <c r="N138" s="20"/>
      <c r="O138" s="7" t="s">
        <v>12</v>
      </c>
      <c r="P138" s="20"/>
      <c r="Q138" s="112" t="s">
        <v>83</v>
      </c>
      <c r="R138" s="20"/>
      <c r="S138" s="7" t="s">
        <v>82</v>
      </c>
      <c r="T138" s="20"/>
      <c r="U138" s="7" t="s">
        <v>14</v>
      </c>
      <c r="V138" s="20"/>
      <c r="W138" s="139"/>
      <c r="X138" s="20"/>
      <c r="Y138" s="20"/>
      <c r="Z138" s="20"/>
      <c r="AA138" s="139"/>
      <c r="AB138" s="139"/>
      <c r="AC138" s="139"/>
      <c r="AD138" s="20"/>
      <c r="AE138" s="139"/>
      <c r="AF138" s="20"/>
      <c r="AG138" s="139"/>
      <c r="AH138" s="20"/>
      <c r="AI138" s="20"/>
      <c r="AJ138" s="20"/>
      <c r="AK138" s="20"/>
      <c r="AW138" s="7"/>
    </row>
    <row r="139" spans="1:58" x14ac:dyDescent="0.2">
      <c r="G139" s="48"/>
      <c r="H139" s="48"/>
      <c r="I139" s="49"/>
      <c r="W139" s="48"/>
      <c r="Y139" s="48"/>
      <c r="Z139" s="117"/>
      <c r="AA139" s="48"/>
      <c r="AB139" s="117"/>
      <c r="AC139" s="48"/>
      <c r="AD139" s="117"/>
      <c r="AE139" s="117"/>
      <c r="AG139" s="48"/>
      <c r="AH139" s="48"/>
      <c r="AI139" s="48"/>
      <c r="AJ139" s="48"/>
      <c r="AK139" s="48"/>
    </row>
    <row r="140" spans="1:58" s="3" customFormat="1" x14ac:dyDescent="0.2">
      <c r="A140" s="19"/>
      <c r="C140" s="2" t="s">
        <v>2</v>
      </c>
      <c r="D140" s="10"/>
      <c r="E140" s="3" t="s">
        <v>3</v>
      </c>
      <c r="G140" s="84">
        <f>SUM(I140:BC140)</f>
        <v>6035296572.7199993</v>
      </c>
      <c r="H140" s="49"/>
      <c r="I140" s="113">
        <f>I10</f>
        <v>503797716.75</v>
      </c>
      <c r="J140" s="8"/>
      <c r="K140" s="113">
        <f>K10</f>
        <v>465694921.06</v>
      </c>
      <c r="L140" s="8"/>
      <c r="M140" s="113">
        <f>M10</f>
        <v>178307235.72999999</v>
      </c>
      <c r="N140" s="49"/>
      <c r="O140" s="113">
        <f>O10</f>
        <v>494319819.33999997</v>
      </c>
      <c r="P140" s="49"/>
      <c r="Q140" s="113">
        <f>Q10</f>
        <v>1024397447.76</v>
      </c>
      <c r="R140" s="49"/>
      <c r="S140" s="113">
        <f>S10</f>
        <v>435562796.50999999</v>
      </c>
      <c r="T140" s="49"/>
      <c r="U140" s="113">
        <f>U10</f>
        <v>2909762764.3699999</v>
      </c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1"/>
      <c r="AI140" s="96"/>
      <c r="AJ140" s="96"/>
      <c r="AK140" s="96"/>
      <c r="AW140" s="113">
        <f>AW10</f>
        <v>23453871.199999999</v>
      </c>
    </row>
    <row r="141" spans="1:58" s="3" customFormat="1" x14ac:dyDescent="0.2">
      <c r="A141" s="19"/>
      <c r="C141" s="3" t="s">
        <v>4</v>
      </c>
      <c r="D141" s="10"/>
      <c r="E141" s="3" t="s">
        <v>5</v>
      </c>
      <c r="G141" s="85" t="e">
        <f>SUM(I141:BC141)</f>
        <v>#REF!</v>
      </c>
      <c r="H141" s="49"/>
      <c r="I141" s="114" t="e">
        <f>I11</f>
        <v>#REF!</v>
      </c>
      <c r="J141" s="8"/>
      <c r="K141" s="113">
        <f>K11</f>
        <v>247550.41666666666</v>
      </c>
      <c r="L141" s="8"/>
      <c r="M141" s="113" t="e">
        <f>M11</f>
        <v>#REF!</v>
      </c>
      <c r="N141" s="49"/>
      <c r="O141" s="113" t="e">
        <f>O11</f>
        <v>#REF!</v>
      </c>
      <c r="P141" s="49"/>
      <c r="Q141" s="113">
        <f>Q11</f>
        <v>528545.33333333337</v>
      </c>
      <c r="R141" s="49"/>
      <c r="S141" s="113" t="e">
        <f>S11</f>
        <v>#REF!</v>
      </c>
      <c r="T141" s="49"/>
      <c r="U141" s="113" t="e">
        <f>U11</f>
        <v>#REF!</v>
      </c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1"/>
      <c r="AI141" s="96"/>
      <c r="AJ141" s="96"/>
      <c r="AK141" s="96"/>
      <c r="AW141" s="113">
        <f>AW11</f>
        <v>7</v>
      </c>
    </row>
    <row r="142" spans="1:58" s="3" customFormat="1" x14ac:dyDescent="0.2">
      <c r="A142" s="19"/>
      <c r="C142" s="2" t="s">
        <v>15</v>
      </c>
      <c r="D142" s="10"/>
      <c r="E142" s="3" t="s">
        <v>3</v>
      </c>
      <c r="G142" s="84">
        <f>SUM(I142:BC142)</f>
        <v>264170280.26000002</v>
      </c>
      <c r="H142" s="49"/>
      <c r="I142" s="114">
        <f>I12</f>
        <v>27206253.27</v>
      </c>
      <c r="J142" s="8"/>
      <c r="K142" s="113">
        <f>K12</f>
        <v>23972323.100000001</v>
      </c>
      <c r="L142" s="8"/>
      <c r="M142" s="114">
        <f>M12</f>
        <v>10289510.67</v>
      </c>
      <c r="N142" s="49"/>
      <c r="O142" s="114">
        <f>O12</f>
        <v>22111377.52</v>
      </c>
      <c r="P142" s="49"/>
      <c r="Q142" s="113">
        <f>Q12</f>
        <v>49299476.899999999</v>
      </c>
      <c r="R142" s="49"/>
      <c r="S142" s="113">
        <f>S12</f>
        <v>31477147.5</v>
      </c>
      <c r="T142" s="49"/>
      <c r="U142" s="113">
        <f>U12</f>
        <v>98525277.590000004</v>
      </c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1"/>
      <c r="AI142" s="96"/>
      <c r="AJ142" s="96"/>
      <c r="AK142" s="96"/>
      <c r="AW142" s="113">
        <f>AW12</f>
        <v>1288913.71</v>
      </c>
    </row>
    <row r="143" spans="1:58" s="3" customFormat="1" x14ac:dyDescent="0.2">
      <c r="A143" s="19"/>
      <c r="C143" s="50" t="s">
        <v>16</v>
      </c>
      <c r="D143" s="10"/>
      <c r="G143" s="51"/>
      <c r="H143" s="8"/>
      <c r="I143" s="1"/>
      <c r="J143" s="4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8"/>
      <c r="X143" s="1"/>
      <c r="Y143" s="18"/>
      <c r="Z143" s="96"/>
      <c r="AA143" s="1"/>
      <c r="AB143" s="96"/>
      <c r="AC143" s="1"/>
      <c r="AD143" s="96"/>
      <c r="AE143" s="18"/>
      <c r="AF143" s="1"/>
      <c r="AG143" s="18"/>
      <c r="AH143" s="1"/>
      <c r="AI143" s="96"/>
      <c r="AJ143" s="96"/>
      <c r="AK143" s="96"/>
      <c r="AW143" s="1"/>
    </row>
    <row r="144" spans="1:58" x14ac:dyDescent="0.2">
      <c r="A144" s="52" t="s">
        <v>9</v>
      </c>
      <c r="B144" s="47"/>
      <c r="D144" s="10"/>
      <c r="G144" s="53"/>
      <c r="I144" s="110"/>
      <c r="W144" s="48"/>
      <c r="Y144" s="48"/>
      <c r="Z144" s="117"/>
      <c r="AA144" s="53"/>
      <c r="AB144" s="117"/>
      <c r="AC144" s="48"/>
      <c r="AD144" s="117"/>
      <c r="AE144" s="117"/>
      <c r="AG144" s="48"/>
      <c r="AH144" s="48"/>
      <c r="AI144" s="48"/>
      <c r="AJ144" s="48"/>
      <c r="AK144" s="48"/>
    </row>
    <row r="145" spans="1:66" s="14" customFormat="1" x14ac:dyDescent="0.2">
      <c r="A145" s="19"/>
      <c r="C145" s="2" t="s">
        <v>2</v>
      </c>
      <c r="D145" s="10"/>
      <c r="E145" s="14" t="s">
        <v>6</v>
      </c>
      <c r="G145" s="86">
        <f>SUM(I145:BC145)</f>
        <v>1</v>
      </c>
      <c r="H145" s="87"/>
      <c r="I145" s="88">
        <f>1-SUM(K145:BC145)</f>
        <v>9.770000000000012E-2</v>
      </c>
      <c r="J145" s="87"/>
      <c r="K145" s="86">
        <f>ROUND(K140/$G$10,4)</f>
        <v>6.3E-2</v>
      </c>
      <c r="L145" s="87"/>
      <c r="M145" s="86">
        <f>ROUND(M140/$G140,4)</f>
        <v>2.9499999999999998E-2</v>
      </c>
      <c r="N145" s="90"/>
      <c r="O145" s="86">
        <f>ROUND(O140/$G140,4)</f>
        <v>8.1900000000000001E-2</v>
      </c>
      <c r="P145" s="90"/>
      <c r="Q145" s="86">
        <f>ROUND(Q140/$G140,4)</f>
        <v>0.16969999999999999</v>
      </c>
      <c r="R145" s="90"/>
      <c r="S145" s="86">
        <f>ROUND(S140/$G140,4)</f>
        <v>7.22E-2</v>
      </c>
      <c r="T145" s="90"/>
      <c r="U145" s="86">
        <f>ROUND(U140/$G140,4)</f>
        <v>0.48209999999999997</v>
      </c>
      <c r="V145" s="90"/>
      <c r="W145" s="90"/>
      <c r="X145" s="90"/>
      <c r="Y145" s="90"/>
      <c r="Z145" s="16"/>
      <c r="AA145" s="90"/>
      <c r="AB145" s="16"/>
      <c r="AC145" s="90"/>
      <c r="AD145" s="16"/>
      <c r="AE145" s="90"/>
      <c r="AF145" s="90"/>
      <c r="AG145" s="90"/>
      <c r="AH145" s="15"/>
      <c r="AI145" s="16"/>
      <c r="AJ145" s="16"/>
      <c r="AK145" s="16"/>
      <c r="AW145" s="86">
        <f>ROUND(AW140/$G140,4)</f>
        <v>3.8999999999999998E-3</v>
      </c>
    </row>
    <row r="146" spans="1:66" s="14" customFormat="1" x14ac:dyDescent="0.2">
      <c r="A146" s="19"/>
      <c r="C146" s="3" t="s">
        <v>4</v>
      </c>
      <c r="D146" s="10"/>
      <c r="E146" s="14" t="s">
        <v>6</v>
      </c>
      <c r="G146" s="89" t="e">
        <f>SUM(I146:BC146)</f>
        <v>#REF!</v>
      </c>
      <c r="H146" s="87"/>
      <c r="I146" s="88" t="e">
        <f>1-SUM(K146:BC146)</f>
        <v>#REF!</v>
      </c>
      <c r="J146" s="87"/>
      <c r="K146" s="86" t="e">
        <f>ROUND(K141/$G$11,4)</f>
        <v>#REF!</v>
      </c>
      <c r="L146" s="87"/>
      <c r="M146" s="86" t="e">
        <f>ROUND(M141/$G141,4)</f>
        <v>#REF!</v>
      </c>
      <c r="N146" s="90"/>
      <c r="O146" s="86" t="e">
        <f>ROUND(O141/$G141,4)</f>
        <v>#REF!</v>
      </c>
      <c r="P146" s="90"/>
      <c r="Q146" s="86" t="e">
        <f>ROUND(Q141/$G141,4)</f>
        <v>#REF!</v>
      </c>
      <c r="R146" s="90"/>
      <c r="S146" s="86" t="e">
        <f>ROUND(S141/$G141,4)</f>
        <v>#REF!</v>
      </c>
      <c r="T146" s="90"/>
      <c r="U146" s="86" t="e">
        <f>ROUND(U141/$G141,4)</f>
        <v>#REF!</v>
      </c>
      <c r="V146" s="90"/>
      <c r="W146" s="90"/>
      <c r="X146" s="90"/>
      <c r="Y146" s="90"/>
      <c r="Z146" s="16"/>
      <c r="AA146" s="90"/>
      <c r="AB146" s="16"/>
      <c r="AC146" s="90"/>
      <c r="AD146" s="16"/>
      <c r="AE146" s="90"/>
      <c r="AF146" s="90"/>
      <c r="AG146" s="90"/>
      <c r="AH146" s="15"/>
      <c r="AI146" s="16"/>
      <c r="AJ146" s="16"/>
      <c r="AK146" s="16"/>
      <c r="AW146" s="86" t="e">
        <f>ROUND(AW141/$G141,4)</f>
        <v>#REF!</v>
      </c>
    </row>
    <row r="147" spans="1:66" s="14" customFormat="1" x14ac:dyDescent="0.2">
      <c r="A147" s="19"/>
      <c r="C147" s="2" t="s">
        <v>7</v>
      </c>
      <c r="D147" s="10"/>
      <c r="E147" s="14" t="s">
        <v>6</v>
      </c>
      <c r="G147" s="89">
        <f>SUM(I147:BC147)</f>
        <v>1</v>
      </c>
      <c r="H147" s="87"/>
      <c r="I147" s="88">
        <f>1-SUM(K147:BC147)</f>
        <v>0.10289999999999999</v>
      </c>
      <c r="J147" s="87"/>
      <c r="K147" s="86">
        <f>ROUND(K142/$G142,4)</f>
        <v>9.0700000000000003E-2</v>
      </c>
      <c r="L147" s="87"/>
      <c r="M147" s="86">
        <f>ROUND(M142/$G142,4)</f>
        <v>3.9E-2</v>
      </c>
      <c r="N147" s="90"/>
      <c r="O147" s="86">
        <f>ROUND(O142/$G142,4)</f>
        <v>8.3699999999999997E-2</v>
      </c>
      <c r="P147" s="90"/>
      <c r="Q147" s="86">
        <f>ROUND(Q142/$G142,4)</f>
        <v>0.18659999999999999</v>
      </c>
      <c r="R147" s="90"/>
      <c r="S147" s="86">
        <f>ROUND(S142/$G142,4)</f>
        <v>0.1192</v>
      </c>
      <c r="T147" s="90"/>
      <c r="U147" s="86">
        <f>ROUND(U142/$G142,4)</f>
        <v>0.373</v>
      </c>
      <c r="V147" s="90"/>
      <c r="W147" s="90"/>
      <c r="X147" s="90"/>
      <c r="Y147" s="90"/>
      <c r="Z147" s="16"/>
      <c r="AA147" s="90"/>
      <c r="AB147" s="16"/>
      <c r="AC147" s="90"/>
      <c r="AD147" s="16"/>
      <c r="AE147" s="90"/>
      <c r="AF147" s="90"/>
      <c r="AG147" s="90"/>
      <c r="AH147" s="15"/>
      <c r="AI147" s="16"/>
      <c r="AJ147" s="16"/>
      <c r="AK147" s="16"/>
      <c r="AW147" s="86">
        <f>ROUND(AW142/$G142,4)</f>
        <v>4.8999999999999998E-3</v>
      </c>
    </row>
    <row r="148" spans="1:66" s="14" customFormat="1" x14ac:dyDescent="0.2">
      <c r="A148" s="19"/>
      <c r="C148" s="54"/>
      <c r="D148" s="10"/>
      <c r="G148" s="90"/>
      <c r="H148" s="90"/>
      <c r="I148" s="91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16"/>
      <c r="AA148" s="90"/>
      <c r="AB148" s="16"/>
      <c r="AC148" s="90"/>
      <c r="AD148" s="16"/>
      <c r="AE148" s="90"/>
      <c r="AF148" s="90"/>
      <c r="AG148" s="90"/>
      <c r="AH148" s="15"/>
      <c r="AI148" s="16"/>
      <c r="AJ148" s="16"/>
      <c r="AK148" s="16"/>
      <c r="AW148" s="90"/>
    </row>
    <row r="149" spans="1:66" s="14" customFormat="1" x14ac:dyDescent="0.2">
      <c r="A149" s="19"/>
      <c r="C149" s="123" t="str">
        <f>C19</f>
        <v>Total Composite Factor for FY 2013</v>
      </c>
      <c r="D149" s="10"/>
      <c r="E149" s="14" t="s">
        <v>6</v>
      </c>
      <c r="G149" s="86" t="e">
        <f>SUM(I149:BC149)</f>
        <v>#REF!</v>
      </c>
      <c r="H149" s="87"/>
      <c r="I149" s="102" t="e">
        <f>1-SUM(K149:BC149)</f>
        <v>#REF!</v>
      </c>
      <c r="J149" s="103"/>
      <c r="K149" s="102" t="e">
        <f>ROUND(AVERAGE(K145:K147),4)</f>
        <v>#REF!</v>
      </c>
      <c r="L149" s="103"/>
      <c r="M149" s="102" t="e">
        <f>ROUND(AVERAGE(M145:M147),4)</f>
        <v>#REF!</v>
      </c>
      <c r="N149" s="104"/>
      <c r="O149" s="102" t="e">
        <f>ROUND(AVERAGE(O145:O147),4)</f>
        <v>#REF!</v>
      </c>
      <c r="P149" s="104"/>
      <c r="Q149" s="102" t="e">
        <f>ROUND(AVERAGE(Q145:Q147),4)</f>
        <v>#REF!</v>
      </c>
      <c r="R149" s="104"/>
      <c r="S149" s="102" t="e">
        <f>ROUND(AVERAGE(S145:S147),4)</f>
        <v>#REF!</v>
      </c>
      <c r="T149" s="104"/>
      <c r="U149" s="102" t="e">
        <f>ROUND(AVERAGE(U145:U147),4)</f>
        <v>#REF!</v>
      </c>
      <c r="V149" s="111"/>
      <c r="W149" s="104"/>
      <c r="X149" s="91"/>
      <c r="Y149" s="104"/>
      <c r="Z149" s="91"/>
      <c r="AA149" s="104"/>
      <c r="AB149" s="91"/>
      <c r="AC149" s="104"/>
      <c r="AD149" s="91"/>
      <c r="AE149" s="104"/>
      <c r="AF149" s="91"/>
      <c r="AG149" s="104"/>
      <c r="AH149" s="15"/>
      <c r="AI149" s="16"/>
      <c r="AJ149" s="16"/>
      <c r="AK149" s="16"/>
      <c r="AW149" s="102" t="e">
        <f>ROUND(AVERAGE(AW145:AW147),4)</f>
        <v>#REF!</v>
      </c>
    </row>
    <row r="150" spans="1:66" x14ac:dyDescent="0.2">
      <c r="W150" s="48"/>
      <c r="Y150" s="48"/>
      <c r="Z150" s="117"/>
      <c r="AA150" s="48"/>
      <c r="AB150" s="117"/>
      <c r="AC150" s="48"/>
      <c r="AD150" s="117"/>
      <c r="AE150" s="117"/>
      <c r="AG150" s="48"/>
      <c r="AH150" s="48"/>
      <c r="AI150" s="48"/>
      <c r="AJ150" s="48"/>
      <c r="AK150" s="48"/>
    </row>
    <row r="153" spans="1:66" s="6" customFormat="1" x14ac:dyDescent="0.2">
      <c r="A153" s="43"/>
      <c r="C153" s="136" t="s">
        <v>109</v>
      </c>
      <c r="D153" s="137"/>
      <c r="E153" s="138"/>
      <c r="I153" s="82"/>
      <c r="N153" s="20"/>
      <c r="P153" s="20"/>
      <c r="R153" s="20"/>
      <c r="T153" s="20"/>
      <c r="V153" s="20"/>
      <c r="X153" s="20"/>
      <c r="AF153" s="20"/>
    </row>
    <row r="154" spans="1:66" s="6" customFormat="1" ht="25.5" x14ac:dyDescent="0.2">
      <c r="A154" s="45" t="s">
        <v>8</v>
      </c>
      <c r="B154" s="46"/>
      <c r="C154" s="47"/>
      <c r="E154" s="20"/>
      <c r="G154" s="7" t="s">
        <v>1</v>
      </c>
      <c r="I154" s="83" t="s">
        <v>13</v>
      </c>
      <c r="K154" s="7" t="s">
        <v>10</v>
      </c>
      <c r="M154" s="7" t="s">
        <v>11</v>
      </c>
      <c r="N154" s="20"/>
      <c r="O154" s="7" t="s">
        <v>12</v>
      </c>
      <c r="P154" s="20"/>
      <c r="Q154" s="112" t="s">
        <v>83</v>
      </c>
      <c r="R154" s="20"/>
      <c r="S154" s="7" t="s">
        <v>82</v>
      </c>
      <c r="T154" s="20"/>
      <c r="U154" s="20"/>
      <c r="V154" s="20"/>
      <c r="W154" s="139"/>
      <c r="X154" s="20"/>
      <c r="Y154" s="20"/>
      <c r="Z154" s="20"/>
      <c r="AA154" s="139"/>
      <c r="AB154" s="139"/>
      <c r="AC154" s="139"/>
      <c r="AD154" s="20"/>
      <c r="AE154" s="139"/>
      <c r="AF154" s="20"/>
      <c r="AG154" s="139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</row>
    <row r="155" spans="1:66" x14ac:dyDescent="0.2">
      <c r="G155" s="48"/>
      <c r="H155" s="48"/>
      <c r="I155" s="49"/>
      <c r="U155" s="48"/>
      <c r="W155" s="48"/>
      <c r="Y155" s="48"/>
      <c r="Z155" s="117"/>
      <c r="AA155" s="48"/>
      <c r="AB155" s="117"/>
      <c r="AC155" s="48"/>
      <c r="AD155" s="117"/>
      <c r="AE155" s="117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</row>
    <row r="156" spans="1:66" s="3" customFormat="1" x14ac:dyDescent="0.2">
      <c r="A156" s="19"/>
      <c r="C156" s="2" t="s">
        <v>2</v>
      </c>
      <c r="D156" s="10"/>
      <c r="E156" s="3" t="s">
        <v>3</v>
      </c>
      <c r="G156" s="84">
        <f>SUM(I156:BC156)</f>
        <v>1573884772.6399999</v>
      </c>
      <c r="H156" s="49"/>
      <c r="I156" s="113"/>
      <c r="J156" s="8"/>
      <c r="K156" s="113">
        <f>K10</f>
        <v>465694921.06</v>
      </c>
      <c r="L156" s="8"/>
      <c r="M156" s="113">
        <f>M10</f>
        <v>178307235.72999999</v>
      </c>
      <c r="N156" s="49"/>
      <c r="O156" s="113">
        <f>O10</f>
        <v>494319819.33999997</v>
      </c>
      <c r="P156" s="49"/>
      <c r="Q156" s="113"/>
      <c r="R156" s="49"/>
      <c r="S156" s="113">
        <f>S10</f>
        <v>435562796.50999999</v>
      </c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1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</row>
    <row r="157" spans="1:66" s="3" customFormat="1" x14ac:dyDescent="0.2">
      <c r="A157" s="19"/>
      <c r="C157" s="3" t="s">
        <v>4</v>
      </c>
      <c r="D157" s="10"/>
      <c r="E157" s="3" t="s">
        <v>5</v>
      </c>
      <c r="G157" s="85" t="e">
        <f>SUM(I157:BC157)</f>
        <v>#REF!</v>
      </c>
      <c r="H157" s="49"/>
      <c r="I157" s="114"/>
      <c r="J157" s="8"/>
      <c r="K157" s="113">
        <f>K11</f>
        <v>247550.41666666666</v>
      </c>
      <c r="L157" s="8"/>
      <c r="M157" s="113" t="e">
        <f>M11</f>
        <v>#REF!</v>
      </c>
      <c r="N157" s="49"/>
      <c r="O157" s="113" t="e">
        <f>O11</f>
        <v>#REF!</v>
      </c>
      <c r="P157" s="49"/>
      <c r="Q157" s="113"/>
      <c r="R157" s="49"/>
      <c r="S157" s="113" t="e">
        <f>S11</f>
        <v>#REF!</v>
      </c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1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</row>
    <row r="158" spans="1:66" s="3" customFormat="1" x14ac:dyDescent="0.2">
      <c r="A158" s="19"/>
      <c r="C158" s="2" t="s">
        <v>15</v>
      </c>
      <c r="D158" s="10"/>
      <c r="E158" s="3" t="s">
        <v>3</v>
      </c>
      <c r="G158" s="84">
        <f>SUM(I158:BC158)</f>
        <v>87850358.790000007</v>
      </c>
      <c r="H158" s="49"/>
      <c r="I158" s="114"/>
      <c r="J158" s="8"/>
      <c r="K158" s="113">
        <f>K12</f>
        <v>23972323.100000001</v>
      </c>
      <c r="L158" s="8"/>
      <c r="M158" s="114">
        <f>M12</f>
        <v>10289510.67</v>
      </c>
      <c r="N158" s="49"/>
      <c r="O158" s="114">
        <f>O12</f>
        <v>22111377.52</v>
      </c>
      <c r="P158" s="49"/>
      <c r="Q158" s="113"/>
      <c r="R158" s="49"/>
      <c r="S158" s="113">
        <f>S12</f>
        <v>31477147.5</v>
      </c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1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</row>
    <row r="159" spans="1:66" s="3" customFormat="1" x14ac:dyDescent="0.2">
      <c r="A159" s="19"/>
      <c r="C159" s="50" t="s">
        <v>16</v>
      </c>
      <c r="D159" s="10"/>
      <c r="G159" s="51"/>
      <c r="H159" s="8"/>
      <c r="I159" s="1"/>
      <c r="J159" s="4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8"/>
      <c r="X159" s="1"/>
      <c r="Y159" s="18"/>
      <c r="Z159" s="96"/>
      <c r="AA159" s="1"/>
      <c r="AB159" s="96"/>
      <c r="AC159" s="1"/>
      <c r="AD159" s="96"/>
      <c r="AE159" s="18"/>
      <c r="AF159" s="1"/>
      <c r="AG159" s="18"/>
      <c r="AH159" s="1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</row>
    <row r="160" spans="1:66" x14ac:dyDescent="0.2">
      <c r="A160" s="52" t="s">
        <v>9</v>
      </c>
      <c r="B160" s="47"/>
      <c r="D160" s="10"/>
      <c r="G160" s="53"/>
      <c r="I160" s="110"/>
      <c r="U160" s="48"/>
      <c r="W160" s="48"/>
      <c r="Y160" s="48"/>
      <c r="Z160" s="117"/>
      <c r="AA160" s="53"/>
      <c r="AB160" s="117"/>
      <c r="AC160" s="48"/>
      <c r="AD160" s="117"/>
      <c r="AE160" s="117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</row>
    <row r="161" spans="1:66" s="14" customFormat="1" x14ac:dyDescent="0.2">
      <c r="A161" s="19"/>
      <c r="C161" s="2" t="s">
        <v>2</v>
      </c>
      <c r="D161" s="10"/>
      <c r="E161" s="14" t="s">
        <v>6</v>
      </c>
      <c r="G161" s="86">
        <f>SUM(I161:BC161)</f>
        <v>1</v>
      </c>
      <c r="H161" s="87"/>
      <c r="I161" s="86">
        <f>ROUND(I156/$G156,4)</f>
        <v>0</v>
      </c>
      <c r="J161" s="87"/>
      <c r="K161" s="86">
        <f>1-SUM(M161:BC161)</f>
        <v>0.29590000000000005</v>
      </c>
      <c r="L161" s="87"/>
      <c r="M161" s="86">
        <f>ROUND(M156/$G156,4)</f>
        <v>0.1133</v>
      </c>
      <c r="N161" s="90"/>
      <c r="O161" s="86">
        <f>ROUND(O156/$G156,4)</f>
        <v>0.31409999999999999</v>
      </c>
      <c r="P161" s="90"/>
      <c r="Q161" s="86">
        <f>ROUND(Q156/$G156,4)</f>
        <v>0</v>
      </c>
      <c r="R161" s="90"/>
      <c r="S161" s="86">
        <f>ROUND(S156/$G156,4)</f>
        <v>0.2767</v>
      </c>
      <c r="T161" s="90"/>
      <c r="U161" s="90"/>
      <c r="V161" s="90"/>
      <c r="W161" s="90"/>
      <c r="X161" s="90"/>
      <c r="Y161" s="90"/>
      <c r="Z161" s="16"/>
      <c r="AA161" s="90"/>
      <c r="AB161" s="16"/>
      <c r="AC161" s="90"/>
      <c r="AD161" s="16"/>
      <c r="AE161" s="90"/>
      <c r="AF161" s="90"/>
      <c r="AG161" s="90"/>
      <c r="AH161" s="15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</row>
    <row r="162" spans="1:66" s="14" customFormat="1" x14ac:dyDescent="0.2">
      <c r="A162" s="19"/>
      <c r="C162" s="3" t="s">
        <v>4</v>
      </c>
      <c r="D162" s="10"/>
      <c r="E162" s="14" t="s">
        <v>6</v>
      </c>
      <c r="G162" s="89" t="e">
        <f>SUM(I162:BC162)</f>
        <v>#REF!</v>
      </c>
      <c r="H162" s="87"/>
      <c r="I162" s="86" t="e">
        <f>ROUND(I157/$G157,4)</f>
        <v>#REF!</v>
      </c>
      <c r="J162" s="87"/>
      <c r="K162" s="86" t="e">
        <f>1-SUM(M162:AH162)</f>
        <v>#REF!</v>
      </c>
      <c r="L162" s="87"/>
      <c r="M162" s="86" t="e">
        <f>ROUND(M157/$G157,4)</f>
        <v>#REF!</v>
      </c>
      <c r="N162" s="90"/>
      <c r="O162" s="86" t="e">
        <f>ROUND(O157/$G157,4)</f>
        <v>#REF!</v>
      </c>
      <c r="P162" s="90"/>
      <c r="Q162" s="86" t="e">
        <f>ROUND(Q157/$G157,4)</f>
        <v>#REF!</v>
      </c>
      <c r="R162" s="90"/>
      <c r="S162" s="86" t="e">
        <f>ROUND(S157/$G157,4)</f>
        <v>#REF!</v>
      </c>
      <c r="T162" s="90"/>
      <c r="U162" s="90"/>
      <c r="V162" s="90"/>
      <c r="W162" s="90"/>
      <c r="X162" s="90"/>
      <c r="Y162" s="90"/>
      <c r="Z162" s="16"/>
      <c r="AA162" s="90"/>
      <c r="AB162" s="16"/>
      <c r="AC162" s="90"/>
      <c r="AD162" s="16"/>
      <c r="AE162" s="90"/>
      <c r="AF162" s="90"/>
      <c r="AG162" s="90"/>
      <c r="AH162" s="15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</row>
    <row r="163" spans="1:66" s="14" customFormat="1" x14ac:dyDescent="0.2">
      <c r="A163" s="19"/>
      <c r="C163" s="2" t="s">
        <v>7</v>
      </c>
      <c r="D163" s="10"/>
      <c r="E163" s="14" t="s">
        <v>6</v>
      </c>
      <c r="G163" s="89">
        <f>SUM(I163:BC163)</f>
        <v>1</v>
      </c>
      <c r="H163" s="87"/>
      <c r="I163" s="86">
        <f>ROUND(I158/$G158,4)</f>
        <v>0</v>
      </c>
      <c r="J163" s="87"/>
      <c r="K163" s="86">
        <f>1-SUM(M163:AH163)</f>
        <v>0.27290000000000003</v>
      </c>
      <c r="L163" s="87"/>
      <c r="M163" s="86">
        <f>ROUND(M158/$G158,4)</f>
        <v>0.1171</v>
      </c>
      <c r="N163" s="90"/>
      <c r="O163" s="86">
        <f>ROUND(O158/$G158,4)</f>
        <v>0.25169999999999998</v>
      </c>
      <c r="P163" s="90"/>
      <c r="Q163" s="86">
        <f>ROUND(Q158/$G158,4)</f>
        <v>0</v>
      </c>
      <c r="R163" s="90"/>
      <c r="S163" s="86">
        <f>ROUND(S158/$G158,4)</f>
        <v>0.35830000000000001</v>
      </c>
      <c r="T163" s="90"/>
      <c r="U163" s="90"/>
      <c r="V163" s="90"/>
      <c r="W163" s="90"/>
      <c r="X163" s="90"/>
      <c r="Y163" s="90"/>
      <c r="Z163" s="16"/>
      <c r="AA163" s="90"/>
      <c r="AB163" s="16"/>
      <c r="AC163" s="90"/>
      <c r="AD163" s="16"/>
      <c r="AE163" s="90"/>
      <c r="AF163" s="90"/>
      <c r="AG163" s="90"/>
      <c r="AH163" s="15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</row>
    <row r="164" spans="1:66" s="14" customFormat="1" x14ac:dyDescent="0.2">
      <c r="A164" s="19"/>
      <c r="C164" s="54"/>
      <c r="D164" s="1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16"/>
      <c r="AA164" s="90"/>
      <c r="AB164" s="16"/>
      <c r="AC164" s="90"/>
      <c r="AD164" s="16"/>
      <c r="AE164" s="90"/>
      <c r="AF164" s="90"/>
      <c r="AG164" s="90"/>
      <c r="AH164" s="15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</row>
    <row r="165" spans="1:66" s="14" customFormat="1" x14ac:dyDescent="0.2">
      <c r="A165" s="19"/>
      <c r="C165" s="123" t="str">
        <f>C19</f>
        <v>Total Composite Factor for FY 2013</v>
      </c>
      <c r="D165" s="10"/>
      <c r="E165" s="14" t="s">
        <v>6</v>
      </c>
      <c r="G165" s="86" t="e">
        <f>SUM(I165:BC165)</f>
        <v>#REF!</v>
      </c>
      <c r="H165" s="87"/>
      <c r="I165" s="102" t="e">
        <f>ROUND(AVERAGE(I161:I163),4)</f>
        <v>#REF!</v>
      </c>
      <c r="J165" s="103"/>
      <c r="K165" s="86" t="e">
        <f>1-SUM(M165:AH165)</f>
        <v>#REF!</v>
      </c>
      <c r="L165" s="103"/>
      <c r="M165" s="102" t="e">
        <f>ROUND(AVERAGE(M161:M163),4)</f>
        <v>#REF!</v>
      </c>
      <c r="N165" s="104"/>
      <c r="O165" s="102" t="e">
        <f>ROUND(AVERAGE(O161:O163),4)</f>
        <v>#REF!</v>
      </c>
      <c r="P165" s="104"/>
      <c r="Q165" s="102" t="e">
        <f>ROUND(AVERAGE(Q161:Q163),4)</f>
        <v>#REF!</v>
      </c>
      <c r="R165" s="104"/>
      <c r="S165" s="102" t="e">
        <f>ROUND(AVERAGE(S161:S163),4)</f>
        <v>#REF!</v>
      </c>
      <c r="T165" s="104"/>
      <c r="U165" s="104"/>
      <c r="V165" s="111"/>
      <c r="W165" s="104"/>
      <c r="X165" s="91"/>
      <c r="Y165" s="104"/>
      <c r="Z165" s="91"/>
      <c r="AA165" s="104"/>
      <c r="AB165" s="91"/>
      <c r="AC165" s="104"/>
      <c r="AD165" s="91"/>
      <c r="AE165" s="104"/>
      <c r="AF165" s="91"/>
      <c r="AG165" s="104"/>
      <c r="AH165" s="15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</row>
  </sheetData>
  <phoneticPr fontId="0" type="noConversion"/>
  <pageMargins left="0.41" right="0.2" top="0.25" bottom="0.57999999999999996" header="0.38" footer="0.33"/>
  <pageSetup paperSize="5" scale="39" fitToHeight="0" orientation="landscape" r:id="rId1"/>
  <headerFooter alignWithMargins="0">
    <oddFooter>Page &amp;P&amp;R&amp;Z&amp;F</oddFooter>
  </headerFooter>
  <rowBreaks count="2" manualBreakCount="2">
    <brk id="49" max="16383" man="1"/>
    <brk id="1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>
    <tabColor rgb="FF0070C0"/>
    <pageSetUpPr fitToPage="1"/>
  </sheetPr>
  <dimension ref="A1:BN165"/>
  <sheetViews>
    <sheetView showGridLines="0" zoomScale="85" zoomScaleNormal="85" zoomScaleSheetLayoutView="100" workbookViewId="0">
      <pane xSplit="4" ySplit="8" topLeftCell="E9" activePane="bottomRight" state="frozen"/>
      <selection activeCell="G11" sqref="G11"/>
      <selection pane="topRight" activeCell="G11" sqref="G11"/>
      <selection pane="bottomLeft" activeCell="G11" sqref="G11"/>
      <selection pane="bottomRight" activeCell="G11" sqref="G11"/>
    </sheetView>
  </sheetViews>
  <sheetFormatPr defaultRowHeight="12.75" x14ac:dyDescent="0.2"/>
  <cols>
    <col min="1" max="1" width="4" style="19" customWidth="1"/>
    <col min="2" max="2" width="0.85546875" style="5" customWidth="1"/>
    <col min="3" max="3" width="33.5703125" style="5" customWidth="1"/>
    <col min="4" max="4" width="0.85546875" style="5" customWidth="1"/>
    <col min="5" max="5" width="4" style="5" customWidth="1"/>
    <col min="6" max="6" width="1.42578125" style="5" customWidth="1"/>
    <col min="7" max="7" width="19.85546875" style="5" bestFit="1" customWidth="1"/>
    <col min="8" max="8" width="1.85546875" style="5" customWidth="1"/>
    <col min="9" max="9" width="17.42578125" style="8" customWidth="1"/>
    <col min="10" max="10" width="2.140625" style="5" customWidth="1"/>
    <col min="11" max="11" width="15.85546875" style="5" bestFit="1" customWidth="1"/>
    <col min="12" max="12" width="3" style="5" customWidth="1"/>
    <col min="13" max="13" width="15.42578125" style="5" bestFit="1" customWidth="1"/>
    <col min="14" max="14" width="2.5703125" style="48" customWidth="1"/>
    <col min="15" max="15" width="15.42578125" style="5" bestFit="1" customWidth="1"/>
    <col min="16" max="16" width="2.42578125" style="48" customWidth="1"/>
    <col min="17" max="17" width="16.85546875" style="5" bestFit="1" customWidth="1"/>
    <col min="18" max="18" width="3.140625" style="48" customWidth="1"/>
    <col min="19" max="19" width="15.42578125" style="5" bestFit="1" customWidth="1"/>
    <col min="20" max="20" width="0.85546875" style="48" customWidth="1"/>
    <col min="21" max="21" width="16.85546875" style="5" bestFit="1" customWidth="1"/>
    <col min="22" max="22" width="0.5703125" style="48" customWidth="1"/>
    <col min="23" max="23" width="16.85546875" style="5" bestFit="1" customWidth="1"/>
    <col min="24" max="24" width="4.7109375" style="48" customWidth="1"/>
    <col min="25" max="25" width="14.28515625" style="5" bestFit="1" customWidth="1"/>
    <col min="26" max="26" width="0.85546875" style="10" customWidth="1"/>
    <col min="27" max="27" width="16.42578125" style="5" customWidth="1"/>
    <col min="28" max="28" width="0.85546875" style="10" customWidth="1"/>
    <col min="29" max="29" width="14.28515625" style="5" bestFit="1" customWidth="1"/>
    <col min="30" max="30" width="0.85546875" style="10" customWidth="1"/>
    <col min="31" max="31" width="14.28515625" style="10" bestFit="1" customWidth="1"/>
    <col min="32" max="32" width="2" style="48" customWidth="1"/>
    <col min="33" max="33" width="14.28515625" style="5" bestFit="1" customWidth="1"/>
    <col min="34" max="34" width="2.5703125" style="5" customWidth="1"/>
    <col min="35" max="35" width="11.7109375" style="5" customWidth="1"/>
    <col min="36" max="36" width="1.85546875" style="5" customWidth="1"/>
    <col min="37" max="37" width="12.140625" style="5" customWidth="1"/>
    <col min="38" max="38" width="1.7109375" style="5" customWidth="1"/>
    <col min="39" max="39" width="12.140625" style="5" customWidth="1"/>
    <col min="40" max="40" width="1.5703125" style="5" customWidth="1"/>
    <col min="41" max="41" width="11.5703125" style="5" customWidth="1"/>
    <col min="42" max="42" width="1.85546875" style="5" customWidth="1"/>
    <col min="43" max="43" width="13.5703125" style="5" customWidth="1"/>
    <col min="44" max="44" width="2.140625" style="5" customWidth="1"/>
    <col min="45" max="45" width="11" style="5" customWidth="1"/>
    <col min="46" max="46" width="1.7109375" style="5" customWidth="1"/>
    <col min="47" max="47" width="11.7109375" style="5" customWidth="1"/>
    <col min="48" max="48" width="2.140625" style="5" customWidth="1"/>
    <col min="49" max="49" width="11.5703125" style="5" bestFit="1" customWidth="1"/>
    <col min="50" max="50" width="2.5703125" style="5" customWidth="1"/>
    <col min="51" max="51" width="10.85546875" style="5" customWidth="1"/>
    <col min="52" max="52" width="1.7109375" style="5" customWidth="1"/>
    <col min="53" max="53" width="11.5703125" style="5" customWidth="1"/>
    <col min="54" max="54" width="2.28515625" style="5" customWidth="1"/>
    <col min="55" max="55" width="12.7109375" style="5" customWidth="1"/>
    <col min="56" max="56" width="13.7109375" style="5" customWidth="1"/>
    <col min="57" max="16384" width="9.140625" style="5"/>
  </cols>
  <sheetData>
    <row r="1" spans="1:55" s="12" customFormat="1" x14ac:dyDescent="0.2">
      <c r="A1" s="11"/>
      <c r="B1" s="11"/>
      <c r="C1" s="11"/>
      <c r="D1" s="11"/>
      <c r="E1" s="11"/>
      <c r="F1" s="11"/>
      <c r="G1" s="11"/>
      <c r="H1" s="11"/>
      <c r="I1" s="41"/>
      <c r="J1" s="11"/>
      <c r="K1" s="11"/>
      <c r="L1" s="11"/>
      <c r="M1" s="11"/>
      <c r="N1" s="100"/>
      <c r="O1" s="11"/>
      <c r="P1" s="100"/>
      <c r="Q1" s="11"/>
      <c r="R1" s="100"/>
      <c r="T1" s="100"/>
      <c r="U1" s="11"/>
      <c r="V1" s="100"/>
      <c r="W1" s="11"/>
      <c r="X1" s="100"/>
      <c r="Y1" s="11"/>
      <c r="Z1" s="35"/>
      <c r="AA1" s="11"/>
      <c r="AB1" s="35"/>
      <c r="AC1" s="11"/>
      <c r="AD1" s="35"/>
      <c r="AE1" s="35"/>
      <c r="AF1" s="100"/>
      <c r="AG1" s="11"/>
      <c r="AH1" s="11"/>
      <c r="AI1" s="11"/>
      <c r="AJ1" s="35"/>
      <c r="AK1" s="35"/>
      <c r="AL1" s="100"/>
      <c r="AM1" s="11"/>
      <c r="AN1" s="11"/>
      <c r="AO1" s="11"/>
      <c r="AP1" s="35"/>
      <c r="AQ1" s="35"/>
      <c r="AR1" s="100"/>
      <c r="AS1" s="11"/>
      <c r="AT1" s="11"/>
      <c r="AU1" s="11"/>
      <c r="AV1" s="35"/>
      <c r="AW1" s="35"/>
      <c r="AX1" s="100"/>
      <c r="AY1" s="11"/>
      <c r="AZ1" s="11"/>
      <c r="BA1" s="11"/>
      <c r="BB1" s="35"/>
      <c r="BC1" s="35"/>
    </row>
    <row r="2" spans="1:55" s="12" customFormat="1" ht="15" x14ac:dyDescent="0.25">
      <c r="A2" s="11"/>
      <c r="B2" s="11"/>
      <c r="C2" s="11"/>
      <c r="D2" s="11"/>
      <c r="E2" s="11"/>
      <c r="F2" s="11"/>
      <c r="G2" s="11"/>
      <c r="H2" s="11"/>
      <c r="I2" s="41"/>
      <c r="J2" s="11"/>
      <c r="K2" s="11"/>
      <c r="L2" s="11"/>
      <c r="M2" s="11"/>
      <c r="N2" s="100"/>
      <c r="O2" s="11"/>
      <c r="P2" s="100"/>
      <c r="Q2" s="11"/>
      <c r="R2" s="100"/>
      <c r="T2" s="100"/>
      <c r="U2" s="11"/>
      <c r="V2" s="100"/>
      <c r="W2" s="11"/>
      <c r="X2" s="100"/>
      <c r="Y2" s="134"/>
      <c r="Z2" s="35"/>
      <c r="AA2" s="11"/>
      <c r="AB2" s="35"/>
      <c r="AC2" s="11"/>
      <c r="AD2" s="35"/>
      <c r="AE2" s="35"/>
      <c r="AF2" s="100"/>
      <c r="AG2" s="11"/>
      <c r="AH2" s="11"/>
      <c r="AI2" s="11"/>
      <c r="AJ2" s="35"/>
      <c r="AK2" s="35"/>
      <c r="AL2" s="100"/>
      <c r="AM2" s="11"/>
      <c r="AN2" s="11"/>
      <c r="AO2" s="11"/>
      <c r="AP2" s="35"/>
      <c r="AQ2" s="35"/>
      <c r="AR2" s="100"/>
      <c r="AS2" s="11"/>
      <c r="AT2" s="11"/>
      <c r="AU2" s="11"/>
      <c r="AV2" s="35"/>
      <c r="AW2" s="35"/>
      <c r="AX2" s="100"/>
      <c r="AY2" s="11"/>
      <c r="AZ2" s="11"/>
      <c r="BA2" s="11"/>
      <c r="BB2" s="35"/>
      <c r="BC2" s="35"/>
    </row>
    <row r="3" spans="1:55" s="12" customFormat="1" x14ac:dyDescent="0.2">
      <c r="A3" s="42" t="s">
        <v>0</v>
      </c>
      <c r="B3" s="11"/>
      <c r="C3" s="11"/>
      <c r="D3" s="11"/>
      <c r="E3" s="11"/>
      <c r="F3" s="11"/>
      <c r="G3" s="11"/>
      <c r="H3" s="11"/>
      <c r="I3" s="41"/>
      <c r="J3" s="11"/>
      <c r="K3" s="11"/>
      <c r="L3" s="11"/>
      <c r="M3" s="11"/>
      <c r="N3" s="100"/>
      <c r="O3" s="11"/>
      <c r="P3" s="100"/>
      <c r="Q3" s="11"/>
      <c r="R3" s="100"/>
      <c r="T3" s="100"/>
      <c r="U3" s="11"/>
      <c r="V3" s="100"/>
      <c r="W3" s="11"/>
      <c r="X3" s="100"/>
      <c r="Y3" s="135"/>
      <c r="Z3" s="35"/>
      <c r="AA3" s="11" t="s">
        <v>110</v>
      </c>
      <c r="AB3" s="35"/>
      <c r="AC3" s="11"/>
      <c r="AD3" s="35"/>
      <c r="AE3" s="35"/>
      <c r="AF3" s="100"/>
      <c r="AG3" s="11"/>
      <c r="AH3" s="11"/>
      <c r="AI3" s="11"/>
      <c r="AJ3" s="35"/>
      <c r="AK3" s="35"/>
      <c r="AL3" s="100"/>
      <c r="AM3" s="174"/>
      <c r="AN3" s="174"/>
      <c r="AO3" s="174"/>
      <c r="AP3" s="175"/>
      <c r="AQ3" s="35"/>
      <c r="AR3" s="100"/>
      <c r="AS3" s="11"/>
      <c r="AT3" s="11"/>
      <c r="AU3" s="11"/>
      <c r="AV3" s="35"/>
      <c r="AW3" s="35"/>
      <c r="AX3" s="100"/>
      <c r="AY3" s="11"/>
      <c r="AZ3" s="11"/>
      <c r="BA3" s="11"/>
      <c r="BB3" s="35"/>
      <c r="BC3" s="35"/>
    </row>
    <row r="4" spans="1:55" s="12" customFormat="1" x14ac:dyDescent="0.2">
      <c r="A4" s="42" t="s">
        <v>121</v>
      </c>
      <c r="B4" s="11"/>
      <c r="C4" s="11"/>
      <c r="D4" s="11"/>
      <c r="E4" s="11"/>
      <c r="F4" s="11"/>
      <c r="G4" s="11"/>
      <c r="H4" s="11"/>
      <c r="I4" s="41"/>
      <c r="J4" s="11"/>
      <c r="K4" s="11"/>
      <c r="L4" s="11"/>
      <c r="M4" s="11"/>
      <c r="N4" s="100"/>
      <c r="O4" s="11"/>
      <c r="P4" s="100"/>
      <c r="Q4" s="11"/>
      <c r="R4" s="100"/>
      <c r="T4" s="100"/>
      <c r="U4" s="11"/>
      <c r="V4" s="100"/>
      <c r="W4" s="11"/>
      <c r="X4" s="100"/>
      <c r="Y4" s="11"/>
      <c r="Z4" s="35"/>
      <c r="AA4" s="173" t="s">
        <v>133</v>
      </c>
      <c r="AB4" s="35"/>
      <c r="AC4" s="11"/>
      <c r="AD4" s="35"/>
      <c r="AE4" s="35"/>
      <c r="AF4" s="100"/>
      <c r="AG4" s="11"/>
      <c r="AH4" s="11"/>
      <c r="AI4" s="11"/>
      <c r="AJ4" s="35"/>
      <c r="AK4" s="35"/>
      <c r="AL4" s="100"/>
      <c r="AM4" s="11"/>
      <c r="AN4" s="11"/>
      <c r="AO4" s="11"/>
      <c r="AP4" s="35"/>
      <c r="AQ4" s="35"/>
      <c r="AR4" s="100"/>
      <c r="AS4" s="11"/>
      <c r="AT4" s="11"/>
      <c r="AU4" s="11"/>
      <c r="AV4" s="35"/>
      <c r="AW4" s="35"/>
      <c r="AX4" s="100"/>
      <c r="AY4" s="11"/>
      <c r="AZ4" s="11"/>
      <c r="BA4" s="11"/>
      <c r="BB4" s="35"/>
      <c r="BC4" s="35"/>
    </row>
    <row r="5" spans="1:55" s="12" customFormat="1" x14ac:dyDescent="0.2">
      <c r="A5" s="43"/>
      <c r="I5" s="44"/>
      <c r="N5" s="101"/>
      <c r="P5" s="101"/>
      <c r="R5" s="101"/>
      <c r="T5" s="101"/>
      <c r="V5" s="101"/>
      <c r="X5" s="101"/>
      <c r="AA5" s="115"/>
      <c r="AF5" s="101"/>
      <c r="AL5" s="101"/>
      <c r="AR5" s="101"/>
      <c r="AX5" s="101"/>
    </row>
    <row r="6" spans="1:55" s="6" customFormat="1" x14ac:dyDescent="0.2">
      <c r="A6" s="43"/>
      <c r="I6" s="82">
        <v>30</v>
      </c>
      <c r="K6" s="6">
        <v>60</v>
      </c>
      <c r="M6" s="6">
        <v>20</v>
      </c>
      <c r="N6" s="20"/>
      <c r="O6" s="6">
        <v>20</v>
      </c>
      <c r="P6" s="20"/>
      <c r="Q6" s="6">
        <v>50</v>
      </c>
      <c r="R6" s="20"/>
      <c r="S6" s="6">
        <v>70</v>
      </c>
      <c r="T6" s="20"/>
      <c r="U6" s="6">
        <v>80</v>
      </c>
      <c r="V6" s="20"/>
      <c r="W6" s="6">
        <v>180</v>
      </c>
      <c r="X6" s="20"/>
      <c r="Y6" s="172">
        <v>212</v>
      </c>
      <c r="AA6" s="176">
        <v>221</v>
      </c>
      <c r="AC6" s="176">
        <v>231</v>
      </c>
      <c r="AE6" s="176">
        <v>232</v>
      </c>
      <c r="AF6" s="20"/>
      <c r="AG6" s="172">
        <v>233</v>
      </c>
      <c r="AI6" s="176">
        <v>234</v>
      </c>
      <c r="AK6" s="172">
        <v>236</v>
      </c>
      <c r="AL6" s="20"/>
      <c r="AM6" s="176">
        <v>237</v>
      </c>
      <c r="AO6" s="176">
        <v>239</v>
      </c>
      <c r="AQ6" s="176">
        <v>240</v>
      </c>
      <c r="AR6" s="20"/>
      <c r="AS6" s="176">
        <v>301</v>
      </c>
      <c r="AU6" s="176">
        <v>302</v>
      </c>
      <c r="AW6" s="172">
        <v>303</v>
      </c>
      <c r="AX6" s="20"/>
      <c r="AY6" s="176">
        <v>306</v>
      </c>
      <c r="BA6" s="176">
        <v>312</v>
      </c>
      <c r="BC6" s="176">
        <v>321</v>
      </c>
    </row>
    <row r="7" spans="1:55" s="6" customFormat="1" x14ac:dyDescent="0.2">
      <c r="A7" s="43"/>
      <c r="C7" s="98" t="s">
        <v>80</v>
      </c>
      <c r="I7" s="82"/>
      <c r="N7" s="20"/>
      <c r="P7" s="20"/>
      <c r="R7" s="20"/>
      <c r="T7" s="20"/>
      <c r="V7" s="20"/>
      <c r="X7" s="20"/>
      <c r="AF7" s="20"/>
      <c r="AL7" s="20"/>
      <c r="AR7" s="20"/>
      <c r="AX7" s="20"/>
    </row>
    <row r="8" spans="1:55" s="6" customFormat="1" ht="38.25" x14ac:dyDescent="0.2">
      <c r="A8" s="45" t="s">
        <v>8</v>
      </c>
      <c r="B8" s="46"/>
      <c r="C8" s="47"/>
      <c r="E8" s="20"/>
      <c r="G8" s="7" t="s">
        <v>1</v>
      </c>
      <c r="I8" s="83" t="s">
        <v>13</v>
      </c>
      <c r="K8" s="7" t="s">
        <v>10</v>
      </c>
      <c r="M8" s="7" t="s">
        <v>11</v>
      </c>
      <c r="N8" s="20"/>
      <c r="O8" s="7" t="s">
        <v>12</v>
      </c>
      <c r="P8" s="20"/>
      <c r="Q8" s="112" t="s">
        <v>83</v>
      </c>
      <c r="R8" s="20"/>
      <c r="S8" s="7" t="s">
        <v>82</v>
      </c>
      <c r="T8" s="20"/>
      <c r="U8" s="7" t="s">
        <v>14</v>
      </c>
      <c r="V8" s="20"/>
      <c r="W8" s="9" t="s">
        <v>84</v>
      </c>
      <c r="X8" s="20"/>
      <c r="Y8" s="7" t="s">
        <v>86</v>
      </c>
      <c r="AA8" s="9" t="s">
        <v>123</v>
      </c>
      <c r="AB8" s="36"/>
      <c r="AC8" s="9" t="s">
        <v>124</v>
      </c>
      <c r="AE8" s="9" t="s">
        <v>125</v>
      </c>
      <c r="AF8" s="20"/>
      <c r="AG8" s="9" t="s">
        <v>87</v>
      </c>
      <c r="AI8" s="9" t="s">
        <v>126</v>
      </c>
      <c r="AK8" s="9" t="s">
        <v>88</v>
      </c>
      <c r="AL8" s="20"/>
      <c r="AM8" s="9" t="s">
        <v>127</v>
      </c>
      <c r="AO8" s="9">
        <v>239</v>
      </c>
      <c r="AQ8" s="9">
        <v>240</v>
      </c>
      <c r="AR8" s="20"/>
      <c r="AS8" s="9" t="s">
        <v>128</v>
      </c>
      <c r="AT8" s="9"/>
      <c r="AU8" s="9" t="s">
        <v>129</v>
      </c>
      <c r="AW8" s="9" t="s">
        <v>89</v>
      </c>
      <c r="AX8" s="20"/>
      <c r="AY8" s="9" t="s">
        <v>130</v>
      </c>
      <c r="BA8" s="9" t="s">
        <v>131</v>
      </c>
      <c r="BC8" s="9" t="s">
        <v>132</v>
      </c>
    </row>
    <row r="9" spans="1:55" x14ac:dyDescent="0.2">
      <c r="G9" s="48"/>
      <c r="H9" s="48"/>
      <c r="I9" s="49"/>
      <c r="AJ9" s="10"/>
      <c r="AK9" s="10"/>
      <c r="AL9" s="48"/>
      <c r="AP9" s="10"/>
      <c r="AQ9" s="10"/>
      <c r="AR9" s="48"/>
      <c r="AV9" s="10"/>
      <c r="AW9" s="10"/>
      <c r="AX9" s="48"/>
      <c r="BB9" s="10"/>
      <c r="BC9" s="10"/>
    </row>
    <row r="10" spans="1:55" s="152" customFormat="1" x14ac:dyDescent="0.2">
      <c r="A10" s="151"/>
      <c r="C10" s="153" t="s">
        <v>2</v>
      </c>
      <c r="D10" s="154"/>
      <c r="E10" s="152" t="s">
        <v>3</v>
      </c>
      <c r="G10" s="155">
        <f>SUM(I10:BC10)</f>
        <v>7388488691.3999987</v>
      </c>
      <c r="H10" s="156"/>
      <c r="I10" s="157">
        <f>503734670.89+63045.86</f>
        <v>503797716.75</v>
      </c>
      <c r="J10" s="158"/>
      <c r="K10" s="157">
        <f>465686869.31+8051.75</f>
        <v>465694921.06</v>
      </c>
      <c r="L10" s="158"/>
      <c r="M10" s="157">
        <v>178307235.72999999</v>
      </c>
      <c r="N10" s="156"/>
      <c r="O10" s="157">
        <v>494319819.33999997</v>
      </c>
      <c r="P10" s="156"/>
      <c r="Q10" s="157">
        <f>1023853005.83+544441.93</f>
        <v>1024397447.76</v>
      </c>
      <c r="R10" s="156"/>
      <c r="S10" s="157">
        <f>423816796.51+11746000</f>
        <v>435562796.50999999</v>
      </c>
      <c r="T10" s="156"/>
      <c r="U10" s="157">
        <v>2909762764.3699999</v>
      </c>
      <c r="V10" s="156"/>
      <c r="W10" s="157">
        <v>1280759006.2</v>
      </c>
      <c r="X10" s="156"/>
      <c r="Y10" s="157">
        <f>51497.31+34782013.57</f>
        <v>34833510.880000003</v>
      </c>
      <c r="Z10" s="158"/>
      <c r="AA10" s="157">
        <v>3047559.41</v>
      </c>
      <c r="AB10" s="158"/>
      <c r="AC10" s="157">
        <v>288000</v>
      </c>
      <c r="AD10" s="158"/>
      <c r="AE10" s="157">
        <f>425557.38+8101630.37</f>
        <v>8527187.75</v>
      </c>
      <c r="AF10" s="156"/>
      <c r="AG10" s="157">
        <f>27901.77+14295511.79</f>
        <v>14323413.559999999</v>
      </c>
      <c r="AH10" s="159"/>
      <c r="AI10" s="157">
        <v>7139991.3600000003</v>
      </c>
      <c r="AJ10" s="158"/>
      <c r="AK10" s="157">
        <f>17425.5+3649851.78</f>
        <v>3667277.28</v>
      </c>
      <c r="AL10" s="156"/>
      <c r="AM10" s="157"/>
      <c r="AN10" s="159"/>
      <c r="AO10" s="157">
        <v>0</v>
      </c>
      <c r="AP10" s="158"/>
      <c r="AQ10" s="157"/>
      <c r="AR10" s="156"/>
      <c r="AS10" s="157">
        <v>52368.66</v>
      </c>
      <c r="AT10" s="157"/>
      <c r="AU10" s="157"/>
      <c r="AV10" s="158"/>
      <c r="AW10" s="157">
        <f>148754.32+23305116.88</f>
        <v>23453871.199999999</v>
      </c>
      <c r="AX10" s="156"/>
      <c r="AY10" s="157">
        <v>553803.57999999996</v>
      </c>
      <c r="AZ10" s="159"/>
      <c r="BA10" s="157"/>
      <c r="BB10" s="158"/>
      <c r="BC10" s="157"/>
    </row>
    <row r="11" spans="1:55" s="161" customFormat="1" x14ac:dyDescent="0.2">
      <c r="A11" s="160"/>
      <c r="C11" s="161" t="s">
        <v>4</v>
      </c>
      <c r="D11" s="162"/>
      <c r="E11" s="161" t="s">
        <v>5</v>
      </c>
      <c r="G11" s="163" t="e">
        <f>SUM(I11:BC11)</f>
        <v>#REF!</v>
      </c>
      <c r="H11" s="164"/>
      <c r="I11" s="165" t="e">
        <f>'Summary customer count 2013-old'!E2</f>
        <v>#REF!</v>
      </c>
      <c r="J11" s="166"/>
      <c r="K11" s="167">
        <f>'Summary customer count 2013-old'!E3</f>
        <v>247550.41666666666</v>
      </c>
      <c r="L11" s="166"/>
      <c r="M11" s="167" t="e">
        <f>'Summary customer count 2013-old'!B4</f>
        <v>#REF!</v>
      </c>
      <c r="N11" s="164"/>
      <c r="O11" s="167" t="e">
        <f>'Summary customer count 2013-old'!C4</f>
        <v>#REF!</v>
      </c>
      <c r="P11" s="164"/>
      <c r="Q11" s="167">
        <f>'Summary customer count 2013-old'!E5</f>
        <v>528545.33333333337</v>
      </c>
      <c r="R11" s="164"/>
      <c r="S11" s="167" t="e">
        <f>'Summary customer count 2013-old'!E6</f>
        <v>#REF!</v>
      </c>
      <c r="T11" s="164"/>
      <c r="U11" s="167" t="e">
        <f>'Summary customer count 2013-old'!E7</f>
        <v>#REF!</v>
      </c>
      <c r="V11" s="164"/>
      <c r="W11" s="167" t="e">
        <f>'Summary customer count 2013-old'!E8</f>
        <v>#REF!</v>
      </c>
      <c r="X11" s="164"/>
      <c r="Y11" s="167">
        <v>1118</v>
      </c>
      <c r="Z11" s="166"/>
      <c r="AA11" s="167"/>
      <c r="AB11" s="166"/>
      <c r="AC11" s="167"/>
      <c r="AD11" s="166"/>
      <c r="AE11" s="167"/>
      <c r="AF11" s="164"/>
      <c r="AG11" s="167"/>
      <c r="AH11" s="168"/>
      <c r="AI11" s="167"/>
      <c r="AJ11" s="166"/>
      <c r="AK11" s="167"/>
      <c r="AL11" s="164"/>
      <c r="AM11" s="167"/>
      <c r="AN11" s="168"/>
      <c r="AO11" s="167"/>
      <c r="AP11" s="166"/>
      <c r="AQ11" s="167"/>
      <c r="AR11" s="164"/>
      <c r="AS11" s="167"/>
      <c r="AT11" s="167"/>
      <c r="AU11" s="167"/>
      <c r="AV11" s="166"/>
      <c r="AW11" s="167">
        <f>'Summary customer count 2013-old'!E10</f>
        <v>7</v>
      </c>
      <c r="AX11" s="164"/>
      <c r="AY11" s="167"/>
      <c r="AZ11" s="168"/>
      <c r="BA11" s="167"/>
      <c r="BB11" s="166"/>
      <c r="BC11" s="167"/>
    </row>
    <row r="12" spans="1:55" s="145" customFormat="1" x14ac:dyDescent="0.2">
      <c r="A12" s="144"/>
      <c r="C12" s="146" t="s">
        <v>15</v>
      </c>
      <c r="D12" s="147"/>
      <c r="E12" s="145" t="s">
        <v>3</v>
      </c>
      <c r="G12" s="148">
        <f>SUM(I12:BC12)</f>
        <v>358962092.14999986</v>
      </c>
      <c r="H12" s="142"/>
      <c r="I12" s="141">
        <v>27206253.27</v>
      </c>
      <c r="J12" s="149"/>
      <c r="K12" s="143">
        <v>23972323.100000001</v>
      </c>
      <c r="L12" s="149"/>
      <c r="M12" s="141">
        <f>9061876.33+1227634.34</f>
        <v>10289510.67</v>
      </c>
      <c r="N12" s="142"/>
      <c r="O12" s="141">
        <f>18388873.41+3722504.11</f>
        <v>22111377.52</v>
      </c>
      <c r="P12" s="142"/>
      <c r="Q12" s="143">
        <v>49299476.899999999</v>
      </c>
      <c r="R12" s="142"/>
      <c r="S12" s="143">
        <v>31477147.5</v>
      </c>
      <c r="T12" s="142"/>
      <c r="U12" s="143">
        <v>98525277.590000004</v>
      </c>
      <c r="V12" s="142"/>
      <c r="W12" s="143">
        <f>62903902.48+1156.5+87507.55</f>
        <v>62992566.529999994</v>
      </c>
      <c r="X12" s="142"/>
      <c r="Y12" s="141">
        <v>21890852.850000001</v>
      </c>
      <c r="Z12" s="149"/>
      <c r="AA12" s="143">
        <v>129211.8</v>
      </c>
      <c r="AB12" s="149"/>
      <c r="AC12" s="143">
        <v>216510.71</v>
      </c>
      <c r="AD12" s="149"/>
      <c r="AE12" s="143">
        <v>378612.17</v>
      </c>
      <c r="AF12" s="142"/>
      <c r="AG12" s="143">
        <v>368687.52</v>
      </c>
      <c r="AH12" s="150"/>
      <c r="AI12" s="143">
        <v>606605.43999999994</v>
      </c>
      <c r="AJ12" s="149"/>
      <c r="AK12" s="143">
        <v>7818272.6500000004</v>
      </c>
      <c r="AL12" s="142"/>
      <c r="AM12" s="143">
        <v>403.7</v>
      </c>
      <c r="AN12" s="150"/>
      <c r="AO12" s="143">
        <v>0</v>
      </c>
      <c r="AP12" s="149"/>
      <c r="AQ12" s="143">
        <v>0</v>
      </c>
      <c r="AR12" s="142"/>
      <c r="AS12" s="143">
        <v>380088.46</v>
      </c>
      <c r="AT12" s="143"/>
      <c r="AU12" s="143">
        <v>2672.63</v>
      </c>
      <c r="AV12" s="149"/>
      <c r="AW12" s="143">
        <v>1288913.71</v>
      </c>
      <c r="AX12" s="142"/>
      <c r="AY12" s="143">
        <v>19863.09</v>
      </c>
      <c r="AZ12" s="150"/>
      <c r="BA12" s="143">
        <v>-13660.66</v>
      </c>
      <c r="BB12" s="149"/>
      <c r="BC12" s="143">
        <v>1125</v>
      </c>
    </row>
    <row r="13" spans="1:55" s="3" customFormat="1" x14ac:dyDescent="0.2">
      <c r="A13" s="19"/>
      <c r="C13" s="50" t="s">
        <v>16</v>
      </c>
      <c r="D13" s="10"/>
      <c r="G13" s="51"/>
      <c r="H13" s="8"/>
      <c r="I13" s="1"/>
      <c r="J13" s="4"/>
      <c r="K13" s="1"/>
      <c r="L13" s="4"/>
      <c r="M13" s="1"/>
      <c r="N13" s="1"/>
      <c r="O13" s="1"/>
      <c r="P13" s="1"/>
      <c r="Q13" s="1"/>
      <c r="R13" s="1"/>
      <c r="S13" s="1"/>
      <c r="T13" s="1"/>
      <c r="U13" s="1"/>
      <c r="V13" s="1"/>
      <c r="W13" s="18"/>
      <c r="X13" s="1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</row>
    <row r="14" spans="1:55" x14ac:dyDescent="0.2">
      <c r="A14" s="52" t="s">
        <v>9</v>
      </c>
      <c r="B14" s="47"/>
      <c r="D14" s="10"/>
      <c r="G14" s="53"/>
      <c r="I14" s="110"/>
      <c r="K14" s="37"/>
      <c r="Q14" s="37"/>
      <c r="AA14" s="37"/>
      <c r="AJ14" s="10"/>
      <c r="AK14" s="10"/>
      <c r="AL14" s="48"/>
      <c r="AP14" s="10"/>
      <c r="AQ14" s="10"/>
      <c r="AR14" s="48"/>
      <c r="AV14" s="10"/>
      <c r="AW14" s="10"/>
      <c r="AX14" s="48"/>
      <c r="BB14" s="10"/>
      <c r="BC14" s="10"/>
    </row>
    <row r="15" spans="1:55" s="14" customFormat="1" x14ac:dyDescent="0.2">
      <c r="A15" s="19"/>
      <c r="C15" s="2" t="s">
        <v>2</v>
      </c>
      <c r="D15" s="10"/>
      <c r="E15" s="14" t="s">
        <v>6</v>
      </c>
      <c r="G15" s="86">
        <f>SUM(I15:BC15)</f>
        <v>1</v>
      </c>
      <c r="H15" s="87"/>
      <c r="I15" s="88">
        <f>1-SUM(K15:BC15)</f>
        <v>6.8300000000000138E-2</v>
      </c>
      <c r="J15" s="87"/>
      <c r="K15" s="86">
        <f>ROUND(K10/$G$10,4)</f>
        <v>6.3E-2</v>
      </c>
      <c r="L15" s="87"/>
      <c r="M15" s="86">
        <f>ROUND(M10/$G10,4)</f>
        <v>2.41E-2</v>
      </c>
      <c r="N15" s="90"/>
      <c r="O15" s="86">
        <f>ROUND(O10/$G10,4)</f>
        <v>6.6900000000000001E-2</v>
      </c>
      <c r="P15" s="90"/>
      <c r="Q15" s="86">
        <f>ROUND(Q10/$G10,4)</f>
        <v>0.1386</v>
      </c>
      <c r="R15" s="90"/>
      <c r="S15" s="86">
        <f>ROUND(S10/$G10,4)</f>
        <v>5.8999999999999997E-2</v>
      </c>
      <c r="T15" s="90"/>
      <c r="U15" s="86">
        <f>ROUND(U10/$G10,4)</f>
        <v>0.39379999999999998</v>
      </c>
      <c r="V15" s="90"/>
      <c r="W15" s="86">
        <f>ROUND(W10/$G10,4)</f>
        <v>0.17330000000000001</v>
      </c>
      <c r="X15" s="90"/>
      <c r="Y15" s="86">
        <f>ROUND(Y10/$G10,4)</f>
        <v>4.7000000000000002E-3</v>
      </c>
      <c r="AA15" s="86">
        <f>ROUND(AA10/$G10,4)</f>
        <v>4.0000000000000002E-4</v>
      </c>
      <c r="AC15" s="86">
        <f>ROUND(AC10/$G10,4)</f>
        <v>0</v>
      </c>
      <c r="AE15" s="86">
        <f>ROUND(AE10/$G10,4)</f>
        <v>1.1999999999999999E-3</v>
      </c>
      <c r="AF15" s="90"/>
      <c r="AG15" s="86">
        <f>ROUND(AG10/$G10,4)</f>
        <v>1.9E-3</v>
      </c>
      <c r="AH15" s="13"/>
      <c r="AI15" s="86">
        <f>ROUND(AI10/$G10,4)</f>
        <v>1E-3</v>
      </c>
      <c r="AK15" s="86">
        <f>ROUND(AK10/$G10,4)</f>
        <v>5.0000000000000001E-4</v>
      </c>
      <c r="AL15" s="90"/>
      <c r="AM15" s="86">
        <f>ROUND(AM10/$G10,4)</f>
        <v>0</v>
      </c>
      <c r="AN15" s="13"/>
      <c r="AO15" s="86">
        <f>ROUND(AO10/$G10,4)</f>
        <v>0</v>
      </c>
      <c r="AQ15" s="86">
        <f>ROUND(AQ10/$G10,4)</f>
        <v>0</v>
      </c>
      <c r="AR15" s="90"/>
      <c r="AS15" s="86">
        <f>ROUND(AS10/$G10,4)</f>
        <v>0</v>
      </c>
      <c r="AT15" s="86"/>
      <c r="AU15" s="86">
        <f>ROUND(AU10/$G10,4)</f>
        <v>0</v>
      </c>
      <c r="AW15" s="86">
        <f>ROUND(AW10/$G10,4)</f>
        <v>3.2000000000000002E-3</v>
      </c>
      <c r="AX15" s="90"/>
      <c r="AY15" s="86">
        <f>ROUND(AY10/$G10,4)</f>
        <v>1E-4</v>
      </c>
      <c r="AZ15" s="13"/>
      <c r="BA15" s="86">
        <f>ROUND(BA10/$G10,4)</f>
        <v>0</v>
      </c>
      <c r="BC15" s="86">
        <f>ROUND(BC10/$G10,4)</f>
        <v>0</v>
      </c>
    </row>
    <row r="16" spans="1:55" s="14" customFormat="1" x14ac:dyDescent="0.2">
      <c r="A16" s="19"/>
      <c r="C16" s="3" t="s">
        <v>4</v>
      </c>
      <c r="D16" s="10"/>
      <c r="E16" s="14" t="s">
        <v>6</v>
      </c>
      <c r="G16" s="89" t="e">
        <f>SUM(I16:BC16)</f>
        <v>#REF!</v>
      </c>
      <c r="H16" s="87"/>
      <c r="I16" s="88" t="e">
        <f>1-SUM(K16:BC16)</f>
        <v>#REF!</v>
      </c>
      <c r="J16" s="87"/>
      <c r="K16" s="86" t="e">
        <f>ROUND(K11/$G$11,4)</f>
        <v>#REF!</v>
      </c>
      <c r="L16" s="87"/>
      <c r="M16" s="86" t="e">
        <f>ROUND(M11/$G11,4)</f>
        <v>#REF!</v>
      </c>
      <c r="N16" s="90"/>
      <c r="O16" s="86" t="e">
        <f>ROUND(O11/$G11,4)</f>
        <v>#REF!</v>
      </c>
      <c r="P16" s="90"/>
      <c r="Q16" s="86" t="e">
        <f>ROUND(Q11/$G11,4)</f>
        <v>#REF!</v>
      </c>
      <c r="R16" s="90"/>
      <c r="S16" s="86" t="e">
        <f>ROUND(S11/$G11,4)</f>
        <v>#REF!</v>
      </c>
      <c r="T16" s="90"/>
      <c r="U16" s="86" t="e">
        <f>ROUND(U11/$G11,4)</f>
        <v>#REF!</v>
      </c>
      <c r="V16" s="90"/>
      <c r="W16" s="86" t="e">
        <f>ROUND(W11/$G11,4)</f>
        <v>#REF!</v>
      </c>
      <c r="X16" s="90"/>
      <c r="Y16" s="86" t="e">
        <f>ROUND(Y11/$G11,4)</f>
        <v>#REF!</v>
      </c>
      <c r="AA16" s="86" t="e">
        <f>ROUND(AA11/$G11,4)</f>
        <v>#REF!</v>
      </c>
      <c r="AC16" s="86" t="e">
        <f>ROUND(AC11/$G11,4)</f>
        <v>#REF!</v>
      </c>
      <c r="AE16" s="86" t="e">
        <f>ROUND(AE11/$G11,4)</f>
        <v>#REF!</v>
      </c>
      <c r="AF16" s="90"/>
      <c r="AG16" s="86" t="e">
        <f>ROUND(AG11/$G11,4)</f>
        <v>#REF!</v>
      </c>
      <c r="AH16" s="13"/>
      <c r="AI16" s="86" t="e">
        <f>ROUND(AI11/$G11,4)</f>
        <v>#REF!</v>
      </c>
      <c r="AK16" s="86" t="e">
        <f>ROUND(AK11/$G11,4)</f>
        <v>#REF!</v>
      </c>
      <c r="AL16" s="90"/>
      <c r="AM16" s="86" t="e">
        <f>ROUND(AM11/$G11,4)</f>
        <v>#REF!</v>
      </c>
      <c r="AN16" s="13"/>
      <c r="AO16" s="86" t="e">
        <f>ROUND(AO11/$G11,4)</f>
        <v>#REF!</v>
      </c>
      <c r="AQ16" s="86" t="e">
        <f>ROUND(AQ11/$G11,4)</f>
        <v>#REF!</v>
      </c>
      <c r="AR16" s="90"/>
      <c r="AS16" s="86" t="e">
        <f>ROUND(AS11/$G11,4)</f>
        <v>#REF!</v>
      </c>
      <c r="AT16" s="86"/>
      <c r="AU16" s="86" t="e">
        <f>ROUND(AU11/$G11,4)</f>
        <v>#REF!</v>
      </c>
      <c r="AW16" s="86" t="e">
        <f>ROUND(AW11/$G11,4)</f>
        <v>#REF!</v>
      </c>
      <c r="AX16" s="90"/>
      <c r="AY16" s="86" t="e">
        <f>ROUND(AY11/$G11,4)</f>
        <v>#REF!</v>
      </c>
      <c r="AZ16" s="13"/>
      <c r="BA16" s="86" t="e">
        <f>ROUND(BA11/$G11,4)</f>
        <v>#REF!</v>
      </c>
      <c r="BC16" s="86" t="e">
        <f>ROUND(BC11/$G11,4)</f>
        <v>#REF!</v>
      </c>
    </row>
    <row r="17" spans="1:55" s="14" customFormat="1" x14ac:dyDescent="0.2">
      <c r="A17" s="19"/>
      <c r="C17" s="2" t="s">
        <v>7</v>
      </c>
      <c r="D17" s="10"/>
      <c r="E17" s="14" t="s">
        <v>6</v>
      </c>
      <c r="G17" s="89">
        <f>SUM(I17:BC17)</f>
        <v>1</v>
      </c>
      <c r="H17" s="87"/>
      <c r="I17" s="88">
        <f>1-SUM(K17:BC17)</f>
        <v>7.5499999999999901E-2</v>
      </c>
      <c r="J17" s="87"/>
      <c r="K17" s="86">
        <f>ROUND(K12/$G12,4)</f>
        <v>6.6799999999999998E-2</v>
      </c>
      <c r="L17" s="87"/>
      <c r="M17" s="86">
        <f>ROUND(M12/$G12,4)</f>
        <v>2.87E-2</v>
      </c>
      <c r="N17" s="90"/>
      <c r="O17" s="86">
        <f>ROUND(O12/$G12,4)</f>
        <v>6.1600000000000002E-2</v>
      </c>
      <c r="P17" s="90"/>
      <c r="Q17" s="86">
        <f>ROUND(Q12/$G12,4)</f>
        <v>0.13730000000000001</v>
      </c>
      <c r="R17" s="90"/>
      <c r="S17" s="86">
        <f>ROUND(S12/$G12,4)</f>
        <v>8.77E-2</v>
      </c>
      <c r="T17" s="90"/>
      <c r="U17" s="86">
        <f>ROUND(U12/$G12,4)</f>
        <v>0.27450000000000002</v>
      </c>
      <c r="V17" s="90"/>
      <c r="W17" s="86">
        <f>ROUND(W12/$G12,4)</f>
        <v>0.17549999999999999</v>
      </c>
      <c r="X17" s="90"/>
      <c r="Y17" s="86">
        <f>ROUND(Y12/$G12,4)</f>
        <v>6.0999999999999999E-2</v>
      </c>
      <c r="AA17" s="86">
        <f>ROUND(AA12/$G12,4)</f>
        <v>4.0000000000000002E-4</v>
      </c>
      <c r="AC17" s="86">
        <f>ROUND(AC12/$G12,4)</f>
        <v>5.9999999999999995E-4</v>
      </c>
      <c r="AE17" s="86">
        <f>ROUND(AE12/$G12,4)</f>
        <v>1.1000000000000001E-3</v>
      </c>
      <c r="AF17" s="90"/>
      <c r="AG17" s="86">
        <f>ROUND(AG12/$G12,4)</f>
        <v>1E-3</v>
      </c>
      <c r="AH17" s="13"/>
      <c r="AI17" s="86">
        <f>ROUND(AI12/$G12,4)</f>
        <v>1.6999999999999999E-3</v>
      </c>
      <c r="AK17" s="86">
        <f>ROUND(AK12/$G12,4)</f>
        <v>2.18E-2</v>
      </c>
      <c r="AL17" s="90"/>
      <c r="AM17" s="86">
        <f>ROUND(AM12/$G12,4)</f>
        <v>0</v>
      </c>
      <c r="AN17" s="13"/>
      <c r="AO17" s="86">
        <f>ROUND(AO12/$G12,4)</f>
        <v>0</v>
      </c>
      <c r="AQ17" s="86">
        <f>ROUND(AQ12/$G12,4)</f>
        <v>0</v>
      </c>
      <c r="AR17" s="90"/>
      <c r="AS17" s="86">
        <f>ROUND(AS12/$G12,4)</f>
        <v>1.1000000000000001E-3</v>
      </c>
      <c r="AT17" s="86"/>
      <c r="AU17" s="86">
        <f>ROUND(AU12/$G12,4)</f>
        <v>0</v>
      </c>
      <c r="AW17" s="86">
        <f>ROUND(AW12/$G12,4)</f>
        <v>3.5999999999999999E-3</v>
      </c>
      <c r="AX17" s="90"/>
      <c r="AY17" s="86">
        <f>ROUND(AY12/$G12,4)</f>
        <v>1E-4</v>
      </c>
      <c r="AZ17" s="13"/>
      <c r="BA17" s="86">
        <f>ROUND(BA12/$G12,4)</f>
        <v>0</v>
      </c>
      <c r="BC17" s="86">
        <f>ROUND(BC12/$G12,4)</f>
        <v>0</v>
      </c>
    </row>
    <row r="18" spans="1:55" s="14" customFormat="1" x14ac:dyDescent="0.2">
      <c r="A18" s="19"/>
      <c r="C18" s="54"/>
      <c r="D18" s="10"/>
      <c r="G18" s="90"/>
      <c r="H18" s="90"/>
      <c r="I18" s="91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16"/>
      <c r="AA18" s="90"/>
      <c r="AB18" s="16"/>
      <c r="AC18" s="90"/>
      <c r="AD18" s="16"/>
      <c r="AE18" s="90"/>
      <c r="AF18" s="90"/>
      <c r="AG18" s="90"/>
      <c r="AH18" s="15"/>
      <c r="AI18" s="90"/>
      <c r="AJ18" s="16"/>
      <c r="AK18" s="90"/>
      <c r="AL18" s="90"/>
      <c r="AM18" s="90"/>
      <c r="AN18" s="15"/>
      <c r="AO18" s="90"/>
      <c r="AP18" s="16"/>
      <c r="AQ18" s="90"/>
      <c r="AR18" s="90"/>
      <c r="AS18" s="90"/>
      <c r="AT18" s="90"/>
      <c r="AU18" s="90"/>
      <c r="AV18" s="16"/>
      <c r="AW18" s="90"/>
      <c r="AX18" s="90"/>
      <c r="AY18" s="90"/>
      <c r="AZ18" s="15"/>
      <c r="BA18" s="90"/>
      <c r="BB18" s="16"/>
      <c r="BC18" s="90"/>
    </row>
    <row r="19" spans="1:55" s="14" customFormat="1" x14ac:dyDescent="0.2">
      <c r="A19" s="19"/>
      <c r="C19" s="54" t="s">
        <v>122</v>
      </c>
      <c r="D19" s="10"/>
      <c r="E19" s="14" t="s">
        <v>6</v>
      </c>
      <c r="G19" s="86" t="e">
        <f>SUM(I19:BC19)</f>
        <v>#REF!</v>
      </c>
      <c r="H19" s="87"/>
      <c r="I19" s="102" t="e">
        <f>1-SUM(K19:BC19)</f>
        <v>#REF!</v>
      </c>
      <c r="J19" s="103"/>
      <c r="K19" s="102" t="e">
        <f>ROUND(AVERAGE(K15:K17),4)</f>
        <v>#REF!</v>
      </c>
      <c r="L19" s="103"/>
      <c r="M19" s="102" t="e">
        <f>ROUND(AVERAGE(M15:M17),4)</f>
        <v>#REF!</v>
      </c>
      <c r="N19" s="104"/>
      <c r="O19" s="102" t="e">
        <f>ROUND(AVERAGE(O15:O17),4)</f>
        <v>#REF!</v>
      </c>
      <c r="P19" s="104"/>
      <c r="Q19" s="102" t="e">
        <f>ROUND(AVERAGE(Q15:Q17),4)</f>
        <v>#REF!</v>
      </c>
      <c r="R19" s="104"/>
      <c r="S19" s="102" t="e">
        <f>ROUND(AVERAGE(S15:S17),4)</f>
        <v>#REF!</v>
      </c>
      <c r="T19" s="104"/>
      <c r="U19" s="102" t="e">
        <f>ROUND(AVERAGE(U15:U17),4)</f>
        <v>#REF!</v>
      </c>
      <c r="V19" s="111"/>
      <c r="W19" s="102" t="e">
        <f>ROUND(AVERAGE(W15:W17),4)</f>
        <v>#REF!</v>
      </c>
      <c r="X19" s="88"/>
      <c r="Y19" s="102" t="e">
        <f>ROUND(AVERAGE(Y15:Y17),4)</f>
        <v>#REF!</v>
      </c>
      <c r="Z19" s="88"/>
      <c r="AA19" s="102" t="e">
        <f>ROUND(AVERAGE(AA15:AA17),4)</f>
        <v>#REF!</v>
      </c>
      <c r="AB19" s="88"/>
      <c r="AC19" s="102" t="e">
        <f>ROUND(AVERAGE(AC15:AC17),4)</f>
        <v>#REF!</v>
      </c>
      <c r="AD19" s="88"/>
      <c r="AE19" s="102" t="e">
        <f>ROUND(AVERAGE(AE15:AE17),4)</f>
        <v>#REF!</v>
      </c>
      <c r="AF19" s="88"/>
      <c r="AG19" s="102" t="e">
        <f>ROUND(AVERAGE(AG15:AG17),4)</f>
        <v>#REF!</v>
      </c>
      <c r="AH19" s="34"/>
      <c r="AI19" s="102" t="e">
        <f>ROUND(AVERAGE(AI15:AI17),4)</f>
        <v>#REF!</v>
      </c>
      <c r="AJ19" s="88"/>
      <c r="AK19" s="102" t="e">
        <f>ROUND(AVERAGE(AK15:AK17),4)</f>
        <v>#REF!</v>
      </c>
      <c r="AL19" s="88"/>
      <c r="AM19" s="102" t="e">
        <f>ROUND(AVERAGE(AM15:AM17),4)</f>
        <v>#REF!</v>
      </c>
      <c r="AN19" s="34"/>
      <c r="AO19" s="102" t="e">
        <f>ROUND(AVERAGE(AO15:AO17),4)</f>
        <v>#REF!</v>
      </c>
      <c r="AP19" s="88"/>
      <c r="AQ19" s="102" t="e">
        <f>ROUND(AVERAGE(AQ15:AQ17),4)</f>
        <v>#REF!</v>
      </c>
      <c r="AR19" s="88"/>
      <c r="AS19" s="102" t="e">
        <f>ROUND(AVERAGE(AS15:AS17),4)</f>
        <v>#REF!</v>
      </c>
      <c r="AT19" s="102"/>
      <c r="AU19" s="102" t="e">
        <f>ROUND(AVERAGE(AU15:AU17),4)</f>
        <v>#REF!</v>
      </c>
      <c r="AV19" s="88"/>
      <c r="AW19" s="102" t="e">
        <f>ROUND(AVERAGE(AW15:AW17),4)</f>
        <v>#REF!</v>
      </c>
      <c r="AX19" s="88"/>
      <c r="AY19" s="102" t="e">
        <f>ROUND(AVERAGE(AY15:AY17),4)</f>
        <v>#REF!</v>
      </c>
      <c r="AZ19" s="34"/>
      <c r="BA19" s="102" t="e">
        <f>ROUND(AVERAGE(BA15:BA17),4)</f>
        <v>#REF!</v>
      </c>
      <c r="BB19" s="88"/>
      <c r="BC19" s="102" t="e">
        <f>ROUND(AVERAGE(BC15:BC17),4)</f>
        <v>#REF!</v>
      </c>
    </row>
    <row r="20" spans="1:55" s="14" customFormat="1" x14ac:dyDescent="0.2">
      <c r="A20" s="19"/>
      <c r="C20" s="54"/>
      <c r="D20" s="10"/>
      <c r="G20" s="90"/>
      <c r="H20" s="87"/>
      <c r="I20" s="91"/>
      <c r="J20" s="87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34"/>
      <c r="AI20" s="16"/>
    </row>
    <row r="21" spans="1:55" s="14" customFormat="1" x14ac:dyDescent="0.2">
      <c r="A21" s="19"/>
      <c r="C21" s="54"/>
      <c r="D21" s="10"/>
      <c r="G21" s="55"/>
      <c r="H21" s="15"/>
      <c r="I21" s="56"/>
      <c r="J21" s="15"/>
      <c r="K21" s="15"/>
      <c r="L21" s="15"/>
      <c r="M21" s="15"/>
      <c r="N21" s="15"/>
      <c r="O21" s="15"/>
      <c r="P21" s="15"/>
      <c r="Q21" s="15"/>
      <c r="R21" s="15"/>
      <c r="T21" s="15"/>
      <c r="V21" s="16"/>
      <c r="W21" s="16"/>
      <c r="X21" s="15"/>
      <c r="Y21" s="15"/>
      <c r="Z21" s="16"/>
      <c r="AA21" s="15"/>
      <c r="AB21" s="16"/>
      <c r="AC21" s="15"/>
      <c r="AD21" s="16"/>
      <c r="AE21" s="15"/>
      <c r="AF21" s="15"/>
      <c r="AG21" s="15"/>
      <c r="AH21" s="15"/>
    </row>
    <row r="22" spans="1:55" s="14" customFormat="1" x14ac:dyDescent="0.2">
      <c r="A22" s="19"/>
      <c r="C22" s="99" t="s">
        <v>79</v>
      </c>
      <c r="D22" s="10"/>
      <c r="G22" s="55"/>
      <c r="H22" s="15"/>
      <c r="I22" s="51"/>
      <c r="J22" s="15"/>
      <c r="K22" s="15"/>
      <c r="L22" s="15"/>
      <c r="M22" s="15"/>
      <c r="N22" s="15"/>
      <c r="O22" s="15"/>
      <c r="P22" s="15"/>
      <c r="Q22" s="15"/>
      <c r="R22" s="15"/>
      <c r="T22" s="15"/>
      <c r="V22" s="16"/>
      <c r="W22" s="16"/>
      <c r="X22" s="15"/>
      <c r="Y22" s="15"/>
      <c r="Z22" s="16"/>
      <c r="AA22" s="15"/>
      <c r="AB22" s="16"/>
      <c r="AC22" s="15"/>
      <c r="AD22" s="16"/>
      <c r="AE22" s="15"/>
      <c r="AF22" s="15"/>
      <c r="AG22" s="15"/>
      <c r="AH22" s="15"/>
    </row>
    <row r="23" spans="1:55" s="17" customFormat="1" x14ac:dyDescent="0.2">
      <c r="A23" s="57"/>
      <c r="I23" s="58"/>
      <c r="M23" s="94"/>
      <c r="N23" s="92"/>
      <c r="P23" s="92"/>
      <c r="R23" s="92"/>
      <c r="T23" s="92"/>
      <c r="V23" s="92"/>
      <c r="X23" s="92"/>
      <c r="Z23" s="38"/>
      <c r="AB23" s="38"/>
      <c r="AD23" s="38"/>
      <c r="AE23" s="38"/>
      <c r="AF23" s="92"/>
    </row>
    <row r="24" spans="1:55" s="17" customFormat="1" x14ac:dyDescent="0.2">
      <c r="A24" s="57"/>
      <c r="C24" s="2" t="s">
        <v>2</v>
      </c>
      <c r="D24" s="10"/>
      <c r="E24" s="3" t="s">
        <v>3</v>
      </c>
      <c r="G24" s="84">
        <f>SUM(I24:BC24)</f>
        <v>6011842701.5199995</v>
      </c>
      <c r="I24" s="113">
        <f>I10</f>
        <v>503797716.75</v>
      </c>
      <c r="J24" s="8"/>
      <c r="K24" s="113">
        <f>K10</f>
        <v>465694921.06</v>
      </c>
      <c r="L24" s="8"/>
      <c r="M24" s="113">
        <f>M10</f>
        <v>178307235.72999999</v>
      </c>
      <c r="N24" s="49"/>
      <c r="O24" s="113">
        <f>O10</f>
        <v>494319819.33999997</v>
      </c>
      <c r="P24" s="49"/>
      <c r="Q24" s="113">
        <f>Q10</f>
        <v>1024397447.76</v>
      </c>
      <c r="R24" s="49"/>
      <c r="S24" s="113">
        <f>S10</f>
        <v>435562796.50999999</v>
      </c>
      <c r="T24" s="49"/>
      <c r="U24" s="113">
        <f>U10</f>
        <v>2909762764.3699999</v>
      </c>
      <c r="V24" s="1"/>
      <c r="W24" s="1"/>
      <c r="X24" s="92"/>
      <c r="Z24" s="38"/>
      <c r="AB24" s="38"/>
      <c r="AD24" s="38"/>
      <c r="AE24" s="38"/>
      <c r="AF24" s="92"/>
    </row>
    <row r="25" spans="1:55" s="17" customFormat="1" x14ac:dyDescent="0.2">
      <c r="A25" s="57"/>
      <c r="C25" s="3" t="s">
        <v>4</v>
      </c>
      <c r="D25" s="10"/>
      <c r="E25" s="3" t="s">
        <v>5</v>
      </c>
      <c r="G25" s="85" t="e">
        <f>SUM(I25:BC25)</f>
        <v>#REF!</v>
      </c>
      <c r="I25" s="114" t="e">
        <f>I11</f>
        <v>#REF!</v>
      </c>
      <c r="J25" s="8"/>
      <c r="K25" s="113">
        <f>K11</f>
        <v>247550.41666666666</v>
      </c>
      <c r="L25" s="8"/>
      <c r="M25" s="113" t="e">
        <f>M11</f>
        <v>#REF!</v>
      </c>
      <c r="N25" s="49"/>
      <c r="O25" s="113" t="e">
        <f>O11</f>
        <v>#REF!</v>
      </c>
      <c r="P25" s="49"/>
      <c r="Q25" s="113">
        <f>Q11</f>
        <v>528545.33333333337</v>
      </c>
      <c r="R25" s="49"/>
      <c r="S25" s="113" t="e">
        <f>S11</f>
        <v>#REF!</v>
      </c>
      <c r="T25" s="49"/>
      <c r="U25" s="113" t="e">
        <f>U11</f>
        <v>#REF!</v>
      </c>
      <c r="V25" s="1"/>
      <c r="W25" s="1"/>
      <c r="X25" s="92"/>
      <c r="Z25" s="38"/>
      <c r="AB25" s="38"/>
      <c r="AD25" s="38"/>
      <c r="AE25" s="38"/>
      <c r="AF25" s="92"/>
    </row>
    <row r="26" spans="1:55" s="17" customFormat="1" x14ac:dyDescent="0.2">
      <c r="A26" s="57"/>
      <c r="C26" s="2" t="s">
        <v>15</v>
      </c>
      <c r="D26" s="10"/>
      <c r="E26" s="3" t="s">
        <v>3</v>
      </c>
      <c r="G26" s="84">
        <f>SUM(I26:BC26)</f>
        <v>262881366.55000001</v>
      </c>
      <c r="I26" s="114">
        <f>I12</f>
        <v>27206253.27</v>
      </c>
      <c r="J26" s="8"/>
      <c r="K26" s="113">
        <f>K12</f>
        <v>23972323.100000001</v>
      </c>
      <c r="L26" s="8"/>
      <c r="M26" s="114">
        <f>M12</f>
        <v>10289510.67</v>
      </c>
      <c r="N26" s="49"/>
      <c r="O26" s="114">
        <f>O12</f>
        <v>22111377.52</v>
      </c>
      <c r="P26" s="49"/>
      <c r="Q26" s="113">
        <f>Q12</f>
        <v>49299476.899999999</v>
      </c>
      <c r="R26" s="49"/>
      <c r="S26" s="113">
        <f>S12</f>
        <v>31477147.5</v>
      </c>
      <c r="T26" s="49"/>
      <c r="U26" s="113">
        <f>U12</f>
        <v>98525277.590000004</v>
      </c>
      <c r="V26" s="1"/>
      <c r="W26" s="1"/>
      <c r="X26" s="92"/>
      <c r="Z26" s="38"/>
      <c r="AB26" s="38"/>
      <c r="AD26" s="38"/>
      <c r="AE26" s="38"/>
      <c r="AF26" s="92"/>
    </row>
    <row r="27" spans="1:55" s="17" customFormat="1" x14ac:dyDescent="0.2">
      <c r="A27" s="57"/>
      <c r="C27" s="50" t="s">
        <v>16</v>
      </c>
      <c r="D27" s="10"/>
      <c r="E27" s="3"/>
      <c r="I27" s="1"/>
      <c r="J27" s="4"/>
      <c r="K27" s="1"/>
      <c r="L27" s="4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92"/>
      <c r="Z27" s="38"/>
      <c r="AB27" s="38"/>
      <c r="AD27" s="38"/>
      <c r="AE27" s="38"/>
      <c r="AF27" s="92"/>
    </row>
    <row r="28" spans="1:55" s="17" customFormat="1" x14ac:dyDescent="0.2">
      <c r="A28" s="57"/>
      <c r="I28" s="58"/>
      <c r="M28" s="94"/>
      <c r="N28" s="92"/>
      <c r="P28" s="92"/>
      <c r="R28" s="92"/>
      <c r="T28" s="92"/>
      <c r="V28" s="92"/>
      <c r="W28" s="92"/>
      <c r="X28" s="92"/>
      <c r="Z28" s="38"/>
      <c r="AB28" s="38"/>
      <c r="AD28" s="38"/>
      <c r="AE28" s="38"/>
      <c r="AF28" s="92"/>
    </row>
    <row r="29" spans="1:55" s="17" customFormat="1" x14ac:dyDescent="0.2">
      <c r="A29" s="57"/>
      <c r="C29" s="2" t="s">
        <v>2</v>
      </c>
      <c r="D29" s="10"/>
      <c r="E29" s="14" t="s">
        <v>6</v>
      </c>
      <c r="F29" s="97"/>
      <c r="G29" s="102">
        <f>SUM(I29:BC29)</f>
        <v>1</v>
      </c>
      <c r="I29" s="102">
        <f>1-SUM(K29:BC29)</f>
        <v>8.3699999999999997E-2</v>
      </c>
      <c r="J29" s="103"/>
      <c r="K29" s="102">
        <f>ROUND(K24/$G$24,4)</f>
        <v>7.7499999999999999E-2</v>
      </c>
      <c r="L29" s="103"/>
      <c r="M29" s="102">
        <f>ROUND(M24/$G$24,4)</f>
        <v>2.9700000000000001E-2</v>
      </c>
      <c r="N29" s="104"/>
      <c r="O29" s="102">
        <f>ROUND(O24/$G$24,4)</f>
        <v>8.2199999999999995E-2</v>
      </c>
      <c r="P29" s="104"/>
      <c r="Q29" s="102">
        <f>ROUND(Q24/$G$24,4)</f>
        <v>0.1704</v>
      </c>
      <c r="R29" s="104"/>
      <c r="S29" s="102">
        <f>ROUND(S24/$G$24,4)</f>
        <v>7.2499999999999995E-2</v>
      </c>
      <c r="T29" s="104"/>
      <c r="U29" s="102">
        <f>ROUND(U24/$G$24,4)</f>
        <v>0.48399999999999999</v>
      </c>
      <c r="V29" s="104"/>
      <c r="W29" s="104"/>
      <c r="X29" s="92"/>
      <c r="Y29" s="105"/>
      <c r="Z29" s="106"/>
      <c r="AA29" s="105"/>
      <c r="AB29" s="106"/>
      <c r="AC29" s="105"/>
      <c r="AD29" s="106"/>
      <c r="AE29" s="106"/>
      <c r="AF29" s="92"/>
    </row>
    <row r="30" spans="1:55" s="17" customFormat="1" x14ac:dyDescent="0.2">
      <c r="A30" s="57"/>
      <c r="C30" s="3" t="s">
        <v>4</v>
      </c>
      <c r="D30" s="10"/>
      <c r="E30" s="14" t="s">
        <v>6</v>
      </c>
      <c r="F30" s="97"/>
      <c r="G30" s="102" t="e">
        <f>SUM(I30:BC30)</f>
        <v>#REF!</v>
      </c>
      <c r="I30" s="102" t="e">
        <f>1-SUM(K30:BC30)</f>
        <v>#REF!</v>
      </c>
      <c r="J30" s="103"/>
      <c r="K30" s="102" t="e">
        <f>ROUND(K25/$G$25,4)</f>
        <v>#REF!</v>
      </c>
      <c r="L30" s="103"/>
      <c r="M30" s="102" t="e">
        <f>ROUND(M25/$G$25,4)</f>
        <v>#REF!</v>
      </c>
      <c r="N30" s="104"/>
      <c r="O30" s="102" t="e">
        <f>ROUND(O25/$G$25,4)</f>
        <v>#REF!</v>
      </c>
      <c r="P30" s="104"/>
      <c r="Q30" s="102" t="e">
        <f>ROUND(Q25/$G$25,4)</f>
        <v>#REF!</v>
      </c>
      <c r="R30" s="104"/>
      <c r="S30" s="102" t="e">
        <f>ROUND(S25/$G$25,4)</f>
        <v>#REF!</v>
      </c>
      <c r="T30" s="104"/>
      <c r="U30" s="102" t="e">
        <f>ROUND(U25/$G$25,4)</f>
        <v>#REF!</v>
      </c>
      <c r="V30" s="104"/>
      <c r="W30" s="104"/>
      <c r="X30" s="92"/>
      <c r="Z30" s="38"/>
      <c r="AB30" s="38"/>
      <c r="AD30" s="38"/>
      <c r="AE30" s="38"/>
      <c r="AF30" s="92"/>
    </row>
    <row r="31" spans="1:55" s="17" customFormat="1" x14ac:dyDescent="0.2">
      <c r="A31" s="57"/>
      <c r="C31" s="2" t="s">
        <v>7</v>
      </c>
      <c r="D31" s="10"/>
      <c r="E31" s="14" t="s">
        <v>6</v>
      </c>
      <c r="F31" s="97"/>
      <c r="G31" s="102">
        <f>SUM(I31:BC31)</f>
        <v>1</v>
      </c>
      <c r="I31" s="102">
        <f>1-SUM(K31:BC31)</f>
        <v>0.10360000000000003</v>
      </c>
      <c r="J31" s="103"/>
      <c r="K31" s="102">
        <f>ROUND(K26/$G$26,4)</f>
        <v>9.1200000000000003E-2</v>
      </c>
      <c r="L31" s="103"/>
      <c r="M31" s="102">
        <f>ROUND(M26/$G$26,4)</f>
        <v>3.9100000000000003E-2</v>
      </c>
      <c r="N31" s="104"/>
      <c r="O31" s="102">
        <f>ROUND(O26/$G$26,4)</f>
        <v>8.4099999999999994E-2</v>
      </c>
      <c r="P31" s="104"/>
      <c r="Q31" s="102">
        <f>ROUND(Q26/$G$26,4)</f>
        <v>0.1875</v>
      </c>
      <c r="R31" s="104"/>
      <c r="S31" s="102">
        <f>ROUND(S26/$G$26,4)</f>
        <v>0.1197</v>
      </c>
      <c r="T31" s="104"/>
      <c r="U31" s="102">
        <f>ROUND(U26/$G$26,4)</f>
        <v>0.37480000000000002</v>
      </c>
      <c r="V31" s="104"/>
      <c r="W31" s="104"/>
      <c r="X31" s="92"/>
      <c r="Z31" s="38"/>
      <c r="AB31" s="38"/>
      <c r="AD31" s="38"/>
      <c r="AE31" s="38"/>
      <c r="AF31" s="92"/>
    </row>
    <row r="32" spans="1:55" s="17" customFormat="1" x14ac:dyDescent="0.2">
      <c r="A32" s="57"/>
      <c r="C32" s="54"/>
      <c r="D32" s="10"/>
      <c r="E32" s="14"/>
      <c r="G32" s="93"/>
      <c r="I32" s="103"/>
      <c r="J32" s="103"/>
      <c r="K32" s="103"/>
      <c r="L32" s="103"/>
      <c r="M32" s="103"/>
      <c r="N32" s="104"/>
      <c r="O32" s="103"/>
      <c r="P32" s="104"/>
      <c r="Q32" s="103"/>
      <c r="R32" s="104"/>
      <c r="S32" s="103"/>
      <c r="T32" s="104"/>
      <c r="U32" s="103"/>
      <c r="V32" s="104"/>
      <c r="W32" s="104"/>
      <c r="X32" s="92"/>
      <c r="Z32" s="38"/>
      <c r="AB32" s="38"/>
      <c r="AD32" s="38"/>
      <c r="AE32" s="38"/>
      <c r="AF32" s="92"/>
    </row>
    <row r="33" spans="1:32" s="17" customFormat="1" x14ac:dyDescent="0.2">
      <c r="A33" s="57"/>
      <c r="C33" s="54" t="str">
        <f>C19</f>
        <v>Total Composite Factor for FY 2013</v>
      </c>
      <c r="D33" s="10"/>
      <c r="E33" s="14" t="s">
        <v>6</v>
      </c>
      <c r="G33" s="102" t="e">
        <f>SUM(I33:BC33)</f>
        <v>#REF!</v>
      </c>
      <c r="I33" s="102" t="e">
        <f>1-SUM(K33:BC33)</f>
        <v>#REF!</v>
      </c>
      <c r="J33" s="103"/>
      <c r="K33" s="102" t="e">
        <f>ROUND(AVERAGE(K29:K31),4)</f>
        <v>#REF!</v>
      </c>
      <c r="L33" s="103"/>
      <c r="M33" s="102" t="e">
        <f>ROUND(AVERAGE(M29:M31),4)</f>
        <v>#REF!</v>
      </c>
      <c r="N33" s="104"/>
      <c r="O33" s="102" t="e">
        <f>ROUND(AVERAGE(O29:O31),4)</f>
        <v>#REF!</v>
      </c>
      <c r="P33" s="104"/>
      <c r="Q33" s="102" t="e">
        <f>ROUND(AVERAGE(Q29:Q31),4)</f>
        <v>#REF!</v>
      </c>
      <c r="R33" s="104"/>
      <c r="S33" s="102" t="e">
        <f>ROUND(AVERAGE(S29:S31),4)</f>
        <v>#REF!</v>
      </c>
      <c r="T33" s="104"/>
      <c r="U33" s="102" t="e">
        <f>ROUND(AVERAGE(U29:U31),4)</f>
        <v>#REF!</v>
      </c>
      <c r="V33" s="111"/>
      <c r="W33" s="104"/>
      <c r="X33" s="92"/>
      <c r="Z33" s="38"/>
      <c r="AB33" s="38"/>
      <c r="AD33" s="38"/>
      <c r="AE33" s="38"/>
      <c r="AF33" s="92"/>
    </row>
    <row r="34" spans="1:32" s="17" customFormat="1" x14ac:dyDescent="0.2">
      <c r="A34" s="57"/>
      <c r="C34" s="54"/>
      <c r="D34" s="10"/>
      <c r="E34" s="14"/>
      <c r="I34" s="59"/>
      <c r="N34" s="92"/>
      <c r="O34" s="93"/>
      <c r="P34" s="92"/>
      <c r="R34" s="92"/>
      <c r="T34" s="92"/>
      <c r="V34" s="92"/>
      <c r="X34" s="92"/>
      <c r="Z34" s="38"/>
      <c r="AB34" s="38"/>
      <c r="AD34" s="38"/>
      <c r="AE34" s="38"/>
      <c r="AF34" s="92"/>
    </row>
    <row r="35" spans="1:32" x14ac:dyDescent="0.2">
      <c r="O35" s="93"/>
    </row>
    <row r="36" spans="1:32" x14ac:dyDescent="0.2">
      <c r="C36" s="99" t="s">
        <v>81</v>
      </c>
      <c r="D36" s="10"/>
      <c r="E36" s="14"/>
      <c r="F36" s="14"/>
      <c r="G36" s="55"/>
      <c r="H36" s="15"/>
      <c r="I36" s="56"/>
      <c r="J36" s="15"/>
      <c r="K36" s="15"/>
      <c r="L36" s="15"/>
      <c r="M36" s="15"/>
      <c r="N36" s="15"/>
      <c r="O36" s="15"/>
      <c r="P36" s="15"/>
      <c r="Q36" s="15"/>
      <c r="R36" s="15"/>
      <c r="S36" s="14"/>
      <c r="T36" s="15"/>
      <c r="U36" s="14"/>
    </row>
    <row r="37" spans="1:32" x14ac:dyDescent="0.2">
      <c r="C37" s="17"/>
      <c r="D37" s="17"/>
      <c r="E37" s="17"/>
      <c r="F37" s="17"/>
      <c r="G37" s="17"/>
      <c r="H37" s="17"/>
      <c r="I37" s="58"/>
      <c r="J37" s="17"/>
      <c r="K37" s="17"/>
      <c r="L37" s="17"/>
      <c r="M37" s="94"/>
      <c r="N37" s="92"/>
      <c r="O37" s="17"/>
      <c r="P37" s="92"/>
      <c r="Q37" s="17"/>
      <c r="R37" s="92"/>
      <c r="S37" s="17"/>
      <c r="T37" s="92"/>
      <c r="U37" s="17"/>
    </row>
    <row r="38" spans="1:32" x14ac:dyDescent="0.2">
      <c r="C38" s="2" t="s">
        <v>2</v>
      </c>
      <c r="D38" s="10"/>
      <c r="E38" s="3" t="s">
        <v>3</v>
      </c>
      <c r="F38" s="17"/>
      <c r="G38" s="84">
        <f>SUM(I38:BC38)</f>
        <v>7292601707.7199993</v>
      </c>
      <c r="H38" s="17"/>
      <c r="I38" s="113">
        <f>I10</f>
        <v>503797716.75</v>
      </c>
      <c r="J38" s="8"/>
      <c r="K38" s="113">
        <f>K10</f>
        <v>465694921.06</v>
      </c>
      <c r="L38" s="8"/>
      <c r="M38" s="113">
        <f>M10</f>
        <v>178307235.72999999</v>
      </c>
      <c r="N38" s="49"/>
      <c r="O38" s="113">
        <f>O10</f>
        <v>494319819.33999997</v>
      </c>
      <c r="P38" s="49"/>
      <c r="Q38" s="113">
        <f>Q10</f>
        <v>1024397447.76</v>
      </c>
      <c r="R38" s="49"/>
      <c r="S38" s="113">
        <f>S10</f>
        <v>435562796.50999999</v>
      </c>
      <c r="T38" s="49"/>
      <c r="U38" s="113">
        <f>U10</f>
        <v>2909762764.3699999</v>
      </c>
      <c r="W38" s="113">
        <f>W10</f>
        <v>1280759006.2</v>
      </c>
    </row>
    <row r="39" spans="1:32" x14ac:dyDescent="0.2">
      <c r="C39" s="3" t="s">
        <v>4</v>
      </c>
      <c r="D39" s="10"/>
      <c r="E39" s="3" t="s">
        <v>5</v>
      </c>
      <c r="F39" s="17"/>
      <c r="G39" s="85" t="e">
        <f>SUM(I39:BC39)</f>
        <v>#REF!</v>
      </c>
      <c r="H39" s="17"/>
      <c r="I39" s="113" t="e">
        <f>I11</f>
        <v>#REF!</v>
      </c>
      <c r="J39" s="8"/>
      <c r="K39" s="113">
        <f>K11</f>
        <v>247550.41666666666</v>
      </c>
      <c r="L39" s="8"/>
      <c r="M39" s="113" t="e">
        <f>M11</f>
        <v>#REF!</v>
      </c>
      <c r="N39" s="49"/>
      <c r="O39" s="113" t="e">
        <f>O11</f>
        <v>#REF!</v>
      </c>
      <c r="P39" s="49"/>
      <c r="Q39" s="113">
        <f>Q11</f>
        <v>528545.33333333337</v>
      </c>
      <c r="R39" s="49"/>
      <c r="S39" s="113" t="e">
        <f>S11</f>
        <v>#REF!</v>
      </c>
      <c r="T39" s="49"/>
      <c r="U39" s="113" t="e">
        <f>U11</f>
        <v>#REF!</v>
      </c>
      <c r="W39" s="113" t="e">
        <f>W11</f>
        <v>#REF!</v>
      </c>
    </row>
    <row r="40" spans="1:32" x14ac:dyDescent="0.2">
      <c r="C40" s="2" t="s">
        <v>15</v>
      </c>
      <c r="D40" s="10"/>
      <c r="E40" s="3" t="s">
        <v>3</v>
      </c>
      <c r="F40" s="17"/>
      <c r="G40" s="84">
        <f>SUM(I40:BC40)</f>
        <v>325873933.07999998</v>
      </c>
      <c r="H40" s="17"/>
      <c r="I40" s="113">
        <f>I12</f>
        <v>27206253.27</v>
      </c>
      <c r="J40" s="8"/>
      <c r="K40" s="113">
        <f>K12</f>
        <v>23972323.100000001</v>
      </c>
      <c r="L40" s="8"/>
      <c r="M40" s="113">
        <f>M12</f>
        <v>10289510.67</v>
      </c>
      <c r="N40" s="49"/>
      <c r="O40" s="113">
        <f>O12</f>
        <v>22111377.52</v>
      </c>
      <c r="P40" s="49"/>
      <c r="Q40" s="113">
        <f>Q12</f>
        <v>49299476.899999999</v>
      </c>
      <c r="R40" s="49"/>
      <c r="S40" s="113">
        <f>S12</f>
        <v>31477147.5</v>
      </c>
      <c r="T40" s="49"/>
      <c r="U40" s="113">
        <f>U12</f>
        <v>98525277.590000004</v>
      </c>
      <c r="W40" s="113">
        <f>W12</f>
        <v>62992566.529999994</v>
      </c>
    </row>
    <row r="41" spans="1:32" x14ac:dyDescent="0.2">
      <c r="C41" s="50" t="s">
        <v>16</v>
      </c>
      <c r="D41" s="10"/>
      <c r="E41" s="3"/>
      <c r="F41" s="17"/>
      <c r="G41" s="17"/>
      <c r="H41" s="17"/>
      <c r="I41" s="1"/>
      <c r="J41" s="4"/>
      <c r="K41" s="1"/>
      <c r="L41" s="4"/>
      <c r="M41" s="1"/>
      <c r="N41" s="1"/>
      <c r="O41" s="1"/>
      <c r="P41" s="1"/>
      <c r="Q41" s="1"/>
      <c r="R41" s="1"/>
      <c r="S41" s="1"/>
      <c r="T41" s="1"/>
      <c r="U41" s="1"/>
      <c r="W41" s="18"/>
    </row>
    <row r="42" spans="1:32" x14ac:dyDescent="0.2">
      <c r="C42" s="17"/>
      <c r="D42" s="17"/>
      <c r="E42" s="17"/>
      <c r="F42" s="17"/>
      <c r="G42" s="17"/>
      <c r="H42" s="17"/>
      <c r="I42" s="58"/>
      <c r="J42" s="17"/>
      <c r="K42" s="17"/>
      <c r="L42" s="17"/>
      <c r="M42" s="94"/>
      <c r="N42" s="92"/>
      <c r="O42" s="17"/>
      <c r="P42" s="92"/>
      <c r="Q42" s="17"/>
      <c r="R42" s="92"/>
      <c r="S42" s="17"/>
      <c r="T42" s="92"/>
      <c r="U42" s="17"/>
    </row>
    <row r="43" spans="1:32" x14ac:dyDescent="0.2">
      <c r="C43" s="2" t="s">
        <v>2</v>
      </c>
      <c r="D43" s="10"/>
      <c r="E43" s="14" t="s">
        <v>6</v>
      </c>
      <c r="F43" s="97"/>
      <c r="G43" s="102">
        <f>SUM(I43:BC43)</f>
        <v>1</v>
      </c>
      <c r="H43" s="17"/>
      <c r="I43" s="102">
        <f>1-SUM(K43:BC43)</f>
        <v>6.899999999999995E-2</v>
      </c>
      <c r="J43" s="103"/>
      <c r="K43" s="102">
        <f>ROUND(K38/$G$38,4)</f>
        <v>6.3899999999999998E-2</v>
      </c>
      <c r="L43" s="103"/>
      <c r="M43" s="102">
        <f>ROUND(M38/$G$38,4)</f>
        <v>2.4500000000000001E-2</v>
      </c>
      <c r="N43" s="104"/>
      <c r="O43" s="102">
        <f>ROUND(O38/$G$38,4)</f>
        <v>6.7799999999999999E-2</v>
      </c>
      <c r="P43" s="104"/>
      <c r="Q43" s="102">
        <f>ROUND(Q38/$G$38,4)</f>
        <v>0.14050000000000001</v>
      </c>
      <c r="R43" s="104"/>
      <c r="S43" s="102">
        <f>ROUND(S38/$G$38,4)</f>
        <v>5.9700000000000003E-2</v>
      </c>
      <c r="T43" s="104"/>
      <c r="U43" s="102">
        <f>ROUND(U38/$G$38,4)</f>
        <v>0.39900000000000002</v>
      </c>
      <c r="W43" s="102">
        <f>ROUND(W38/$G$38,4)</f>
        <v>0.17560000000000001</v>
      </c>
    </row>
    <row r="44" spans="1:32" x14ac:dyDescent="0.2">
      <c r="C44" s="3" t="s">
        <v>4</v>
      </c>
      <c r="D44" s="10"/>
      <c r="E44" s="14" t="s">
        <v>6</v>
      </c>
      <c r="F44" s="97"/>
      <c r="G44" s="102" t="e">
        <f>SUM(I44:BC44)</f>
        <v>#REF!</v>
      </c>
      <c r="H44" s="17"/>
      <c r="I44" s="102" t="e">
        <f>1-SUM(K44:BC44)</f>
        <v>#REF!</v>
      </c>
      <c r="J44" s="103"/>
      <c r="K44" s="102" t="e">
        <f>ROUND(K39/$G$39,4)</f>
        <v>#REF!</v>
      </c>
      <c r="L44" s="103"/>
      <c r="M44" s="102" t="e">
        <f>ROUND(M39/$G$39,4)</f>
        <v>#REF!</v>
      </c>
      <c r="N44" s="104"/>
      <c r="O44" s="102" t="e">
        <f>ROUND(O39/$G$39,4)</f>
        <v>#REF!</v>
      </c>
      <c r="P44" s="104"/>
      <c r="Q44" s="102" t="e">
        <f>ROUND(Q39/$G$39,4)</f>
        <v>#REF!</v>
      </c>
      <c r="R44" s="104"/>
      <c r="S44" s="102" t="e">
        <f>ROUND(S39/$G$39,4)</f>
        <v>#REF!</v>
      </c>
      <c r="T44" s="104"/>
      <c r="U44" s="102" t="e">
        <f>ROUND(U39/$G$39,4)</f>
        <v>#REF!</v>
      </c>
      <c r="W44" s="102" t="e">
        <f>ROUND(W39/$G$39,4)</f>
        <v>#REF!</v>
      </c>
    </row>
    <row r="45" spans="1:32" x14ac:dyDescent="0.2">
      <c r="C45" s="2" t="s">
        <v>7</v>
      </c>
      <c r="D45" s="10"/>
      <c r="E45" s="14" t="s">
        <v>6</v>
      </c>
      <c r="F45" s="97"/>
      <c r="G45" s="102">
        <f>SUM(I45:BC45)</f>
        <v>1</v>
      </c>
      <c r="H45" s="17"/>
      <c r="I45" s="102">
        <f>1-SUM(K45:BC45)</f>
        <v>8.3399999999999919E-2</v>
      </c>
      <c r="J45" s="103"/>
      <c r="K45" s="102">
        <f>ROUND(K40/$G$40,4)</f>
        <v>7.3599999999999999E-2</v>
      </c>
      <c r="L45" s="103"/>
      <c r="M45" s="102">
        <f>ROUND(M40/$G$40,4)</f>
        <v>3.1600000000000003E-2</v>
      </c>
      <c r="N45" s="104"/>
      <c r="O45" s="102">
        <f>ROUND(O40/$G$40,4)</f>
        <v>6.7900000000000002E-2</v>
      </c>
      <c r="P45" s="104"/>
      <c r="Q45" s="102">
        <f>ROUND(Q40/$G$40,4)</f>
        <v>0.15129999999999999</v>
      </c>
      <c r="R45" s="104"/>
      <c r="S45" s="102">
        <f>ROUND(S40/$G$40,4)</f>
        <v>9.6600000000000005E-2</v>
      </c>
      <c r="T45" s="104"/>
      <c r="U45" s="102">
        <f>ROUND(U40/$G$40,4)</f>
        <v>0.30230000000000001</v>
      </c>
      <c r="W45" s="102">
        <f>ROUND(W40/$G$40,4)</f>
        <v>0.1933</v>
      </c>
    </row>
    <row r="46" spans="1:32" x14ac:dyDescent="0.2">
      <c r="C46" s="54"/>
      <c r="D46" s="10"/>
      <c r="E46" s="14"/>
      <c r="F46" s="17"/>
      <c r="G46" s="93"/>
      <c r="H46" s="17"/>
      <c r="I46" s="103"/>
      <c r="J46" s="103"/>
      <c r="K46" s="103"/>
      <c r="L46" s="103"/>
      <c r="M46" s="103"/>
      <c r="N46" s="104"/>
      <c r="O46" s="103"/>
      <c r="P46" s="104"/>
      <c r="Q46" s="103"/>
      <c r="R46" s="104"/>
      <c r="S46" s="103"/>
      <c r="T46" s="104"/>
      <c r="U46" s="103"/>
      <c r="W46" s="90"/>
    </row>
    <row r="47" spans="1:32" x14ac:dyDescent="0.2">
      <c r="C47" s="123" t="str">
        <f>C19</f>
        <v>Total Composite Factor for FY 2013</v>
      </c>
      <c r="D47" s="10"/>
      <c r="E47" s="14" t="s">
        <v>6</v>
      </c>
      <c r="F47" s="17"/>
      <c r="G47" s="102" t="e">
        <f>SUM(I47:BC47)</f>
        <v>#REF!</v>
      </c>
      <c r="H47" s="17"/>
      <c r="I47" s="102" t="e">
        <f>1-SUM(K47:BC47)</f>
        <v>#REF!</v>
      </c>
      <c r="J47" s="103"/>
      <c r="K47" s="102" t="e">
        <f>ROUND(AVERAGE(K43:K45),4)</f>
        <v>#REF!</v>
      </c>
      <c r="L47" s="103"/>
      <c r="M47" s="102" t="e">
        <f>ROUND(AVERAGE(M43:M45),4)</f>
        <v>#REF!</v>
      </c>
      <c r="N47" s="104"/>
      <c r="O47" s="102" t="e">
        <f>ROUND(AVERAGE(O43:O45),4)</f>
        <v>#REF!</v>
      </c>
      <c r="P47" s="104"/>
      <c r="Q47" s="102" t="e">
        <f>ROUND(AVERAGE(Q43:Q45),4)</f>
        <v>#REF!</v>
      </c>
      <c r="R47" s="104"/>
      <c r="S47" s="102" t="e">
        <f>ROUND(AVERAGE(S43:S45),4)</f>
        <v>#REF!</v>
      </c>
      <c r="T47" s="104"/>
      <c r="U47" s="102" t="e">
        <f>ROUND(AVERAGE(U43:U45),4)</f>
        <v>#REF!</v>
      </c>
      <c r="V47" s="111"/>
      <c r="W47" s="102" t="e">
        <f>ROUND(AVERAGE(W43:W45),4)</f>
        <v>#REF!</v>
      </c>
    </row>
    <row r="50" spans="3:49" x14ac:dyDescent="0.2">
      <c r="C50" s="99" t="s">
        <v>85</v>
      </c>
      <c r="D50" s="10"/>
      <c r="E50" s="14"/>
      <c r="F50" s="14"/>
      <c r="G50" s="55"/>
      <c r="H50" s="15"/>
      <c r="I50" s="56"/>
      <c r="J50" s="15"/>
      <c r="K50" s="15"/>
      <c r="L50" s="15"/>
      <c r="M50" s="15"/>
      <c r="N50" s="15"/>
      <c r="O50" s="15"/>
      <c r="P50" s="15"/>
      <c r="Q50" s="15"/>
      <c r="R50" s="15"/>
      <c r="S50" s="14"/>
      <c r="T50" s="15"/>
      <c r="U50" s="14"/>
    </row>
    <row r="51" spans="3:49" x14ac:dyDescent="0.2">
      <c r="C51" s="17"/>
      <c r="D51" s="17"/>
      <c r="E51" s="17"/>
      <c r="F51" s="17"/>
      <c r="G51" s="17"/>
      <c r="H51" s="17"/>
      <c r="I51" s="58"/>
      <c r="J51" s="17"/>
      <c r="K51" s="17"/>
      <c r="L51" s="17"/>
      <c r="M51" s="94"/>
      <c r="N51" s="92"/>
      <c r="O51" s="17"/>
      <c r="P51" s="92"/>
      <c r="Q51" s="17"/>
      <c r="R51" s="92"/>
      <c r="S51" s="17"/>
      <c r="T51" s="92"/>
      <c r="U51" s="17"/>
    </row>
    <row r="52" spans="3:49" x14ac:dyDescent="0.2">
      <c r="C52" s="2" t="s">
        <v>2</v>
      </c>
      <c r="D52" s="10"/>
      <c r="E52" s="3" t="s">
        <v>3</v>
      </c>
      <c r="F52" s="17"/>
      <c r="G52" s="84">
        <f>SUM(I52:BC52)</f>
        <v>7316055578.9199991</v>
      </c>
      <c r="H52" s="17"/>
      <c r="I52" s="113">
        <f>I10</f>
        <v>503797716.75</v>
      </c>
      <c r="J52" s="8"/>
      <c r="K52" s="113">
        <f>K10</f>
        <v>465694921.06</v>
      </c>
      <c r="L52" s="8"/>
      <c r="M52" s="113">
        <f>M10</f>
        <v>178307235.72999999</v>
      </c>
      <c r="N52" s="49"/>
      <c r="O52" s="113">
        <f>O10</f>
        <v>494319819.33999997</v>
      </c>
      <c r="P52" s="49"/>
      <c r="Q52" s="113">
        <f>Q10</f>
        <v>1024397447.76</v>
      </c>
      <c r="R52" s="49"/>
      <c r="S52" s="113">
        <f>S10</f>
        <v>435562796.50999999</v>
      </c>
      <c r="T52" s="49"/>
      <c r="U52" s="113">
        <f>U10</f>
        <v>2909762764.3699999</v>
      </c>
      <c r="W52" s="113">
        <f>W10</f>
        <v>1280759006.2</v>
      </c>
      <c r="AE52" s="117"/>
      <c r="AG52" s="49"/>
      <c r="AH52" s="48"/>
      <c r="AW52" s="113">
        <f>AW10</f>
        <v>23453871.199999999</v>
      </c>
    </row>
    <row r="53" spans="3:49" x14ac:dyDescent="0.2">
      <c r="C53" s="3" t="s">
        <v>4</v>
      </c>
      <c r="D53" s="10"/>
      <c r="E53" s="3" t="s">
        <v>5</v>
      </c>
      <c r="F53" s="17"/>
      <c r="G53" s="84" t="e">
        <f>SUM(I53:BC53)</f>
        <v>#REF!</v>
      </c>
      <c r="H53" s="17"/>
      <c r="I53" s="113" t="e">
        <f>I11</f>
        <v>#REF!</v>
      </c>
      <c r="J53" s="8"/>
      <c r="K53" s="113">
        <f>K11</f>
        <v>247550.41666666666</v>
      </c>
      <c r="L53" s="8"/>
      <c r="M53" s="113" t="e">
        <f>M11</f>
        <v>#REF!</v>
      </c>
      <c r="N53" s="49"/>
      <c r="O53" s="113" t="e">
        <f>O11</f>
        <v>#REF!</v>
      </c>
      <c r="P53" s="49"/>
      <c r="Q53" s="113">
        <f>Q11</f>
        <v>528545.33333333337</v>
      </c>
      <c r="R53" s="49"/>
      <c r="S53" s="113" t="e">
        <f>S11</f>
        <v>#REF!</v>
      </c>
      <c r="T53" s="49"/>
      <c r="U53" s="113" t="e">
        <f>U11</f>
        <v>#REF!</v>
      </c>
      <c r="W53" s="113" t="e">
        <f>W11</f>
        <v>#REF!</v>
      </c>
      <c r="AE53" s="117"/>
      <c r="AG53" s="49"/>
      <c r="AH53" s="48"/>
      <c r="AW53" s="113">
        <f>AW11</f>
        <v>7</v>
      </c>
    </row>
    <row r="54" spans="3:49" x14ac:dyDescent="0.2">
      <c r="C54" s="2" t="s">
        <v>15</v>
      </c>
      <c r="D54" s="10"/>
      <c r="E54" s="3" t="s">
        <v>3</v>
      </c>
      <c r="F54" s="17"/>
      <c r="G54" s="84">
        <f>SUM(I54:BC54)</f>
        <v>327162846.78999996</v>
      </c>
      <c r="H54" s="17"/>
      <c r="I54" s="113">
        <f>I12</f>
        <v>27206253.27</v>
      </c>
      <c r="J54" s="8"/>
      <c r="K54" s="113">
        <f>K12</f>
        <v>23972323.100000001</v>
      </c>
      <c r="L54" s="8"/>
      <c r="M54" s="113">
        <f>M12</f>
        <v>10289510.67</v>
      </c>
      <c r="N54" s="49"/>
      <c r="O54" s="113">
        <f>O12</f>
        <v>22111377.52</v>
      </c>
      <c r="P54" s="49"/>
      <c r="Q54" s="113">
        <f>Q12</f>
        <v>49299476.899999999</v>
      </c>
      <c r="R54" s="49"/>
      <c r="S54" s="113">
        <f>S12</f>
        <v>31477147.5</v>
      </c>
      <c r="T54" s="49"/>
      <c r="U54" s="113">
        <f>U12</f>
        <v>98525277.590000004</v>
      </c>
      <c r="W54" s="113">
        <f>W12</f>
        <v>62992566.529999994</v>
      </c>
      <c r="AE54" s="117"/>
      <c r="AG54" s="49"/>
      <c r="AH54" s="48"/>
      <c r="AW54" s="113">
        <f>AW12</f>
        <v>1288913.71</v>
      </c>
    </row>
    <row r="55" spans="3:49" x14ac:dyDescent="0.2">
      <c r="C55" s="50" t="s">
        <v>16</v>
      </c>
      <c r="D55" s="10"/>
      <c r="E55" s="3"/>
      <c r="F55" s="17"/>
      <c r="G55" s="17"/>
      <c r="H55" s="17"/>
      <c r="I55" s="1"/>
      <c r="J55" s="4"/>
      <c r="K55" s="1"/>
      <c r="L55" s="4"/>
      <c r="M55" s="1"/>
      <c r="N55" s="1"/>
      <c r="O55" s="1"/>
      <c r="P55" s="1"/>
      <c r="Q55" s="1"/>
      <c r="R55" s="1"/>
      <c r="S55" s="1"/>
      <c r="T55" s="1"/>
      <c r="U55" s="1"/>
      <c r="W55" s="18"/>
      <c r="AE55" s="117"/>
      <c r="AG55" s="18"/>
      <c r="AH55" s="48"/>
      <c r="AW55" s="18"/>
    </row>
    <row r="56" spans="3:49" x14ac:dyDescent="0.2">
      <c r="C56" s="17"/>
      <c r="D56" s="17"/>
      <c r="E56" s="17"/>
      <c r="F56" s="17"/>
      <c r="G56" s="17"/>
      <c r="H56" s="17"/>
      <c r="I56" s="58"/>
      <c r="J56" s="17"/>
      <c r="K56" s="17"/>
      <c r="L56" s="17"/>
      <c r="M56" s="94"/>
      <c r="N56" s="92"/>
      <c r="O56" s="17"/>
      <c r="P56" s="92"/>
      <c r="Q56" s="17"/>
      <c r="R56" s="92"/>
      <c r="S56" s="17"/>
      <c r="T56" s="92"/>
      <c r="U56" s="17"/>
      <c r="AE56" s="117"/>
      <c r="AG56" s="48"/>
      <c r="AH56" s="48"/>
    </row>
    <row r="57" spans="3:49" x14ac:dyDescent="0.2">
      <c r="C57" s="2" t="s">
        <v>2</v>
      </c>
      <c r="D57" s="10"/>
      <c r="E57" s="14" t="s">
        <v>6</v>
      </c>
      <c r="F57" s="97"/>
      <c r="G57" s="102">
        <f>SUM(I57:BC57)</f>
        <v>1</v>
      </c>
      <c r="H57" s="17"/>
      <c r="I57" s="102">
        <f>1-SUM(K57:BC57)</f>
        <v>6.8799999999999972E-2</v>
      </c>
      <c r="J57" s="103"/>
      <c r="K57" s="102">
        <f>ROUND(K52/$G$52,4)</f>
        <v>6.3700000000000007E-2</v>
      </c>
      <c r="L57" s="103"/>
      <c r="M57" s="102">
        <f>ROUND(M52/$G$52,4)</f>
        <v>2.4400000000000002E-2</v>
      </c>
      <c r="N57" s="104"/>
      <c r="O57" s="102">
        <f>ROUND(O52/$G$52,4)</f>
        <v>6.7599999999999993E-2</v>
      </c>
      <c r="P57" s="104"/>
      <c r="Q57" s="102">
        <f>ROUND(Q52/$G$52,4)</f>
        <v>0.14000000000000001</v>
      </c>
      <c r="R57" s="104"/>
      <c r="S57" s="102">
        <f>ROUND(S52/$G$52,4)</f>
        <v>5.9499999999999997E-2</v>
      </c>
      <c r="T57" s="104"/>
      <c r="U57" s="102">
        <f>ROUND(U52/$G$52,4)</f>
        <v>0.3977</v>
      </c>
      <c r="W57" s="102">
        <f>ROUND(W52/$G$52,4)</f>
        <v>0.17510000000000001</v>
      </c>
      <c r="AE57" s="117"/>
      <c r="AG57" s="104"/>
      <c r="AH57" s="48"/>
      <c r="AW57" s="102">
        <f>ROUND(AW52/$G$52,4)</f>
        <v>3.2000000000000002E-3</v>
      </c>
    </row>
    <row r="58" spans="3:49" x14ac:dyDescent="0.2">
      <c r="C58" s="3" t="s">
        <v>4</v>
      </c>
      <c r="D58" s="10"/>
      <c r="E58" s="14" t="s">
        <v>6</v>
      </c>
      <c r="F58" s="97"/>
      <c r="G58" s="102" t="e">
        <f>SUM(I58:BC58)</f>
        <v>#REF!</v>
      </c>
      <c r="H58" s="17"/>
      <c r="I58" s="102" t="e">
        <f>1-SUM(K58:BC58)</f>
        <v>#REF!</v>
      </c>
      <c r="J58" s="103"/>
      <c r="K58" s="102" t="e">
        <f>ROUND(K53/$G$53,4)</f>
        <v>#REF!</v>
      </c>
      <c r="L58" s="103"/>
      <c r="M58" s="102" t="e">
        <f>ROUND(M53/$G$53,4)</f>
        <v>#REF!</v>
      </c>
      <c r="N58" s="104"/>
      <c r="O58" s="102" t="e">
        <f>ROUND(O53/$G$53,4)</f>
        <v>#REF!</v>
      </c>
      <c r="P58" s="104"/>
      <c r="Q58" s="102" t="e">
        <f>ROUND(Q53/$G$53,4)</f>
        <v>#REF!</v>
      </c>
      <c r="R58" s="104"/>
      <c r="S58" s="102" t="e">
        <f>ROUND(S53/$G$53,4)</f>
        <v>#REF!</v>
      </c>
      <c r="T58" s="104"/>
      <c r="U58" s="102" t="e">
        <f>ROUND(U53/$G$53,4)</f>
        <v>#REF!</v>
      </c>
      <c r="W58" s="102" t="e">
        <f>ROUND(W53/$G$53,4)</f>
        <v>#REF!</v>
      </c>
      <c r="AE58" s="117"/>
      <c r="AG58" s="104"/>
      <c r="AH58" s="48"/>
      <c r="AW58" s="102" t="e">
        <f>ROUND(AW53/$G$53,4)</f>
        <v>#REF!</v>
      </c>
    </row>
    <row r="59" spans="3:49" x14ac:dyDescent="0.2">
      <c r="C59" s="2" t="s">
        <v>7</v>
      </c>
      <c r="D59" s="10"/>
      <c r="E59" s="14" t="s">
        <v>6</v>
      </c>
      <c r="F59" s="97"/>
      <c r="G59" s="102">
        <f>SUM(I59:BC59)</f>
        <v>1</v>
      </c>
      <c r="H59" s="17"/>
      <c r="I59" s="102">
        <f>1-SUM(K59:BC59)</f>
        <v>8.3099999999999952E-2</v>
      </c>
      <c r="J59" s="103"/>
      <c r="K59" s="102">
        <f>ROUND(K54/$G$54,4)</f>
        <v>7.3300000000000004E-2</v>
      </c>
      <c r="L59" s="103"/>
      <c r="M59" s="102">
        <f>ROUND(M54/$G$54,4)</f>
        <v>3.15E-2</v>
      </c>
      <c r="N59" s="104"/>
      <c r="O59" s="102">
        <f>ROUND(O54/$G$54,4)</f>
        <v>6.7599999999999993E-2</v>
      </c>
      <c r="P59" s="104"/>
      <c r="Q59" s="102">
        <f>ROUND(Q54/$G$54,4)</f>
        <v>0.1507</v>
      </c>
      <c r="R59" s="104"/>
      <c r="S59" s="102">
        <f>ROUND(S54/$G$54,4)</f>
        <v>9.6199999999999994E-2</v>
      </c>
      <c r="T59" s="104"/>
      <c r="U59" s="102">
        <f>ROUND(U54/$G$54,4)</f>
        <v>0.30120000000000002</v>
      </c>
      <c r="W59" s="102">
        <f>ROUND(W54/$G$54,4)</f>
        <v>0.1925</v>
      </c>
      <c r="AE59" s="117"/>
      <c r="AG59" s="104"/>
      <c r="AH59" s="48"/>
      <c r="AW59" s="102">
        <f>ROUND(AW54/$G$54,4)</f>
        <v>3.8999999999999998E-3</v>
      </c>
    </row>
    <row r="60" spans="3:49" x14ac:dyDescent="0.2">
      <c r="C60" s="54"/>
      <c r="D60" s="10"/>
      <c r="E60" s="14"/>
      <c r="F60" s="17"/>
      <c r="G60" s="93"/>
      <c r="H60" s="17"/>
      <c r="I60" s="103"/>
      <c r="J60" s="103"/>
      <c r="K60" s="103"/>
      <c r="L60" s="103"/>
      <c r="M60" s="103"/>
      <c r="N60" s="104"/>
      <c r="O60" s="103"/>
      <c r="P60" s="104"/>
      <c r="Q60" s="103"/>
      <c r="R60" s="104"/>
      <c r="S60" s="103"/>
      <c r="T60" s="104"/>
      <c r="U60" s="103"/>
      <c r="W60" s="90"/>
      <c r="AE60" s="117"/>
      <c r="AG60" s="90"/>
      <c r="AH60" s="48"/>
      <c r="AW60" s="90"/>
    </row>
    <row r="61" spans="3:49" x14ac:dyDescent="0.2">
      <c r="C61" s="123" t="str">
        <f>C19</f>
        <v>Total Composite Factor for FY 2013</v>
      </c>
      <c r="D61" s="10"/>
      <c r="E61" s="14" t="s">
        <v>6</v>
      </c>
      <c r="F61" s="17"/>
      <c r="G61" s="102" t="e">
        <f>SUM(I61:BC61)</f>
        <v>#REF!</v>
      </c>
      <c r="H61" s="17"/>
      <c r="I61" s="102" t="e">
        <f>1-SUM(K61:BC61)</f>
        <v>#REF!</v>
      </c>
      <c r="J61" s="103"/>
      <c r="K61" s="102" t="e">
        <f>ROUND(AVERAGE(K57:K59),4)</f>
        <v>#REF!</v>
      </c>
      <c r="L61" s="103"/>
      <c r="M61" s="102" t="e">
        <f>ROUND(AVERAGE(M57:M59),4)</f>
        <v>#REF!</v>
      </c>
      <c r="N61" s="104"/>
      <c r="O61" s="102" t="e">
        <f>ROUND(AVERAGE(O57:O59),4)</f>
        <v>#REF!</v>
      </c>
      <c r="P61" s="104"/>
      <c r="Q61" s="102" t="e">
        <f>ROUND(AVERAGE(Q57:Q59),4)</f>
        <v>#REF!</v>
      </c>
      <c r="R61" s="104"/>
      <c r="S61" s="102" t="e">
        <f>ROUND(AVERAGE(S57:S59),4)</f>
        <v>#REF!</v>
      </c>
      <c r="T61" s="104"/>
      <c r="U61" s="102" t="e">
        <f>ROUND(AVERAGE(U57:U59),4)</f>
        <v>#REF!</v>
      </c>
      <c r="V61" s="111"/>
      <c r="W61" s="102" t="e">
        <f>ROUND(AVERAGE(W57:W59),4)</f>
        <v>#REF!</v>
      </c>
      <c r="AE61" s="117"/>
      <c r="AG61" s="104"/>
      <c r="AH61" s="48"/>
      <c r="AW61" s="102" t="e">
        <f>ROUND(AVERAGE(AW57:AW59),4)</f>
        <v>#REF!</v>
      </c>
    </row>
    <row r="62" spans="3:49" x14ac:dyDescent="0.2">
      <c r="C62" s="123"/>
      <c r="D62" s="10"/>
      <c r="E62" s="14"/>
      <c r="F62" s="17"/>
      <c r="G62" s="104"/>
      <c r="H62" s="17"/>
      <c r="I62" s="104"/>
      <c r="J62" s="103"/>
      <c r="K62" s="104"/>
      <c r="L62" s="103"/>
      <c r="M62" s="104"/>
      <c r="N62" s="104"/>
      <c r="O62" s="104"/>
      <c r="P62" s="104"/>
      <c r="Q62" s="104"/>
      <c r="R62" s="104"/>
      <c r="S62" s="104"/>
      <c r="T62" s="104"/>
      <c r="U62" s="104"/>
      <c r="V62" s="111"/>
      <c r="W62" s="104"/>
      <c r="AE62" s="117"/>
      <c r="AG62" s="104"/>
      <c r="AH62" s="48"/>
    </row>
    <row r="64" spans="3:49" x14ac:dyDescent="0.2">
      <c r="C64" s="121" t="s">
        <v>99</v>
      </c>
      <c r="D64" s="10"/>
      <c r="E64" s="14"/>
      <c r="F64" s="14"/>
      <c r="G64" s="55"/>
      <c r="H64" s="15"/>
      <c r="I64" s="56"/>
      <c r="J64" s="15"/>
      <c r="K64" s="15"/>
      <c r="L64" s="15"/>
      <c r="M64" s="15"/>
      <c r="N64" s="15"/>
      <c r="O64" s="15"/>
      <c r="P64" s="15"/>
      <c r="Q64" s="15"/>
      <c r="R64" s="15"/>
      <c r="S64" s="14"/>
      <c r="T64" s="15"/>
      <c r="U64" s="14"/>
    </row>
    <row r="65" spans="3:23" x14ac:dyDescent="0.2">
      <c r="C65" s="17"/>
      <c r="D65" s="17"/>
      <c r="E65" s="17"/>
      <c r="F65" s="17"/>
      <c r="G65" s="17"/>
      <c r="H65" s="17"/>
      <c r="I65" s="58"/>
      <c r="J65" s="17"/>
      <c r="K65" s="17"/>
      <c r="L65" s="17"/>
      <c r="M65" s="94"/>
      <c r="N65" s="92"/>
      <c r="O65" s="17"/>
      <c r="P65" s="92"/>
      <c r="Q65" s="17"/>
      <c r="R65" s="92"/>
      <c r="S65" s="17"/>
      <c r="T65" s="92"/>
      <c r="U65" s="17"/>
    </row>
    <row r="66" spans="3:23" x14ac:dyDescent="0.2">
      <c r="C66" s="2" t="s">
        <v>2</v>
      </c>
      <c r="D66" s="10"/>
      <c r="E66" s="3" t="s">
        <v>3</v>
      </c>
      <c r="F66" s="17"/>
      <c r="G66" s="84">
        <f>SUM(I66:BC66)</f>
        <v>1405055434.3199999</v>
      </c>
      <c r="H66" s="17"/>
      <c r="I66" s="113">
        <f>I10</f>
        <v>503797716.75</v>
      </c>
      <c r="J66" s="8"/>
      <c r="K66" s="113">
        <f>K10</f>
        <v>465694921.06</v>
      </c>
      <c r="L66" s="8"/>
      <c r="M66" s="113"/>
      <c r="N66" s="8"/>
      <c r="O66" s="113"/>
      <c r="P66" s="8"/>
      <c r="Q66" s="113"/>
      <c r="R66" s="8"/>
      <c r="S66" s="113">
        <f>S10</f>
        <v>435562796.50999999</v>
      </c>
      <c r="T66" s="8"/>
      <c r="U66" s="113"/>
      <c r="V66" s="8"/>
      <c r="W66" s="113"/>
    </row>
    <row r="67" spans="3:23" x14ac:dyDescent="0.2">
      <c r="C67" s="3" t="s">
        <v>4</v>
      </c>
      <c r="D67" s="10"/>
      <c r="E67" s="3" t="s">
        <v>5</v>
      </c>
      <c r="F67" s="17"/>
      <c r="G67" s="84" t="e">
        <f>SUM(I67:BC67)</f>
        <v>#REF!</v>
      </c>
      <c r="H67" s="17"/>
      <c r="I67" s="113" t="e">
        <f>I11</f>
        <v>#REF!</v>
      </c>
      <c r="J67" s="8"/>
      <c r="K67" s="113">
        <f>K11</f>
        <v>247550.41666666666</v>
      </c>
      <c r="L67" s="8"/>
      <c r="M67" s="113"/>
      <c r="N67" s="8"/>
      <c r="O67" s="113"/>
      <c r="P67" s="8"/>
      <c r="Q67" s="113"/>
      <c r="R67" s="8"/>
      <c r="S67" s="113" t="e">
        <f>S11</f>
        <v>#REF!</v>
      </c>
      <c r="T67" s="8"/>
      <c r="U67" s="113"/>
      <c r="V67" s="8"/>
      <c r="W67" s="113"/>
    </row>
    <row r="68" spans="3:23" x14ac:dyDescent="0.2">
      <c r="C68" s="2" t="s">
        <v>15</v>
      </c>
      <c r="D68" s="10"/>
      <c r="E68" s="3" t="s">
        <v>3</v>
      </c>
      <c r="F68" s="17"/>
      <c r="G68" s="84">
        <f>SUM(I68:BC68)</f>
        <v>82655723.870000005</v>
      </c>
      <c r="H68" s="17"/>
      <c r="I68" s="113">
        <f>I12</f>
        <v>27206253.27</v>
      </c>
      <c r="J68" s="8"/>
      <c r="K68" s="113">
        <f>K12</f>
        <v>23972323.100000001</v>
      </c>
      <c r="L68" s="8"/>
      <c r="M68" s="113"/>
      <c r="N68" s="8"/>
      <c r="O68" s="113"/>
      <c r="P68" s="8"/>
      <c r="Q68" s="113"/>
      <c r="R68" s="8"/>
      <c r="S68" s="113">
        <f>S12</f>
        <v>31477147.5</v>
      </c>
      <c r="T68" s="8"/>
      <c r="U68" s="113"/>
      <c r="V68" s="8"/>
      <c r="W68" s="113"/>
    </row>
    <row r="69" spans="3:23" x14ac:dyDescent="0.2">
      <c r="C69" s="50" t="s">
        <v>16</v>
      </c>
      <c r="D69" s="10"/>
      <c r="E69" s="3"/>
      <c r="F69" s="17"/>
      <c r="G69" s="17"/>
      <c r="H69" s="17"/>
      <c r="I69" s="1"/>
      <c r="J69" s="4"/>
      <c r="K69" s="1"/>
      <c r="L69" s="4"/>
      <c r="M69" s="1"/>
      <c r="N69" s="1"/>
      <c r="O69" s="1"/>
      <c r="P69" s="1"/>
      <c r="Q69" s="1"/>
      <c r="R69" s="1"/>
      <c r="S69" s="1"/>
      <c r="T69" s="1"/>
      <c r="U69" s="1"/>
      <c r="W69" s="18"/>
    </row>
    <row r="70" spans="3:23" x14ac:dyDescent="0.2">
      <c r="C70" s="17"/>
      <c r="D70" s="17"/>
      <c r="E70" s="17"/>
      <c r="F70" s="17"/>
      <c r="G70" s="17"/>
      <c r="H70" s="17"/>
      <c r="I70" s="58"/>
      <c r="J70" s="17"/>
      <c r="K70" s="17"/>
      <c r="L70" s="17"/>
      <c r="M70" s="94"/>
      <c r="N70" s="92"/>
      <c r="O70" s="17"/>
      <c r="P70" s="92"/>
      <c r="Q70" s="17"/>
      <c r="R70" s="92"/>
      <c r="S70" s="17"/>
      <c r="T70" s="92"/>
      <c r="U70" s="17"/>
    </row>
    <row r="71" spans="3:23" x14ac:dyDescent="0.2">
      <c r="C71" s="2" t="s">
        <v>2</v>
      </c>
      <c r="D71" s="10"/>
      <c r="E71" s="14" t="s">
        <v>6</v>
      </c>
      <c r="F71" s="97"/>
      <c r="G71" s="102">
        <f>SUM(I71:BC71)</f>
        <v>1</v>
      </c>
      <c r="H71" s="17"/>
      <c r="I71" s="102">
        <f>1-SUM(K71:BC71)</f>
        <v>0.35860000000000003</v>
      </c>
      <c r="J71" s="103"/>
      <c r="K71" s="102">
        <f>ROUND(K66/$G$66,4)</f>
        <v>0.33139999999999997</v>
      </c>
      <c r="L71" s="103"/>
      <c r="M71" s="102">
        <f>ROUND(M66/$G$52,4)</f>
        <v>0</v>
      </c>
      <c r="N71" s="104"/>
      <c r="O71" s="102">
        <f>ROUND(O66/$G$52,4)</f>
        <v>0</v>
      </c>
      <c r="P71" s="104"/>
      <c r="Q71" s="102">
        <f>ROUND(Q66/$G$52,4)</f>
        <v>0</v>
      </c>
      <c r="R71" s="104"/>
      <c r="S71" s="102">
        <f>ROUND(S66/$G$66,4)</f>
        <v>0.31</v>
      </c>
      <c r="T71" s="104"/>
      <c r="U71" s="102">
        <f>ROUND(U66/$G$52,4)</f>
        <v>0</v>
      </c>
      <c r="W71" s="102">
        <f>ROUND(W66/$G$52,4)</f>
        <v>0</v>
      </c>
    </row>
    <row r="72" spans="3:23" x14ac:dyDescent="0.2">
      <c r="C72" s="3" t="s">
        <v>4</v>
      </c>
      <c r="D72" s="10"/>
      <c r="E72" s="14" t="s">
        <v>6</v>
      </c>
      <c r="F72" s="97"/>
      <c r="G72" s="102" t="e">
        <f>SUM(I72:BC72)</f>
        <v>#REF!</v>
      </c>
      <c r="H72" s="17"/>
      <c r="I72" s="102" t="e">
        <f>1-SUM(K72:BC72)</f>
        <v>#REF!</v>
      </c>
      <c r="J72" s="103"/>
      <c r="K72" s="102" t="e">
        <f>ROUND(K67/$G$67,4)</f>
        <v>#REF!</v>
      </c>
      <c r="L72" s="103"/>
      <c r="M72" s="102" t="e">
        <f>ROUND(M67/$G$53,4)</f>
        <v>#REF!</v>
      </c>
      <c r="N72" s="104"/>
      <c r="O72" s="102" t="e">
        <f>ROUND(O67/$G$53,4)</f>
        <v>#REF!</v>
      </c>
      <c r="P72" s="104"/>
      <c r="Q72" s="102" t="e">
        <f>ROUND(Q67/$G$53,4)</f>
        <v>#REF!</v>
      </c>
      <c r="R72" s="104"/>
      <c r="S72" s="102" t="e">
        <f>ROUND(S67/$G$67,4)</f>
        <v>#REF!</v>
      </c>
      <c r="T72" s="104"/>
      <c r="U72" s="102" t="e">
        <f>ROUND(U67/$G$53,4)</f>
        <v>#REF!</v>
      </c>
      <c r="W72" s="102" t="e">
        <f>ROUND(W67/$G$53,4)</f>
        <v>#REF!</v>
      </c>
    </row>
    <row r="73" spans="3:23" x14ac:dyDescent="0.2">
      <c r="C73" s="2" t="s">
        <v>7</v>
      </c>
      <c r="D73" s="10"/>
      <c r="E73" s="14" t="s">
        <v>6</v>
      </c>
      <c r="F73" s="97"/>
      <c r="G73" s="102">
        <f>SUM(I73:BC73)</f>
        <v>1</v>
      </c>
      <c r="H73" s="17"/>
      <c r="I73" s="102">
        <f>1-SUM(K73:BC73)</f>
        <v>0.32919999999999994</v>
      </c>
      <c r="J73" s="103"/>
      <c r="K73" s="102">
        <f>ROUND(K68/$G$68,4)</f>
        <v>0.28999999999999998</v>
      </c>
      <c r="L73" s="103"/>
      <c r="M73" s="102">
        <f>ROUND(M68/$G$54,4)</f>
        <v>0</v>
      </c>
      <c r="N73" s="104"/>
      <c r="O73" s="102">
        <f>ROUND(O68/$G$54,4)</f>
        <v>0</v>
      </c>
      <c r="P73" s="104"/>
      <c r="Q73" s="102">
        <f>ROUND(Q68/$G$54,4)</f>
        <v>0</v>
      </c>
      <c r="R73" s="104"/>
      <c r="S73" s="102">
        <f>ROUND(S68/$G$68,4)</f>
        <v>0.38080000000000003</v>
      </c>
      <c r="T73" s="104"/>
      <c r="U73" s="102">
        <f>ROUND(U68/$G$54,4)</f>
        <v>0</v>
      </c>
      <c r="W73" s="102">
        <f>ROUND(W68/$G$54,4)</f>
        <v>0</v>
      </c>
    </row>
    <row r="74" spans="3:23" x14ac:dyDescent="0.2">
      <c r="C74" s="54"/>
      <c r="D74" s="10"/>
      <c r="E74" s="14"/>
      <c r="F74" s="17"/>
      <c r="G74" s="93"/>
      <c r="H74" s="17"/>
      <c r="I74" s="103"/>
      <c r="J74" s="103"/>
      <c r="K74" s="103"/>
      <c r="L74" s="103"/>
      <c r="M74" s="103"/>
      <c r="N74" s="104"/>
      <c r="O74" s="103"/>
      <c r="P74" s="104"/>
      <c r="Q74" s="103"/>
      <c r="R74" s="104"/>
      <c r="S74" s="103"/>
      <c r="T74" s="104"/>
      <c r="U74" s="103"/>
      <c r="W74" s="90"/>
    </row>
    <row r="75" spans="3:23" x14ac:dyDescent="0.2">
      <c r="C75" s="123" t="str">
        <f>C19</f>
        <v>Total Composite Factor for FY 2013</v>
      </c>
      <c r="D75" s="10"/>
      <c r="E75" s="14" t="s">
        <v>6</v>
      </c>
      <c r="F75" s="17"/>
      <c r="G75" s="102" t="e">
        <f>SUM(I75:BC75)</f>
        <v>#REF!</v>
      </c>
      <c r="H75" s="17"/>
      <c r="I75" s="102" t="e">
        <f>1-SUM(K75:BC75)</f>
        <v>#REF!</v>
      </c>
      <c r="J75" s="103"/>
      <c r="K75" s="102" t="e">
        <f>ROUND(AVERAGE(K71:K73),4)</f>
        <v>#REF!</v>
      </c>
      <c r="L75" s="103"/>
      <c r="M75" s="102" t="e">
        <f>ROUND(AVERAGE(M71:M73),4)</f>
        <v>#REF!</v>
      </c>
      <c r="N75" s="104"/>
      <c r="O75" s="102" t="e">
        <f>ROUND(AVERAGE(O71:O73),4)</f>
        <v>#REF!</v>
      </c>
      <c r="P75" s="104"/>
      <c r="Q75" s="102" t="e">
        <f>ROUND(AVERAGE(Q71:Q73),4)</f>
        <v>#REF!</v>
      </c>
      <c r="R75" s="104"/>
      <c r="S75" s="102" t="e">
        <f>ROUND(AVERAGE(S71:S73),4)</f>
        <v>#REF!</v>
      </c>
      <c r="T75" s="104"/>
      <c r="U75" s="102" t="e">
        <f>ROUND(AVERAGE(U71:U73),4)</f>
        <v>#REF!</v>
      </c>
      <c r="V75" s="111"/>
      <c r="W75" s="102" t="e">
        <f>ROUND(AVERAGE(W71:W73),4)</f>
        <v>#REF!</v>
      </c>
    </row>
    <row r="78" spans="3:23" x14ac:dyDescent="0.2">
      <c r="C78" s="99" t="s">
        <v>100</v>
      </c>
      <c r="D78" s="10"/>
      <c r="E78" s="14"/>
      <c r="F78" s="14"/>
      <c r="G78" s="55"/>
      <c r="H78" s="15"/>
      <c r="I78" s="56"/>
      <c r="J78" s="15"/>
      <c r="K78" s="15"/>
      <c r="L78" s="15"/>
      <c r="M78" s="15"/>
      <c r="N78" s="15"/>
      <c r="O78" s="15"/>
      <c r="P78" s="15"/>
      <c r="Q78" s="15"/>
      <c r="R78" s="15"/>
      <c r="S78" s="14"/>
      <c r="T78" s="15"/>
      <c r="U78" s="14"/>
    </row>
    <row r="79" spans="3:23" x14ac:dyDescent="0.2">
      <c r="C79" s="17"/>
      <c r="D79" s="17"/>
      <c r="E79" s="17"/>
      <c r="F79" s="17"/>
      <c r="G79" s="17"/>
      <c r="H79" s="17"/>
      <c r="I79" s="58"/>
      <c r="J79" s="17"/>
      <c r="K79" s="17"/>
      <c r="L79" s="17"/>
      <c r="M79" s="94"/>
      <c r="N79" s="92"/>
      <c r="O79" s="17"/>
      <c r="P79" s="92"/>
      <c r="Q79" s="17"/>
      <c r="R79" s="92"/>
      <c r="S79" s="17"/>
      <c r="T79" s="92"/>
      <c r="U79" s="17"/>
    </row>
    <row r="80" spans="3:23" x14ac:dyDescent="0.2">
      <c r="C80" s="2" t="s">
        <v>2</v>
      </c>
      <c r="D80" s="10"/>
      <c r="E80" s="3" t="s">
        <v>3</v>
      </c>
      <c r="F80" s="17"/>
      <c r="G80" s="84">
        <f>SUM(I80:BC80)</f>
        <v>672627055.06999993</v>
      </c>
      <c r="H80" s="17"/>
      <c r="I80" s="113"/>
      <c r="J80" s="8"/>
      <c r="K80" s="113"/>
      <c r="L80" s="8"/>
      <c r="M80" s="113">
        <f>M10</f>
        <v>178307235.72999999</v>
      </c>
      <c r="N80" s="8"/>
      <c r="O80" s="113">
        <f>O10</f>
        <v>494319819.33999997</v>
      </c>
      <c r="P80" s="8"/>
      <c r="Q80" s="113"/>
      <c r="R80" s="8"/>
      <c r="S80" s="113"/>
      <c r="T80" s="8"/>
      <c r="U80" s="113"/>
      <c r="V80" s="8"/>
      <c r="W80" s="113"/>
    </row>
    <row r="81" spans="1:34" x14ac:dyDescent="0.2">
      <c r="C81" s="3" t="s">
        <v>4</v>
      </c>
      <c r="D81" s="10"/>
      <c r="E81" s="3" t="s">
        <v>5</v>
      </c>
      <c r="F81" s="17"/>
      <c r="G81" s="84" t="e">
        <f>SUM(I81:BC81)</f>
        <v>#REF!</v>
      </c>
      <c r="H81" s="17"/>
      <c r="I81" s="113"/>
      <c r="J81" s="8"/>
      <c r="K81" s="113"/>
      <c r="L81" s="8"/>
      <c r="M81" s="113" t="e">
        <f>M11</f>
        <v>#REF!</v>
      </c>
      <c r="N81" s="8"/>
      <c r="O81" s="113" t="e">
        <f>O11</f>
        <v>#REF!</v>
      </c>
      <c r="P81" s="8"/>
      <c r="Q81" s="113"/>
      <c r="R81" s="8"/>
      <c r="S81" s="113"/>
      <c r="T81" s="8"/>
      <c r="U81" s="113"/>
      <c r="V81" s="8"/>
      <c r="W81" s="113"/>
    </row>
    <row r="82" spans="1:34" x14ac:dyDescent="0.2">
      <c r="C82" s="2" t="s">
        <v>15</v>
      </c>
      <c r="D82" s="10"/>
      <c r="E82" s="3" t="s">
        <v>3</v>
      </c>
      <c r="F82" s="17"/>
      <c r="G82" s="84">
        <f>SUM(I82:BC82)</f>
        <v>32400888.189999998</v>
      </c>
      <c r="H82" s="17"/>
      <c r="I82" s="113"/>
      <c r="J82" s="8"/>
      <c r="K82" s="113"/>
      <c r="L82" s="8"/>
      <c r="M82" s="113">
        <f>M12</f>
        <v>10289510.67</v>
      </c>
      <c r="N82" s="8"/>
      <c r="O82" s="113">
        <f>O12</f>
        <v>22111377.52</v>
      </c>
      <c r="P82" s="8"/>
      <c r="Q82" s="113"/>
      <c r="R82" s="8"/>
      <c r="S82" s="113"/>
      <c r="T82" s="8"/>
      <c r="U82" s="113"/>
      <c r="V82" s="8"/>
      <c r="W82" s="113"/>
    </row>
    <row r="83" spans="1:34" x14ac:dyDescent="0.2">
      <c r="C83" s="50" t="s">
        <v>16</v>
      </c>
      <c r="D83" s="10"/>
      <c r="E83" s="3"/>
      <c r="F83" s="17"/>
      <c r="G83" s="17"/>
      <c r="H83" s="17"/>
      <c r="I83" s="1"/>
      <c r="J83" s="4"/>
      <c r="K83" s="1"/>
      <c r="L83" s="4"/>
      <c r="M83" s="1"/>
      <c r="N83" s="1"/>
      <c r="O83" s="1"/>
      <c r="P83" s="1"/>
      <c r="Q83" s="1"/>
      <c r="R83" s="1"/>
      <c r="S83" s="1"/>
      <c r="T83" s="1"/>
      <c r="U83" s="1"/>
      <c r="W83" s="18"/>
    </row>
    <row r="84" spans="1:34" x14ac:dyDescent="0.2">
      <c r="C84" s="17"/>
      <c r="D84" s="17"/>
      <c r="E84" s="17"/>
      <c r="F84" s="17"/>
      <c r="G84" s="17"/>
      <c r="H84" s="17"/>
      <c r="I84" s="58"/>
      <c r="J84" s="17"/>
      <c r="K84" s="17"/>
      <c r="L84" s="17"/>
      <c r="M84" s="94"/>
      <c r="N84" s="92"/>
      <c r="O84" s="17"/>
      <c r="P84" s="92"/>
      <c r="Q84" s="17"/>
      <c r="R84" s="92"/>
      <c r="S84" s="17"/>
      <c r="T84" s="92"/>
      <c r="U84" s="17"/>
    </row>
    <row r="85" spans="1:34" x14ac:dyDescent="0.2">
      <c r="C85" s="2" t="s">
        <v>2</v>
      </c>
      <c r="D85" s="10"/>
      <c r="E85" s="14" t="s">
        <v>6</v>
      </c>
      <c r="F85" s="97"/>
      <c r="G85" s="102">
        <f>SUM(I85:BC85)</f>
        <v>1</v>
      </c>
      <c r="H85" s="17"/>
      <c r="I85" s="102">
        <f>ROUND(I80/$G$52,4)</f>
        <v>0</v>
      </c>
      <c r="J85" s="103"/>
      <c r="K85" s="102">
        <f>ROUND(K80/$G$66,4)</f>
        <v>0</v>
      </c>
      <c r="L85" s="103"/>
      <c r="M85" s="102">
        <f>ROUND(M80/$G$80,4)</f>
        <v>0.2651</v>
      </c>
      <c r="N85" s="104"/>
      <c r="O85" s="102">
        <f>ROUND(O80/$G$80,4)</f>
        <v>0.7349</v>
      </c>
      <c r="P85" s="104"/>
      <c r="Q85" s="102">
        <f>ROUND(Q80/$G$52,4)</f>
        <v>0</v>
      </c>
      <c r="R85" s="104"/>
      <c r="S85" s="102">
        <f>ROUND(S80/$G$66,4)</f>
        <v>0</v>
      </c>
      <c r="T85" s="104"/>
      <c r="U85" s="102">
        <f>ROUND(U80/$G$52,4)</f>
        <v>0</v>
      </c>
      <c r="W85" s="102">
        <f>ROUND(W80/$G$52,4)</f>
        <v>0</v>
      </c>
    </row>
    <row r="86" spans="1:34" x14ac:dyDescent="0.2">
      <c r="C86" s="3" t="s">
        <v>4</v>
      </c>
      <c r="D86" s="10"/>
      <c r="E86" s="14" t="s">
        <v>6</v>
      </c>
      <c r="F86" s="97"/>
      <c r="G86" s="102" t="e">
        <f>SUM(I86:BC86)</f>
        <v>#REF!</v>
      </c>
      <c r="H86" s="17"/>
      <c r="I86" s="102" t="e">
        <f>ROUND(I81/$G$53,4)</f>
        <v>#REF!</v>
      </c>
      <c r="J86" s="103"/>
      <c r="K86" s="102" t="e">
        <f>ROUND(K81/$G$67,4)</f>
        <v>#REF!</v>
      </c>
      <c r="L86" s="103"/>
      <c r="M86" s="102" t="e">
        <f>ROUND(M81/$G$81,4)</f>
        <v>#REF!</v>
      </c>
      <c r="N86" s="104"/>
      <c r="O86" s="102" t="e">
        <f>ROUND(O81/$G$81,4)</f>
        <v>#REF!</v>
      </c>
      <c r="P86" s="104"/>
      <c r="Q86" s="102" t="e">
        <f>ROUND(Q81/$G$53,4)</f>
        <v>#REF!</v>
      </c>
      <c r="R86" s="104"/>
      <c r="S86" s="102" t="e">
        <f>ROUND(S81/$G$67,4)</f>
        <v>#REF!</v>
      </c>
      <c r="T86" s="104"/>
      <c r="U86" s="102" t="e">
        <f>ROUND(U81/$G$53,4)</f>
        <v>#REF!</v>
      </c>
      <c r="W86" s="102" t="e">
        <f>ROUND(W81/$G$53,4)</f>
        <v>#REF!</v>
      </c>
    </row>
    <row r="87" spans="1:34" x14ac:dyDescent="0.2">
      <c r="C87" s="2" t="s">
        <v>7</v>
      </c>
      <c r="D87" s="10"/>
      <c r="E87" s="14" t="s">
        <v>6</v>
      </c>
      <c r="F87" s="97"/>
      <c r="G87" s="102">
        <f>SUM(I87:BC87)</f>
        <v>1</v>
      </c>
      <c r="H87" s="17"/>
      <c r="I87" s="102">
        <f>ROUND(I82/$G$54,4)</f>
        <v>0</v>
      </c>
      <c r="J87" s="103"/>
      <c r="K87" s="102">
        <f>ROUND(K82/$G$68,4)</f>
        <v>0</v>
      </c>
      <c r="L87" s="103"/>
      <c r="M87" s="102">
        <f>ROUND(M82/$G$82,4)</f>
        <v>0.31759999999999999</v>
      </c>
      <c r="N87" s="104"/>
      <c r="O87" s="102">
        <f>ROUND(O82/$G$82,4)</f>
        <v>0.68240000000000001</v>
      </c>
      <c r="P87" s="104"/>
      <c r="Q87" s="102">
        <f>ROUND(Q82/$G$54,4)</f>
        <v>0</v>
      </c>
      <c r="R87" s="104"/>
      <c r="S87" s="102">
        <f>ROUND(S82/$G$68,4)</f>
        <v>0</v>
      </c>
      <c r="T87" s="104"/>
      <c r="U87" s="102">
        <f>ROUND(U82/$G$54,4)</f>
        <v>0</v>
      </c>
      <c r="W87" s="102">
        <f>ROUND(W82/$G$54,4)</f>
        <v>0</v>
      </c>
    </row>
    <row r="88" spans="1:34" x14ac:dyDescent="0.2">
      <c r="C88" s="54"/>
      <c r="D88" s="10"/>
      <c r="E88" s="14"/>
      <c r="F88" s="17"/>
      <c r="G88" s="93"/>
      <c r="H88" s="17"/>
      <c r="I88" s="103"/>
      <c r="J88" s="103"/>
      <c r="K88" s="103"/>
      <c r="L88" s="103"/>
      <c r="M88" s="103"/>
      <c r="N88" s="104"/>
      <c r="O88" s="103"/>
      <c r="P88" s="104"/>
      <c r="Q88" s="103"/>
      <c r="R88" s="104"/>
      <c r="S88" s="103"/>
      <c r="T88" s="104"/>
      <c r="U88" s="103"/>
      <c r="W88" s="90"/>
    </row>
    <row r="89" spans="1:34" x14ac:dyDescent="0.2">
      <c r="C89" s="123" t="str">
        <f>C19</f>
        <v>Total Composite Factor for FY 2013</v>
      </c>
      <c r="D89" s="10"/>
      <c r="E89" s="14" t="s">
        <v>6</v>
      </c>
      <c r="F89" s="17"/>
      <c r="G89" s="102" t="e">
        <f>SUM(I89:BC89)</f>
        <v>#REF!</v>
      </c>
      <c r="H89" s="17"/>
      <c r="I89" s="102" t="e">
        <f>ROUND(AVERAGE(I85:I87),4)</f>
        <v>#REF!</v>
      </c>
      <c r="J89" s="103"/>
      <c r="K89" s="102" t="e">
        <f>ROUND(AVERAGE(K85:K87),4)</f>
        <v>#REF!</v>
      </c>
      <c r="L89" s="103"/>
      <c r="M89" s="102" t="e">
        <f>ROUND(AVERAGE(M85:M87),4)</f>
        <v>#REF!</v>
      </c>
      <c r="N89" s="104"/>
      <c r="O89" s="102" t="e">
        <f>ROUND(AVERAGE(O85:O87),4)</f>
        <v>#REF!</v>
      </c>
      <c r="P89" s="104"/>
      <c r="Q89" s="102" t="e">
        <f>ROUND(AVERAGE(Q85:Q87),4)</f>
        <v>#REF!</v>
      </c>
      <c r="R89" s="104"/>
      <c r="S89" s="102" t="e">
        <f>ROUND(AVERAGE(S85:S87),4)</f>
        <v>#REF!</v>
      </c>
      <c r="T89" s="104"/>
      <c r="U89" s="102" t="e">
        <f>ROUND(AVERAGE(U85:U87),4)</f>
        <v>#REF!</v>
      </c>
      <c r="V89" s="111"/>
      <c r="W89" s="102" t="e">
        <f>ROUND(AVERAGE(W85:W87),4)</f>
        <v>#REF!</v>
      </c>
    </row>
    <row r="92" spans="1:34" s="14" customFormat="1" x14ac:dyDescent="0.2">
      <c r="A92" s="19"/>
      <c r="C92" s="122" t="s">
        <v>102</v>
      </c>
      <c r="D92" s="10"/>
      <c r="G92" s="55"/>
      <c r="H92" s="15"/>
      <c r="I92" s="56"/>
      <c r="J92" s="15"/>
      <c r="K92" s="15"/>
      <c r="L92" s="15"/>
      <c r="M92" s="15"/>
      <c r="N92" s="15"/>
      <c r="O92" s="15"/>
      <c r="P92" s="15"/>
      <c r="Q92" s="15"/>
      <c r="R92" s="15"/>
      <c r="T92" s="15"/>
      <c r="V92" s="16"/>
      <c r="W92" s="16"/>
      <c r="X92" s="15"/>
      <c r="Y92" s="15"/>
      <c r="Z92" s="16"/>
      <c r="AA92" s="15"/>
      <c r="AB92" s="16"/>
      <c r="AC92" s="15"/>
      <c r="AD92" s="16"/>
      <c r="AE92" s="15"/>
      <c r="AF92" s="15"/>
      <c r="AG92" s="15"/>
      <c r="AH92" s="15"/>
    </row>
    <row r="93" spans="1:34" s="17" customFormat="1" x14ac:dyDescent="0.2">
      <c r="A93" s="57"/>
      <c r="I93" s="58"/>
      <c r="M93" s="94"/>
      <c r="N93" s="92"/>
      <c r="P93" s="92"/>
      <c r="R93" s="92"/>
      <c r="T93" s="92"/>
      <c r="V93" s="92"/>
      <c r="X93" s="92"/>
      <c r="Z93" s="38"/>
      <c r="AB93" s="38"/>
      <c r="AD93" s="38"/>
      <c r="AE93" s="38"/>
      <c r="AF93" s="92"/>
    </row>
    <row r="94" spans="1:34" s="17" customFormat="1" x14ac:dyDescent="0.2">
      <c r="A94" s="57"/>
      <c r="C94" s="2" t="s">
        <v>2</v>
      </c>
      <c r="D94" s="10"/>
      <c r="E94" s="3" t="s">
        <v>3</v>
      </c>
      <c r="G94" s="84">
        <f>SUM(I94:BC94)</f>
        <v>3102079937.1499996</v>
      </c>
      <c r="I94" s="113">
        <f>I10</f>
        <v>503797716.75</v>
      </c>
      <c r="J94" s="8"/>
      <c r="K94" s="113">
        <f>K10</f>
        <v>465694921.06</v>
      </c>
      <c r="L94" s="8"/>
      <c r="M94" s="113">
        <f>M10</f>
        <v>178307235.72999999</v>
      </c>
      <c r="N94" s="49"/>
      <c r="O94" s="113">
        <f>O10</f>
        <v>494319819.33999997</v>
      </c>
      <c r="P94" s="49"/>
      <c r="Q94" s="113">
        <f>Q10</f>
        <v>1024397447.76</v>
      </c>
      <c r="R94" s="49"/>
      <c r="S94" s="113">
        <f>S10</f>
        <v>435562796.50999999</v>
      </c>
      <c r="T94" s="49"/>
      <c r="U94" s="113"/>
      <c r="V94" s="1"/>
      <c r="W94" s="1"/>
      <c r="X94" s="92"/>
      <c r="Z94" s="38"/>
      <c r="AB94" s="38"/>
      <c r="AD94" s="38"/>
      <c r="AE94" s="38"/>
      <c r="AF94" s="92"/>
    </row>
    <row r="95" spans="1:34" s="17" customFormat="1" x14ac:dyDescent="0.2">
      <c r="A95" s="57"/>
      <c r="C95" s="3" t="s">
        <v>4</v>
      </c>
      <c r="D95" s="10"/>
      <c r="E95" s="3" t="s">
        <v>5</v>
      </c>
      <c r="G95" s="85" t="e">
        <f>SUM(I95:BC95)</f>
        <v>#REF!</v>
      </c>
      <c r="I95" s="113" t="e">
        <f>+I11</f>
        <v>#REF!</v>
      </c>
      <c r="J95" s="8"/>
      <c r="K95" s="113">
        <f>K11</f>
        <v>247550.41666666666</v>
      </c>
      <c r="L95" s="8"/>
      <c r="M95" s="113" t="e">
        <f>M11</f>
        <v>#REF!</v>
      </c>
      <c r="N95" s="49"/>
      <c r="O95" s="113" t="e">
        <f>O11</f>
        <v>#REF!</v>
      </c>
      <c r="P95" s="49"/>
      <c r="Q95" s="113">
        <f>Q11</f>
        <v>528545.33333333337</v>
      </c>
      <c r="R95" s="49"/>
      <c r="S95" s="113" t="e">
        <f>S11</f>
        <v>#REF!</v>
      </c>
      <c r="T95" s="49"/>
      <c r="U95" s="113"/>
      <c r="V95" s="1"/>
      <c r="W95" s="1"/>
      <c r="X95" s="92"/>
      <c r="Z95" s="38"/>
      <c r="AB95" s="38"/>
      <c r="AD95" s="38"/>
      <c r="AE95" s="38"/>
      <c r="AF95" s="92"/>
    </row>
    <row r="96" spans="1:34" s="17" customFormat="1" x14ac:dyDescent="0.2">
      <c r="A96" s="57"/>
      <c r="C96" s="2" t="s">
        <v>15</v>
      </c>
      <c r="D96" s="10"/>
      <c r="E96" s="3" t="s">
        <v>3</v>
      </c>
      <c r="G96" s="84">
        <f>SUM(I96:BC96)</f>
        <v>164356088.96000001</v>
      </c>
      <c r="I96" s="113">
        <f>+I12</f>
        <v>27206253.27</v>
      </c>
      <c r="J96" s="8"/>
      <c r="K96" s="113">
        <f>K12</f>
        <v>23972323.100000001</v>
      </c>
      <c r="L96" s="8"/>
      <c r="M96" s="113">
        <f>M12</f>
        <v>10289510.67</v>
      </c>
      <c r="N96" s="49"/>
      <c r="O96" s="113">
        <f>O12</f>
        <v>22111377.52</v>
      </c>
      <c r="P96" s="49"/>
      <c r="Q96" s="113">
        <f>Q12</f>
        <v>49299476.899999999</v>
      </c>
      <c r="R96" s="49"/>
      <c r="S96" s="113">
        <f>S12</f>
        <v>31477147.5</v>
      </c>
      <c r="T96" s="49"/>
      <c r="U96" s="113"/>
      <c r="V96" s="1"/>
      <c r="W96" s="1"/>
      <c r="X96" s="92"/>
      <c r="Z96" s="38"/>
      <c r="AB96" s="38"/>
      <c r="AD96" s="38"/>
      <c r="AE96" s="38"/>
      <c r="AF96" s="92"/>
    </row>
    <row r="97" spans="1:34" s="17" customFormat="1" x14ac:dyDescent="0.2">
      <c r="A97" s="57"/>
      <c r="C97" s="50" t="s">
        <v>16</v>
      </c>
      <c r="D97" s="10"/>
      <c r="E97" s="3"/>
      <c r="I97" s="1"/>
      <c r="J97" s="4"/>
      <c r="K97" s="1"/>
      <c r="L97" s="4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92"/>
      <c r="Z97" s="38"/>
      <c r="AB97" s="38"/>
      <c r="AD97" s="38"/>
      <c r="AE97" s="38"/>
      <c r="AF97" s="92"/>
    </row>
    <row r="98" spans="1:34" s="17" customFormat="1" x14ac:dyDescent="0.2">
      <c r="A98" s="57"/>
      <c r="I98" s="58"/>
      <c r="M98" s="94"/>
      <c r="N98" s="92"/>
      <c r="P98" s="92"/>
      <c r="R98" s="92"/>
      <c r="T98" s="92"/>
      <c r="V98" s="92"/>
      <c r="W98" s="92"/>
      <c r="X98" s="92"/>
      <c r="Z98" s="38"/>
      <c r="AB98" s="38"/>
      <c r="AD98" s="38"/>
      <c r="AE98" s="38"/>
      <c r="AF98" s="92"/>
    </row>
    <row r="99" spans="1:34" s="17" customFormat="1" x14ac:dyDescent="0.2">
      <c r="A99" s="57"/>
      <c r="C99" s="2" t="s">
        <v>2</v>
      </c>
      <c r="D99" s="10"/>
      <c r="E99" s="14" t="s">
        <v>6</v>
      </c>
      <c r="F99" s="97"/>
      <c r="G99" s="102">
        <f>SUM(I99:BC99)</f>
        <v>0.99999999999999989</v>
      </c>
      <c r="I99" s="102">
        <f>1-SUM(K99:BC99)</f>
        <v>0.16239999999999999</v>
      </c>
      <c r="J99" s="103"/>
      <c r="K99" s="102">
        <f>ROUND(K94/$G$94,4)</f>
        <v>0.15010000000000001</v>
      </c>
      <c r="L99" s="103"/>
      <c r="M99" s="102">
        <f>ROUND(M94/$G$94,4)</f>
        <v>5.7500000000000002E-2</v>
      </c>
      <c r="N99" s="104"/>
      <c r="O99" s="102">
        <f>ROUND(O94/$G$94,4)</f>
        <v>0.15939999999999999</v>
      </c>
      <c r="P99" s="104"/>
      <c r="Q99" s="102">
        <f>ROUND(Q94/$G$94,4)</f>
        <v>0.33019999999999999</v>
      </c>
      <c r="R99" s="104"/>
      <c r="S99" s="102">
        <f>ROUND(S94/$G$94,4)</f>
        <v>0.1404</v>
      </c>
      <c r="T99" s="104"/>
      <c r="U99" s="102"/>
      <c r="V99" s="48"/>
      <c r="W99" s="102"/>
      <c r="X99" s="92"/>
      <c r="Y99" s="105"/>
      <c r="Z99" s="106"/>
      <c r="AA99" s="105"/>
      <c r="AB99" s="106"/>
      <c r="AC99" s="105"/>
      <c r="AD99" s="106"/>
      <c r="AE99" s="106"/>
      <c r="AF99" s="92"/>
    </row>
    <row r="100" spans="1:34" s="17" customFormat="1" x14ac:dyDescent="0.2">
      <c r="A100" s="57"/>
      <c r="C100" s="3" t="s">
        <v>4</v>
      </c>
      <c r="D100" s="10"/>
      <c r="E100" s="14" t="s">
        <v>6</v>
      </c>
      <c r="F100" s="97"/>
      <c r="G100" s="102" t="e">
        <f>SUM(I100:BC100)</f>
        <v>#REF!</v>
      </c>
      <c r="I100" s="102" t="e">
        <f>1-SUM(K100:BC100)</f>
        <v>#REF!</v>
      </c>
      <c r="J100" s="103"/>
      <c r="K100" s="102" t="e">
        <f>ROUND(K95/$G$95,4)</f>
        <v>#REF!</v>
      </c>
      <c r="L100" s="103"/>
      <c r="M100" s="102" t="e">
        <f>ROUND(M95/$G$95,4)</f>
        <v>#REF!</v>
      </c>
      <c r="N100" s="104"/>
      <c r="O100" s="102" t="e">
        <f>ROUND(O95/$G$95,4)</f>
        <v>#REF!</v>
      </c>
      <c r="P100" s="104"/>
      <c r="Q100" s="102" t="e">
        <f>ROUND(Q95/$G$95,4)</f>
        <v>#REF!</v>
      </c>
      <c r="R100" s="104"/>
      <c r="S100" s="102" t="e">
        <f>ROUND(S95/$G$95,4)</f>
        <v>#REF!</v>
      </c>
      <c r="T100" s="104"/>
      <c r="U100" s="102"/>
      <c r="V100" s="48"/>
      <c r="W100" s="102"/>
      <c r="X100" s="92"/>
      <c r="Z100" s="38"/>
      <c r="AB100" s="38"/>
      <c r="AD100" s="38"/>
      <c r="AE100" s="38"/>
      <c r="AF100" s="92"/>
    </row>
    <row r="101" spans="1:34" s="17" customFormat="1" x14ac:dyDescent="0.2">
      <c r="A101" s="57"/>
      <c r="C101" s="2" t="s">
        <v>7</v>
      </c>
      <c r="D101" s="10"/>
      <c r="E101" s="14" t="s">
        <v>6</v>
      </c>
      <c r="F101" s="97"/>
      <c r="G101" s="102">
        <f>SUM(I101:BC101)</f>
        <v>1</v>
      </c>
      <c r="I101" s="102">
        <f>1-SUM(K101:BC101)</f>
        <v>0.16549999999999998</v>
      </c>
      <c r="J101" s="103"/>
      <c r="K101" s="102">
        <f>ROUND(K96/$G$96,4)</f>
        <v>0.1459</v>
      </c>
      <c r="L101" s="103"/>
      <c r="M101" s="102">
        <f>ROUND(M96/$G$96,4)</f>
        <v>6.2600000000000003E-2</v>
      </c>
      <c r="N101" s="104"/>
      <c r="O101" s="102">
        <f>ROUND(O96/$G$96,4)</f>
        <v>0.13450000000000001</v>
      </c>
      <c r="P101" s="104"/>
      <c r="Q101" s="102">
        <f>ROUND(Q96/$G$96,4)</f>
        <v>0.3</v>
      </c>
      <c r="R101" s="104"/>
      <c r="S101" s="102">
        <f>ROUND(S96/$G$96,4)</f>
        <v>0.1915</v>
      </c>
      <c r="T101" s="104"/>
      <c r="U101" s="102"/>
      <c r="V101" s="48"/>
      <c r="W101" s="102"/>
      <c r="X101" s="92"/>
      <c r="Z101" s="38"/>
      <c r="AB101" s="38"/>
      <c r="AD101" s="38"/>
      <c r="AE101" s="38"/>
      <c r="AF101" s="92"/>
    </row>
    <row r="102" spans="1:34" s="17" customFormat="1" x14ac:dyDescent="0.2">
      <c r="A102" s="57"/>
      <c r="C102" s="54"/>
      <c r="D102" s="10"/>
      <c r="E102" s="14"/>
      <c r="G102" s="93"/>
      <c r="I102" s="103"/>
      <c r="J102" s="103"/>
      <c r="K102" s="103"/>
      <c r="L102" s="103"/>
      <c r="M102" s="103"/>
      <c r="N102" s="104"/>
      <c r="O102" s="103"/>
      <c r="P102" s="104"/>
      <c r="Q102" s="103"/>
      <c r="R102" s="104"/>
      <c r="S102" s="103"/>
      <c r="T102" s="104"/>
      <c r="U102" s="103"/>
      <c r="V102" s="48"/>
      <c r="W102" s="90"/>
      <c r="X102" s="92"/>
      <c r="Z102" s="38"/>
      <c r="AB102" s="38"/>
      <c r="AD102" s="38"/>
      <c r="AE102" s="38"/>
      <c r="AF102" s="92"/>
    </row>
    <row r="103" spans="1:34" s="17" customFormat="1" x14ac:dyDescent="0.2">
      <c r="A103" s="57"/>
      <c r="C103" s="123" t="str">
        <f>C19</f>
        <v>Total Composite Factor for FY 2013</v>
      </c>
      <c r="D103" s="10"/>
      <c r="E103" s="14" t="s">
        <v>6</v>
      </c>
      <c r="G103" s="102" t="e">
        <f>SUM(I103:BC103)</f>
        <v>#REF!</v>
      </c>
      <c r="I103" s="102" t="e">
        <f>1-SUM(K103:AG103)</f>
        <v>#REF!</v>
      </c>
      <c r="J103" s="103"/>
      <c r="K103" s="102" t="e">
        <f>ROUND(AVERAGE(K99:K101),4)</f>
        <v>#REF!</v>
      </c>
      <c r="L103" s="103"/>
      <c r="M103" s="102" t="e">
        <f>ROUND(AVERAGE(M99:M101),4)</f>
        <v>#REF!</v>
      </c>
      <c r="N103" s="104"/>
      <c r="O103" s="102" t="e">
        <f>ROUND(AVERAGE(O99:O101),4)</f>
        <v>#REF!</v>
      </c>
      <c r="P103" s="104"/>
      <c r="Q103" s="102" t="e">
        <f>ROUND(AVERAGE(Q99:Q101),4)</f>
        <v>#REF!</v>
      </c>
      <c r="R103" s="104"/>
      <c r="S103" s="102" t="e">
        <f>ROUND(AVERAGE(S99:S101),4)</f>
        <v>#REF!</v>
      </c>
      <c r="T103" s="104"/>
      <c r="U103" s="102"/>
      <c r="V103" s="111"/>
      <c r="W103" s="102"/>
      <c r="X103" s="92"/>
      <c r="Z103" s="38"/>
      <c r="AB103" s="38"/>
      <c r="AD103" s="38"/>
      <c r="AE103" s="38"/>
      <c r="AF103" s="92"/>
    </row>
    <row r="104" spans="1:34" s="17" customFormat="1" x14ac:dyDescent="0.2">
      <c r="A104" s="57"/>
      <c r="C104" s="54"/>
      <c r="D104" s="10"/>
      <c r="E104" s="14"/>
      <c r="I104" s="59"/>
      <c r="N104" s="92"/>
      <c r="O104" s="93"/>
      <c r="P104" s="92"/>
      <c r="R104" s="92"/>
      <c r="T104" s="92"/>
      <c r="V104" s="92"/>
      <c r="X104" s="92"/>
      <c r="Z104" s="38"/>
      <c r="AB104" s="38"/>
      <c r="AD104" s="38"/>
      <c r="AE104" s="38"/>
      <c r="AF104" s="92"/>
    </row>
    <row r="106" spans="1:34" s="14" customFormat="1" x14ac:dyDescent="0.2">
      <c r="A106" s="19"/>
      <c r="C106" s="99" t="s">
        <v>101</v>
      </c>
      <c r="D106" s="10"/>
      <c r="G106" s="55"/>
      <c r="H106" s="15"/>
      <c r="I106" s="56"/>
      <c r="J106" s="15"/>
      <c r="K106" s="15"/>
      <c r="L106" s="15"/>
      <c r="M106" s="15"/>
      <c r="N106" s="15"/>
      <c r="O106" s="15"/>
      <c r="P106" s="15"/>
      <c r="Q106" s="15"/>
      <c r="R106" s="15"/>
      <c r="T106" s="15"/>
      <c r="V106" s="16"/>
      <c r="W106" s="16"/>
      <c r="X106" s="15"/>
      <c r="Y106" s="15"/>
      <c r="Z106" s="16"/>
      <c r="AA106" s="15"/>
      <c r="AB106" s="16"/>
      <c r="AC106" s="15"/>
      <c r="AD106" s="16"/>
      <c r="AE106" s="15"/>
      <c r="AF106" s="15"/>
      <c r="AG106" s="15"/>
      <c r="AH106" s="15"/>
    </row>
    <row r="107" spans="1:34" s="17" customFormat="1" x14ac:dyDescent="0.2">
      <c r="A107" s="57"/>
      <c r="I107" s="58"/>
      <c r="M107" s="94"/>
      <c r="N107" s="92"/>
      <c r="P107" s="92"/>
      <c r="R107" s="92"/>
      <c r="T107" s="92"/>
      <c r="V107" s="92"/>
      <c r="X107" s="92"/>
      <c r="Z107" s="38"/>
      <c r="AB107" s="38"/>
      <c r="AD107" s="38"/>
      <c r="AE107" s="38"/>
      <c r="AF107" s="92"/>
    </row>
    <row r="108" spans="1:34" s="17" customFormat="1" x14ac:dyDescent="0.2">
      <c r="A108" s="57"/>
      <c r="C108" s="2" t="s">
        <v>2</v>
      </c>
      <c r="D108" s="10"/>
      <c r="E108" s="3" t="s">
        <v>3</v>
      </c>
      <c r="G108" s="84">
        <f>SUM(I108:BC108)</f>
        <v>4694319487.3199997</v>
      </c>
      <c r="I108" s="113">
        <f>I10</f>
        <v>503797716.75</v>
      </c>
      <c r="J108" s="8"/>
      <c r="K108" s="113"/>
      <c r="L108" s="8"/>
      <c r="M108" s="113"/>
      <c r="N108" s="49"/>
      <c r="O108" s="113"/>
      <c r="P108" s="49"/>
      <c r="Q108" s="113"/>
      <c r="R108" s="49"/>
      <c r="S108" s="113"/>
      <c r="T108" s="49"/>
      <c r="U108" s="113">
        <f>U10</f>
        <v>2909762764.3699999</v>
      </c>
      <c r="V108" s="48"/>
      <c r="W108" s="113">
        <f>W10</f>
        <v>1280759006.2</v>
      </c>
      <c r="X108" s="92"/>
      <c r="Z108" s="38"/>
      <c r="AB108" s="38"/>
      <c r="AD108" s="38"/>
      <c r="AE108" s="38"/>
      <c r="AF108" s="92"/>
    </row>
    <row r="109" spans="1:34" s="17" customFormat="1" x14ac:dyDescent="0.2">
      <c r="A109" s="57"/>
      <c r="C109" s="3" t="s">
        <v>4</v>
      </c>
      <c r="D109" s="10"/>
      <c r="E109" s="3" t="s">
        <v>5</v>
      </c>
      <c r="G109" s="85" t="e">
        <f>SUM(I109:BC109)</f>
        <v>#REF!</v>
      </c>
      <c r="I109" s="113" t="e">
        <f>I11</f>
        <v>#REF!</v>
      </c>
      <c r="J109" s="8"/>
      <c r="K109" s="113"/>
      <c r="L109" s="8"/>
      <c r="M109" s="113"/>
      <c r="N109" s="49"/>
      <c r="O109" s="113"/>
      <c r="P109" s="49"/>
      <c r="Q109" s="113"/>
      <c r="R109" s="49"/>
      <c r="S109" s="113"/>
      <c r="T109" s="49"/>
      <c r="U109" s="113" t="e">
        <f>U11</f>
        <v>#REF!</v>
      </c>
      <c r="V109" s="48"/>
      <c r="W109" s="113" t="e">
        <f>W11</f>
        <v>#REF!</v>
      </c>
      <c r="X109" s="92"/>
      <c r="Z109" s="38"/>
      <c r="AB109" s="38"/>
      <c r="AD109" s="38"/>
      <c r="AE109" s="38"/>
      <c r="AF109" s="92"/>
    </row>
    <row r="110" spans="1:34" s="17" customFormat="1" x14ac:dyDescent="0.2">
      <c r="A110" s="57"/>
      <c r="C110" s="2" t="s">
        <v>15</v>
      </c>
      <c r="D110" s="10"/>
      <c r="E110" s="3" t="s">
        <v>3</v>
      </c>
      <c r="G110" s="84">
        <f>SUM(I110:BC110)</f>
        <v>188724097.38999999</v>
      </c>
      <c r="I110" s="113">
        <f>I12</f>
        <v>27206253.27</v>
      </c>
      <c r="J110" s="8"/>
      <c r="K110" s="113"/>
      <c r="L110" s="8"/>
      <c r="M110" s="113"/>
      <c r="N110" s="49"/>
      <c r="O110" s="113"/>
      <c r="P110" s="49"/>
      <c r="Q110" s="113"/>
      <c r="R110" s="49"/>
      <c r="S110" s="113"/>
      <c r="T110" s="49"/>
      <c r="U110" s="113">
        <f>U12</f>
        <v>98525277.590000004</v>
      </c>
      <c r="V110" s="48"/>
      <c r="W110" s="113">
        <f>W12</f>
        <v>62992566.529999994</v>
      </c>
      <c r="X110" s="92"/>
      <c r="Z110" s="38"/>
      <c r="AB110" s="38"/>
      <c r="AD110" s="38"/>
      <c r="AE110" s="38"/>
      <c r="AF110" s="92"/>
    </row>
    <row r="111" spans="1:34" s="17" customFormat="1" x14ac:dyDescent="0.2">
      <c r="A111" s="57"/>
      <c r="C111" s="50" t="s">
        <v>16</v>
      </c>
      <c r="D111" s="10"/>
      <c r="E111" s="3"/>
      <c r="I111" s="1"/>
      <c r="J111" s="4"/>
      <c r="K111" s="1"/>
      <c r="L111" s="4"/>
      <c r="M111" s="1"/>
      <c r="N111" s="1"/>
      <c r="O111" s="1"/>
      <c r="P111" s="1"/>
      <c r="Q111" s="1"/>
      <c r="R111" s="1"/>
      <c r="S111" s="1"/>
      <c r="T111" s="1"/>
      <c r="U111" s="1"/>
      <c r="V111" s="48"/>
      <c r="W111" s="18"/>
      <c r="X111" s="92"/>
      <c r="Z111" s="38"/>
      <c r="AB111" s="38"/>
      <c r="AD111" s="38"/>
      <c r="AE111" s="38"/>
      <c r="AF111" s="92"/>
    </row>
    <row r="112" spans="1:34" s="17" customFormat="1" x14ac:dyDescent="0.2">
      <c r="A112" s="57"/>
      <c r="I112" s="58"/>
      <c r="M112" s="94"/>
      <c r="N112" s="92"/>
      <c r="P112" s="92"/>
      <c r="R112" s="92"/>
      <c r="T112" s="92"/>
      <c r="V112" s="48"/>
      <c r="W112" s="5"/>
      <c r="X112" s="92"/>
      <c r="Z112" s="38"/>
      <c r="AB112" s="38"/>
      <c r="AD112" s="38"/>
      <c r="AE112" s="38"/>
      <c r="AF112" s="92"/>
    </row>
    <row r="113" spans="1:58" s="17" customFormat="1" x14ac:dyDescent="0.2">
      <c r="A113" s="57"/>
      <c r="C113" s="2" t="s">
        <v>2</v>
      </c>
      <c r="D113" s="10"/>
      <c r="E113" s="14" t="s">
        <v>6</v>
      </c>
      <c r="F113" s="97"/>
      <c r="G113" s="102">
        <f>SUM(I113:BC113)</f>
        <v>1</v>
      </c>
      <c r="I113" s="102">
        <f>1-SUM(K113:BC113)</f>
        <v>0.10739999999999994</v>
      </c>
      <c r="J113" s="103"/>
      <c r="K113" s="102"/>
      <c r="L113" s="103"/>
      <c r="M113" s="102"/>
      <c r="N113" s="104"/>
      <c r="O113" s="102"/>
      <c r="P113" s="104"/>
      <c r="Q113" s="102"/>
      <c r="R113" s="104"/>
      <c r="S113" s="102"/>
      <c r="T113" s="104"/>
      <c r="U113" s="102">
        <f>ROUND(U108/$G$108,4)</f>
        <v>0.61980000000000002</v>
      </c>
      <c r="V113" s="48"/>
      <c r="W113" s="102">
        <f>ROUND(W108/$G$108,4)</f>
        <v>0.27279999999999999</v>
      </c>
      <c r="X113" s="92"/>
      <c r="Y113" s="105"/>
      <c r="Z113" s="106"/>
      <c r="AA113" s="105"/>
      <c r="AB113" s="106"/>
      <c r="AC113" s="105"/>
      <c r="AD113" s="106"/>
      <c r="AE113" s="106"/>
      <c r="AF113" s="92"/>
    </row>
    <row r="114" spans="1:58" s="17" customFormat="1" x14ac:dyDescent="0.2">
      <c r="A114" s="57"/>
      <c r="C114" s="3" t="s">
        <v>4</v>
      </c>
      <c r="D114" s="10"/>
      <c r="E114" s="14" t="s">
        <v>6</v>
      </c>
      <c r="F114" s="97"/>
      <c r="G114" s="102" t="e">
        <f>SUM(I114:BC114)</f>
        <v>#REF!</v>
      </c>
      <c r="I114" s="102" t="e">
        <f>1-SUM(K114:BC114)</f>
        <v>#REF!</v>
      </c>
      <c r="J114" s="103"/>
      <c r="K114" s="102"/>
      <c r="L114" s="103"/>
      <c r="M114" s="102"/>
      <c r="N114" s="104"/>
      <c r="O114" s="102"/>
      <c r="P114" s="104"/>
      <c r="Q114" s="102"/>
      <c r="R114" s="104"/>
      <c r="S114" s="102"/>
      <c r="T114" s="104"/>
      <c r="U114" s="102" t="e">
        <f>ROUND(U109/$G$109,4)</f>
        <v>#REF!</v>
      </c>
      <c r="V114" s="48"/>
      <c r="W114" s="102" t="e">
        <f>ROUND(W109/$G$109,4)</f>
        <v>#REF!</v>
      </c>
      <c r="X114" s="92"/>
      <c r="Z114" s="38"/>
      <c r="AB114" s="38"/>
      <c r="AD114" s="38"/>
      <c r="AE114" s="38"/>
      <c r="AF114" s="92"/>
    </row>
    <row r="115" spans="1:58" s="17" customFormat="1" x14ac:dyDescent="0.2">
      <c r="A115" s="57"/>
      <c r="C115" s="2" t="s">
        <v>7</v>
      </c>
      <c r="D115" s="10"/>
      <c r="E115" s="14" t="s">
        <v>6</v>
      </c>
      <c r="F115" s="97"/>
      <c r="G115" s="102">
        <f>SUM(I115:BC115)</f>
        <v>1</v>
      </c>
      <c r="I115" s="102">
        <f>1-SUM(K115:BC115)</f>
        <v>0.14410000000000001</v>
      </c>
      <c r="J115" s="103"/>
      <c r="K115" s="102"/>
      <c r="L115" s="103"/>
      <c r="M115" s="102"/>
      <c r="N115" s="104"/>
      <c r="O115" s="102"/>
      <c r="P115" s="104"/>
      <c r="Q115" s="102"/>
      <c r="R115" s="104"/>
      <c r="S115" s="102"/>
      <c r="T115" s="104"/>
      <c r="U115" s="102">
        <f>ROUND(U110/$G$110,4)</f>
        <v>0.52210000000000001</v>
      </c>
      <c r="V115" s="48"/>
      <c r="W115" s="102">
        <f>ROUND(W110/$G$110,4)</f>
        <v>0.33379999999999999</v>
      </c>
      <c r="X115" s="92"/>
      <c r="Z115" s="38"/>
      <c r="AB115" s="38"/>
      <c r="AD115" s="38"/>
      <c r="AE115" s="38"/>
      <c r="AF115" s="92"/>
    </row>
    <row r="116" spans="1:58" s="17" customFormat="1" x14ac:dyDescent="0.2">
      <c r="A116" s="57"/>
      <c r="C116" s="54"/>
      <c r="D116" s="10"/>
      <c r="E116" s="14"/>
      <c r="G116" s="93"/>
      <c r="I116" s="103"/>
      <c r="J116" s="103"/>
      <c r="K116" s="103"/>
      <c r="L116" s="103"/>
      <c r="M116" s="103"/>
      <c r="N116" s="104"/>
      <c r="O116" s="103"/>
      <c r="P116" s="104"/>
      <c r="Q116" s="103"/>
      <c r="R116" s="104"/>
      <c r="S116" s="103"/>
      <c r="T116" s="104"/>
      <c r="U116" s="103"/>
      <c r="V116" s="48"/>
      <c r="W116" s="90"/>
      <c r="X116" s="92"/>
      <c r="Z116" s="38"/>
      <c r="AB116" s="38"/>
      <c r="AD116" s="38"/>
      <c r="AE116" s="38"/>
      <c r="AF116" s="92"/>
    </row>
    <row r="117" spans="1:58" s="17" customFormat="1" x14ac:dyDescent="0.2">
      <c r="A117" s="57"/>
      <c r="C117" s="123" t="str">
        <f>C19</f>
        <v>Total Composite Factor for FY 2013</v>
      </c>
      <c r="D117" s="10"/>
      <c r="E117" s="14" t="s">
        <v>6</v>
      </c>
      <c r="G117" s="102" t="e">
        <f>SUM(I117:BC117)</f>
        <v>#REF!</v>
      </c>
      <c r="I117" s="102" t="e">
        <f>1-SUM(K117:BC117)</f>
        <v>#REF!</v>
      </c>
      <c r="J117" s="103"/>
      <c r="K117" s="102"/>
      <c r="L117" s="103"/>
      <c r="M117" s="102"/>
      <c r="N117" s="104"/>
      <c r="O117" s="102"/>
      <c r="P117" s="104"/>
      <c r="Q117" s="102"/>
      <c r="R117" s="104"/>
      <c r="S117" s="102"/>
      <c r="T117" s="104"/>
      <c r="U117" s="102" t="e">
        <f>ROUND(AVERAGE(U113:U115),4)</f>
        <v>#REF!</v>
      </c>
      <c r="V117" s="111"/>
      <c r="W117" s="102" t="e">
        <f>ROUND(AVERAGE(W113:W115),4)</f>
        <v>#REF!</v>
      </c>
      <c r="X117" s="92"/>
      <c r="Z117" s="38"/>
      <c r="AB117" s="38"/>
      <c r="AD117" s="38"/>
      <c r="AE117" s="38"/>
      <c r="AF117" s="92"/>
    </row>
    <row r="118" spans="1:58" s="17" customFormat="1" x14ac:dyDescent="0.2">
      <c r="A118" s="57"/>
      <c r="C118" s="54"/>
      <c r="D118" s="10"/>
      <c r="E118" s="14"/>
      <c r="I118" s="59"/>
      <c r="N118" s="92"/>
      <c r="O118" s="93"/>
      <c r="P118" s="92"/>
      <c r="R118" s="92"/>
      <c r="T118" s="92"/>
      <c r="V118" s="92"/>
      <c r="X118" s="92"/>
      <c r="Z118" s="38"/>
      <c r="AB118" s="38"/>
      <c r="AD118" s="38"/>
      <c r="AE118" s="38"/>
      <c r="AF118" s="92"/>
    </row>
    <row r="121" spans="1:58" s="6" customFormat="1" x14ac:dyDescent="0.2">
      <c r="A121" s="43"/>
      <c r="C121" s="136" t="s">
        <v>107</v>
      </c>
      <c r="I121" s="82"/>
      <c r="N121" s="20"/>
      <c r="P121" s="20"/>
      <c r="R121" s="20"/>
      <c r="T121" s="20"/>
      <c r="V121" s="20"/>
      <c r="X121" s="20"/>
      <c r="AF121" s="20"/>
    </row>
    <row r="122" spans="1:58" s="6" customFormat="1" ht="25.5" x14ac:dyDescent="0.2">
      <c r="A122" s="45"/>
      <c r="B122" s="46"/>
      <c r="C122" s="47"/>
      <c r="E122" s="20"/>
      <c r="G122" s="7" t="s">
        <v>1</v>
      </c>
      <c r="I122" s="83" t="s">
        <v>13</v>
      </c>
      <c r="K122" s="7" t="s">
        <v>10</v>
      </c>
      <c r="M122" s="7" t="s">
        <v>11</v>
      </c>
      <c r="N122" s="20"/>
      <c r="O122" s="7" t="s">
        <v>12</v>
      </c>
      <c r="P122" s="20"/>
      <c r="Q122" s="112" t="s">
        <v>83</v>
      </c>
      <c r="R122" s="20"/>
      <c r="S122" s="7" t="s">
        <v>82</v>
      </c>
      <c r="T122" s="20"/>
      <c r="U122" s="7" t="s">
        <v>14</v>
      </c>
      <c r="V122" s="20"/>
      <c r="W122" s="139"/>
      <c r="X122" s="20"/>
      <c r="Y122" s="20"/>
      <c r="Z122" s="20"/>
      <c r="AA122" s="139"/>
      <c r="AB122" s="139"/>
      <c r="AC122" s="139"/>
      <c r="AD122" s="20"/>
      <c r="AE122" s="139"/>
      <c r="AF122" s="20"/>
      <c r="AG122" s="139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</row>
    <row r="123" spans="1:58" x14ac:dyDescent="0.2">
      <c r="G123" s="48"/>
      <c r="H123" s="48"/>
      <c r="I123" s="49"/>
      <c r="W123" s="48"/>
      <c r="Y123" s="48"/>
      <c r="Z123" s="117"/>
      <c r="AA123" s="48"/>
      <c r="AB123" s="117"/>
      <c r="AC123" s="48"/>
      <c r="AD123" s="117"/>
      <c r="AE123" s="117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  <c r="BF123" s="48"/>
    </row>
    <row r="124" spans="1:58" s="3" customFormat="1" x14ac:dyDescent="0.2">
      <c r="A124" s="19"/>
      <c r="C124" s="2" t="s">
        <v>2</v>
      </c>
      <c r="D124" s="10"/>
      <c r="E124" s="3" t="s">
        <v>3</v>
      </c>
      <c r="G124" s="84">
        <f>SUM(I124:BC124)</f>
        <v>3413560481.1199999</v>
      </c>
      <c r="H124" s="49"/>
      <c r="I124" s="113">
        <f>I10</f>
        <v>503797716.75</v>
      </c>
      <c r="J124" s="8"/>
      <c r="K124" s="113"/>
      <c r="L124" s="8"/>
      <c r="M124" s="113"/>
      <c r="N124" s="49"/>
      <c r="O124" s="113"/>
      <c r="P124" s="49"/>
      <c r="Q124" s="113"/>
      <c r="R124" s="49"/>
      <c r="S124" s="113"/>
      <c r="T124" s="49"/>
      <c r="U124" s="113">
        <f>U10</f>
        <v>2909762764.3699999</v>
      </c>
      <c r="V124" s="49"/>
      <c r="W124" s="49"/>
      <c r="X124" s="49"/>
      <c r="Y124" s="49"/>
      <c r="Z124" s="49"/>
      <c r="AA124" s="49"/>
      <c r="AB124" s="49"/>
      <c r="AC124" s="49"/>
      <c r="AD124" s="49"/>
      <c r="AE124" s="49"/>
      <c r="AF124" s="49"/>
      <c r="AG124" s="49"/>
      <c r="AH124" s="1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</row>
    <row r="125" spans="1:58" s="3" customFormat="1" x14ac:dyDescent="0.2">
      <c r="A125" s="19"/>
      <c r="C125" s="3" t="s">
        <v>4</v>
      </c>
      <c r="D125" s="10"/>
      <c r="E125" s="3" t="s">
        <v>5</v>
      </c>
      <c r="G125" s="85" t="e">
        <f>SUM(I125:BC125)</f>
        <v>#REF!</v>
      </c>
      <c r="H125" s="49"/>
      <c r="I125" s="114" t="e">
        <f>I11</f>
        <v>#REF!</v>
      </c>
      <c r="J125" s="8"/>
      <c r="K125" s="113"/>
      <c r="L125" s="8"/>
      <c r="M125" s="113"/>
      <c r="N125" s="49"/>
      <c r="O125" s="113"/>
      <c r="P125" s="49"/>
      <c r="Q125" s="113"/>
      <c r="R125" s="49"/>
      <c r="S125" s="113"/>
      <c r="T125" s="49"/>
      <c r="U125" s="113" t="e">
        <f>U11</f>
        <v>#REF!</v>
      </c>
      <c r="V125" s="49"/>
      <c r="W125" s="49"/>
      <c r="X125" s="49"/>
      <c r="Y125" s="49"/>
      <c r="Z125" s="49"/>
      <c r="AA125" s="49"/>
      <c r="AB125" s="49"/>
      <c r="AC125" s="49"/>
      <c r="AD125" s="49"/>
      <c r="AE125" s="49"/>
      <c r="AF125" s="49"/>
      <c r="AG125" s="49"/>
      <c r="AH125" s="1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</row>
    <row r="126" spans="1:58" s="3" customFormat="1" x14ac:dyDescent="0.2">
      <c r="A126" s="19"/>
      <c r="C126" s="2" t="s">
        <v>15</v>
      </c>
      <c r="D126" s="10"/>
      <c r="E126" s="3" t="s">
        <v>3</v>
      </c>
      <c r="G126" s="84">
        <f>SUM(I126:BC126)</f>
        <v>125731530.86</v>
      </c>
      <c r="H126" s="49"/>
      <c r="I126" s="114">
        <f>I12</f>
        <v>27206253.27</v>
      </c>
      <c r="J126" s="8"/>
      <c r="K126" s="113"/>
      <c r="L126" s="8"/>
      <c r="M126" s="114"/>
      <c r="N126" s="49"/>
      <c r="O126" s="114"/>
      <c r="P126" s="49"/>
      <c r="Q126" s="113"/>
      <c r="R126" s="49"/>
      <c r="S126" s="113"/>
      <c r="T126" s="49"/>
      <c r="U126" s="113">
        <f>U12</f>
        <v>98525277.590000004</v>
      </c>
      <c r="V126" s="49"/>
      <c r="W126" s="49"/>
      <c r="X126" s="49"/>
      <c r="Y126" s="49"/>
      <c r="Z126" s="49"/>
      <c r="AA126" s="49"/>
      <c r="AB126" s="49"/>
      <c r="AC126" s="49"/>
      <c r="AD126" s="49"/>
      <c r="AE126" s="49"/>
      <c r="AF126" s="49"/>
      <c r="AG126" s="49"/>
      <c r="AH126" s="1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</row>
    <row r="127" spans="1:58" s="3" customFormat="1" x14ac:dyDescent="0.2">
      <c r="A127" s="19"/>
      <c r="C127" s="50" t="s">
        <v>16</v>
      </c>
      <c r="D127" s="10"/>
      <c r="G127" s="51"/>
      <c r="H127" s="8"/>
      <c r="I127" s="1"/>
      <c r="J127" s="4"/>
      <c r="K127" s="1"/>
      <c r="L127" s="4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8"/>
      <c r="X127" s="1"/>
      <c r="Y127" s="18"/>
      <c r="Z127" s="96"/>
      <c r="AA127" s="1"/>
      <c r="AB127" s="96"/>
      <c r="AC127" s="1"/>
      <c r="AD127" s="96"/>
      <c r="AE127" s="18"/>
      <c r="AF127" s="1"/>
      <c r="AG127" s="18"/>
      <c r="AH127" s="1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</row>
    <row r="128" spans="1:58" x14ac:dyDescent="0.2">
      <c r="A128" s="52" t="s">
        <v>9</v>
      </c>
      <c r="B128" s="47"/>
      <c r="D128" s="10"/>
      <c r="G128" s="53"/>
      <c r="I128" s="110"/>
      <c r="W128" s="48"/>
      <c r="Y128" s="48"/>
      <c r="Z128" s="117"/>
      <c r="AA128" s="53"/>
      <c r="AB128" s="117"/>
      <c r="AC128" s="48"/>
      <c r="AD128" s="117"/>
      <c r="AE128" s="117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  <c r="BF128" s="48"/>
    </row>
    <row r="129" spans="1:58" s="14" customFormat="1" x14ac:dyDescent="0.2">
      <c r="A129" s="19"/>
      <c r="C129" s="2" t="s">
        <v>2</v>
      </c>
      <c r="D129" s="10"/>
      <c r="E129" s="14" t="s">
        <v>6</v>
      </c>
      <c r="G129" s="86">
        <f>SUM(I129:BC129)</f>
        <v>1</v>
      </c>
      <c r="H129" s="87"/>
      <c r="I129" s="88">
        <f>1-SUM(K129:BC129)</f>
        <v>0.14759999999999995</v>
      </c>
      <c r="J129" s="87"/>
      <c r="K129" s="86">
        <f>ROUND(K124/$G$10,4)</f>
        <v>0</v>
      </c>
      <c r="L129" s="87"/>
      <c r="M129" s="86">
        <f>ROUND(M124/$G124,4)</f>
        <v>0</v>
      </c>
      <c r="N129" s="90"/>
      <c r="O129" s="86">
        <f>ROUND(O124/$G124,4)</f>
        <v>0</v>
      </c>
      <c r="P129" s="90"/>
      <c r="Q129" s="86">
        <f>ROUND(Q124/$G124,4)</f>
        <v>0</v>
      </c>
      <c r="R129" s="90"/>
      <c r="S129" s="86">
        <f>ROUND(S124/$G124,4)</f>
        <v>0</v>
      </c>
      <c r="T129" s="90"/>
      <c r="U129" s="86">
        <f>ROUND(U124/$G124,4)</f>
        <v>0.85240000000000005</v>
      </c>
      <c r="V129" s="90"/>
      <c r="W129" s="90"/>
      <c r="X129" s="90"/>
      <c r="Y129" s="90"/>
      <c r="Z129" s="16"/>
      <c r="AA129" s="90"/>
      <c r="AB129" s="16"/>
      <c r="AC129" s="90"/>
      <c r="AD129" s="16"/>
      <c r="AE129" s="90"/>
      <c r="AF129" s="90"/>
      <c r="AG129" s="90"/>
      <c r="AH129" s="15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</row>
    <row r="130" spans="1:58" s="14" customFormat="1" x14ac:dyDescent="0.2">
      <c r="A130" s="19"/>
      <c r="C130" s="3" t="s">
        <v>4</v>
      </c>
      <c r="D130" s="10"/>
      <c r="E130" s="14" t="s">
        <v>6</v>
      </c>
      <c r="G130" s="89" t="e">
        <f>SUM(I130:BC130)</f>
        <v>#REF!</v>
      </c>
      <c r="H130" s="87"/>
      <c r="I130" s="88" t="e">
        <f>1-SUM(K130:BC130)</f>
        <v>#REF!</v>
      </c>
      <c r="J130" s="87"/>
      <c r="K130" s="86" t="e">
        <f>ROUND(K125/$G$11,4)</f>
        <v>#REF!</v>
      </c>
      <c r="L130" s="87"/>
      <c r="M130" s="86" t="e">
        <f>ROUND(M125/$G125,4)</f>
        <v>#REF!</v>
      </c>
      <c r="N130" s="90"/>
      <c r="O130" s="86" t="e">
        <f>ROUND(O125/$G125,4)</f>
        <v>#REF!</v>
      </c>
      <c r="P130" s="90"/>
      <c r="Q130" s="86" t="e">
        <f>ROUND(Q125/$G125,4)</f>
        <v>#REF!</v>
      </c>
      <c r="R130" s="90"/>
      <c r="S130" s="86" t="e">
        <f>ROUND(S125/$G125,4)</f>
        <v>#REF!</v>
      </c>
      <c r="T130" s="90"/>
      <c r="U130" s="86" t="e">
        <f>ROUND(U125/$G125,4)</f>
        <v>#REF!</v>
      </c>
      <c r="V130" s="90"/>
      <c r="W130" s="90"/>
      <c r="X130" s="90"/>
      <c r="Y130" s="90"/>
      <c r="Z130" s="16"/>
      <c r="AA130" s="90"/>
      <c r="AB130" s="16"/>
      <c r="AC130" s="90"/>
      <c r="AD130" s="16"/>
      <c r="AE130" s="90"/>
      <c r="AF130" s="90"/>
      <c r="AG130" s="90"/>
      <c r="AH130" s="15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  <c r="BF130" s="16"/>
    </row>
    <row r="131" spans="1:58" s="14" customFormat="1" x14ac:dyDescent="0.2">
      <c r="A131" s="19"/>
      <c r="C131" s="2" t="s">
        <v>7</v>
      </c>
      <c r="D131" s="10"/>
      <c r="E131" s="14" t="s">
        <v>6</v>
      </c>
      <c r="G131" s="89">
        <f>SUM(I131:BC131)</f>
        <v>1</v>
      </c>
      <c r="H131" s="87"/>
      <c r="I131" s="88">
        <f>1-SUM(K131:BC131)</f>
        <v>0.21640000000000004</v>
      </c>
      <c r="J131" s="87"/>
      <c r="K131" s="86">
        <f>ROUND(K126/$G126,4)</f>
        <v>0</v>
      </c>
      <c r="L131" s="87"/>
      <c r="M131" s="86">
        <f>ROUND(M126/$G126,4)</f>
        <v>0</v>
      </c>
      <c r="N131" s="90"/>
      <c r="O131" s="86">
        <f>ROUND(O126/$G126,4)</f>
        <v>0</v>
      </c>
      <c r="P131" s="90"/>
      <c r="Q131" s="86">
        <f>ROUND(Q126/$G126,4)</f>
        <v>0</v>
      </c>
      <c r="R131" s="90"/>
      <c r="S131" s="86">
        <f>ROUND(S126/$G126,4)</f>
        <v>0</v>
      </c>
      <c r="T131" s="90"/>
      <c r="U131" s="86">
        <f>ROUND(U126/$G126,4)</f>
        <v>0.78359999999999996</v>
      </c>
      <c r="V131" s="90"/>
      <c r="W131" s="90"/>
      <c r="X131" s="90"/>
      <c r="Y131" s="90"/>
      <c r="Z131" s="16"/>
      <c r="AA131" s="90"/>
      <c r="AB131" s="16"/>
      <c r="AC131" s="90"/>
      <c r="AD131" s="16"/>
      <c r="AE131" s="90"/>
      <c r="AF131" s="90"/>
      <c r="AG131" s="90"/>
      <c r="AH131" s="15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</row>
    <row r="132" spans="1:58" s="14" customFormat="1" x14ac:dyDescent="0.2">
      <c r="A132" s="19"/>
      <c r="C132" s="54"/>
      <c r="D132" s="10"/>
      <c r="G132" s="90"/>
      <c r="H132" s="90"/>
      <c r="I132" s="91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16"/>
      <c r="AA132" s="90"/>
      <c r="AB132" s="16"/>
      <c r="AC132" s="90"/>
      <c r="AD132" s="16"/>
      <c r="AE132" s="90"/>
      <c r="AF132" s="90"/>
      <c r="AG132" s="90"/>
      <c r="AH132" s="15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  <c r="BF132" s="16"/>
    </row>
    <row r="133" spans="1:58" s="14" customFormat="1" x14ac:dyDescent="0.2">
      <c r="A133" s="19"/>
      <c r="C133" s="123" t="str">
        <f>C19</f>
        <v>Total Composite Factor for FY 2013</v>
      </c>
      <c r="D133" s="10"/>
      <c r="E133" s="14" t="s">
        <v>6</v>
      </c>
      <c r="G133" s="86" t="e">
        <f>SUM(I133:BC133)</f>
        <v>#REF!</v>
      </c>
      <c r="H133" s="87"/>
      <c r="I133" s="102" t="e">
        <f>1-SUM(K133:BC133)</f>
        <v>#REF!</v>
      </c>
      <c r="J133" s="103"/>
      <c r="K133" s="102" t="e">
        <f>ROUND(AVERAGE(K129:K131),4)</f>
        <v>#REF!</v>
      </c>
      <c r="L133" s="103"/>
      <c r="M133" s="102" t="e">
        <f>ROUND(AVERAGE(M129:M131),4)</f>
        <v>#REF!</v>
      </c>
      <c r="N133" s="104"/>
      <c r="O133" s="102" t="e">
        <f>ROUND(AVERAGE(O129:O131),4)</f>
        <v>#REF!</v>
      </c>
      <c r="P133" s="104"/>
      <c r="Q133" s="102" t="e">
        <f>ROUND(AVERAGE(Q129:Q131),4)</f>
        <v>#REF!</v>
      </c>
      <c r="R133" s="104"/>
      <c r="S133" s="102" t="e">
        <f>ROUND(AVERAGE(S129:S131),4)</f>
        <v>#REF!</v>
      </c>
      <c r="T133" s="104"/>
      <c r="U133" s="102" t="e">
        <f>ROUND(AVERAGE(U129:U131),4)</f>
        <v>#REF!</v>
      </c>
      <c r="V133" s="111"/>
      <c r="W133" s="104"/>
      <c r="X133" s="91"/>
      <c r="Y133" s="104"/>
      <c r="Z133" s="91"/>
      <c r="AA133" s="104"/>
      <c r="AB133" s="91"/>
      <c r="AC133" s="104"/>
      <c r="AD133" s="91"/>
      <c r="AE133" s="104"/>
      <c r="AF133" s="91"/>
      <c r="AG133" s="104"/>
      <c r="AH133" s="15"/>
      <c r="AI133" s="16"/>
      <c r="AJ133" s="16"/>
      <c r="AK133" s="16"/>
      <c r="AL133" s="16"/>
      <c r="AM133" s="16"/>
      <c r="AN133" s="16"/>
      <c r="AO133" s="16"/>
      <c r="AP133" s="16"/>
      <c r="AQ133" s="16"/>
      <c r="AR133" s="16"/>
      <c r="AS133" s="16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  <c r="BF133" s="16"/>
    </row>
    <row r="137" spans="1:58" s="6" customFormat="1" x14ac:dyDescent="0.2">
      <c r="A137" s="43"/>
      <c r="C137" s="136" t="s">
        <v>108</v>
      </c>
      <c r="I137" s="82"/>
      <c r="N137" s="20"/>
      <c r="P137" s="20"/>
      <c r="R137" s="20"/>
      <c r="T137" s="20"/>
      <c r="V137" s="20"/>
      <c r="X137" s="20"/>
      <c r="AF137" s="20"/>
    </row>
    <row r="138" spans="1:58" s="6" customFormat="1" ht="25.5" x14ac:dyDescent="0.2">
      <c r="A138" s="45"/>
      <c r="B138" s="46"/>
      <c r="C138" s="47"/>
      <c r="E138" s="20"/>
      <c r="G138" s="7" t="s">
        <v>1</v>
      </c>
      <c r="I138" s="83" t="s">
        <v>13</v>
      </c>
      <c r="K138" s="7" t="s">
        <v>10</v>
      </c>
      <c r="M138" s="7" t="s">
        <v>11</v>
      </c>
      <c r="N138" s="20"/>
      <c r="O138" s="7" t="s">
        <v>12</v>
      </c>
      <c r="P138" s="20"/>
      <c r="Q138" s="112" t="s">
        <v>83</v>
      </c>
      <c r="R138" s="20"/>
      <c r="S138" s="7" t="s">
        <v>82</v>
      </c>
      <c r="T138" s="20"/>
      <c r="U138" s="7" t="s">
        <v>14</v>
      </c>
      <c r="V138" s="20"/>
      <c r="W138" s="139"/>
      <c r="X138" s="20"/>
      <c r="Y138" s="20"/>
      <c r="Z138" s="20"/>
      <c r="AA138" s="139"/>
      <c r="AB138" s="139"/>
      <c r="AC138" s="139"/>
      <c r="AD138" s="20"/>
      <c r="AE138" s="139"/>
      <c r="AF138" s="20"/>
      <c r="AG138" s="139"/>
      <c r="AH138" s="20"/>
      <c r="AI138" s="20"/>
      <c r="AJ138" s="20"/>
      <c r="AK138" s="20"/>
      <c r="AW138" s="7"/>
    </row>
    <row r="139" spans="1:58" x14ac:dyDescent="0.2">
      <c r="G139" s="48"/>
      <c r="H139" s="48"/>
      <c r="I139" s="49"/>
      <c r="W139" s="48"/>
      <c r="Y139" s="48"/>
      <c r="Z139" s="117"/>
      <c r="AA139" s="48"/>
      <c r="AB139" s="117"/>
      <c r="AC139" s="48"/>
      <c r="AD139" s="117"/>
      <c r="AE139" s="117"/>
      <c r="AG139" s="48"/>
      <c r="AH139" s="48"/>
      <c r="AI139" s="48"/>
      <c r="AJ139" s="48"/>
      <c r="AK139" s="48"/>
    </row>
    <row r="140" spans="1:58" s="3" customFormat="1" x14ac:dyDescent="0.2">
      <c r="A140" s="19"/>
      <c r="C140" s="2" t="s">
        <v>2</v>
      </c>
      <c r="D140" s="10"/>
      <c r="E140" s="3" t="s">
        <v>3</v>
      </c>
      <c r="G140" s="84">
        <f>SUM(I140:BC140)</f>
        <v>6035296572.7199993</v>
      </c>
      <c r="H140" s="49"/>
      <c r="I140" s="113">
        <f>I10</f>
        <v>503797716.75</v>
      </c>
      <c r="J140" s="8"/>
      <c r="K140" s="113">
        <f>K10</f>
        <v>465694921.06</v>
      </c>
      <c r="L140" s="8"/>
      <c r="M140" s="113">
        <f>M10</f>
        <v>178307235.72999999</v>
      </c>
      <c r="N140" s="49"/>
      <c r="O140" s="113">
        <f>O10</f>
        <v>494319819.33999997</v>
      </c>
      <c r="P140" s="49"/>
      <c r="Q140" s="113">
        <f>Q10</f>
        <v>1024397447.76</v>
      </c>
      <c r="R140" s="49"/>
      <c r="S140" s="113">
        <f>S10</f>
        <v>435562796.50999999</v>
      </c>
      <c r="T140" s="49"/>
      <c r="U140" s="113">
        <f>U10</f>
        <v>2909762764.3699999</v>
      </c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1"/>
      <c r="AI140" s="96"/>
      <c r="AJ140" s="96"/>
      <c r="AK140" s="96"/>
      <c r="AW140" s="113">
        <f>AW10</f>
        <v>23453871.199999999</v>
      </c>
    </row>
    <row r="141" spans="1:58" s="3" customFormat="1" x14ac:dyDescent="0.2">
      <c r="A141" s="19"/>
      <c r="C141" s="3" t="s">
        <v>4</v>
      </c>
      <c r="D141" s="10"/>
      <c r="E141" s="3" t="s">
        <v>5</v>
      </c>
      <c r="G141" s="85" t="e">
        <f>SUM(I141:BC141)</f>
        <v>#REF!</v>
      </c>
      <c r="H141" s="49"/>
      <c r="I141" s="114" t="e">
        <f>I11</f>
        <v>#REF!</v>
      </c>
      <c r="J141" s="8"/>
      <c r="K141" s="113">
        <f>K11</f>
        <v>247550.41666666666</v>
      </c>
      <c r="L141" s="8"/>
      <c r="M141" s="113" t="e">
        <f>M11</f>
        <v>#REF!</v>
      </c>
      <c r="N141" s="49"/>
      <c r="O141" s="113" t="e">
        <f>O11</f>
        <v>#REF!</v>
      </c>
      <c r="P141" s="49"/>
      <c r="Q141" s="113">
        <f>Q11</f>
        <v>528545.33333333337</v>
      </c>
      <c r="R141" s="49"/>
      <c r="S141" s="113" t="e">
        <f>S11</f>
        <v>#REF!</v>
      </c>
      <c r="T141" s="49"/>
      <c r="U141" s="113" t="e">
        <f>U11</f>
        <v>#REF!</v>
      </c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1"/>
      <c r="AI141" s="96"/>
      <c r="AJ141" s="96"/>
      <c r="AK141" s="96"/>
      <c r="AW141" s="113">
        <f>AW11</f>
        <v>7</v>
      </c>
    </row>
    <row r="142" spans="1:58" s="3" customFormat="1" x14ac:dyDescent="0.2">
      <c r="A142" s="19"/>
      <c r="C142" s="2" t="s">
        <v>15</v>
      </c>
      <c r="D142" s="10"/>
      <c r="E142" s="3" t="s">
        <v>3</v>
      </c>
      <c r="G142" s="84">
        <f>SUM(I142:BC142)</f>
        <v>264170280.26000002</v>
      </c>
      <c r="H142" s="49"/>
      <c r="I142" s="114">
        <f>I12</f>
        <v>27206253.27</v>
      </c>
      <c r="J142" s="8"/>
      <c r="K142" s="113">
        <f>K12</f>
        <v>23972323.100000001</v>
      </c>
      <c r="L142" s="8"/>
      <c r="M142" s="114">
        <f>M12</f>
        <v>10289510.67</v>
      </c>
      <c r="N142" s="49"/>
      <c r="O142" s="114">
        <f>O12</f>
        <v>22111377.52</v>
      </c>
      <c r="P142" s="49"/>
      <c r="Q142" s="113">
        <f>Q12</f>
        <v>49299476.899999999</v>
      </c>
      <c r="R142" s="49"/>
      <c r="S142" s="113">
        <f>S12</f>
        <v>31477147.5</v>
      </c>
      <c r="T142" s="49"/>
      <c r="U142" s="113">
        <f>U12</f>
        <v>98525277.590000004</v>
      </c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1"/>
      <c r="AI142" s="96"/>
      <c r="AJ142" s="96"/>
      <c r="AK142" s="96"/>
      <c r="AW142" s="113">
        <f>AW12</f>
        <v>1288913.71</v>
      </c>
    </row>
    <row r="143" spans="1:58" s="3" customFormat="1" x14ac:dyDescent="0.2">
      <c r="A143" s="19"/>
      <c r="C143" s="50" t="s">
        <v>16</v>
      </c>
      <c r="D143" s="10"/>
      <c r="G143" s="51"/>
      <c r="H143" s="8"/>
      <c r="I143" s="1"/>
      <c r="J143" s="4"/>
      <c r="K143" s="1"/>
      <c r="L143" s="4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8"/>
      <c r="X143" s="1"/>
      <c r="Y143" s="18"/>
      <c r="Z143" s="96"/>
      <c r="AA143" s="1"/>
      <c r="AB143" s="96"/>
      <c r="AC143" s="1"/>
      <c r="AD143" s="96"/>
      <c r="AE143" s="18"/>
      <c r="AF143" s="1"/>
      <c r="AG143" s="18"/>
      <c r="AH143" s="1"/>
      <c r="AI143" s="96"/>
      <c r="AJ143" s="96"/>
      <c r="AK143" s="96"/>
      <c r="AW143" s="1"/>
    </row>
    <row r="144" spans="1:58" x14ac:dyDescent="0.2">
      <c r="A144" s="52" t="s">
        <v>9</v>
      </c>
      <c r="B144" s="47"/>
      <c r="D144" s="10"/>
      <c r="G144" s="53"/>
      <c r="I144" s="110"/>
      <c r="W144" s="48"/>
      <c r="Y144" s="48"/>
      <c r="Z144" s="117"/>
      <c r="AA144" s="53"/>
      <c r="AB144" s="117"/>
      <c r="AC144" s="48"/>
      <c r="AD144" s="117"/>
      <c r="AE144" s="117"/>
      <c r="AG144" s="48"/>
      <c r="AH144" s="48"/>
      <c r="AI144" s="48"/>
      <c r="AJ144" s="48"/>
      <c r="AK144" s="48"/>
    </row>
    <row r="145" spans="1:66" s="14" customFormat="1" x14ac:dyDescent="0.2">
      <c r="A145" s="19"/>
      <c r="C145" s="2" t="s">
        <v>2</v>
      </c>
      <c r="D145" s="10"/>
      <c r="E145" s="14" t="s">
        <v>6</v>
      </c>
      <c r="G145" s="86">
        <f>SUM(I145:BC145)</f>
        <v>1</v>
      </c>
      <c r="H145" s="87"/>
      <c r="I145" s="88">
        <f>1-SUM(K145:BC145)</f>
        <v>9.770000000000012E-2</v>
      </c>
      <c r="J145" s="87"/>
      <c r="K145" s="86">
        <f>ROUND(K140/$G$10,4)</f>
        <v>6.3E-2</v>
      </c>
      <c r="L145" s="87"/>
      <c r="M145" s="86">
        <f>ROUND(M140/$G140,4)</f>
        <v>2.9499999999999998E-2</v>
      </c>
      <c r="N145" s="90"/>
      <c r="O145" s="86">
        <f>ROUND(O140/$G140,4)</f>
        <v>8.1900000000000001E-2</v>
      </c>
      <c r="P145" s="90"/>
      <c r="Q145" s="86">
        <f>ROUND(Q140/$G140,4)</f>
        <v>0.16969999999999999</v>
      </c>
      <c r="R145" s="90"/>
      <c r="S145" s="86">
        <f>ROUND(S140/$G140,4)</f>
        <v>7.22E-2</v>
      </c>
      <c r="T145" s="90"/>
      <c r="U145" s="86">
        <f>ROUND(U140/$G140,4)</f>
        <v>0.48209999999999997</v>
      </c>
      <c r="V145" s="90"/>
      <c r="W145" s="90"/>
      <c r="X145" s="90"/>
      <c r="Y145" s="90"/>
      <c r="Z145" s="16"/>
      <c r="AA145" s="90"/>
      <c r="AB145" s="16"/>
      <c r="AC145" s="90"/>
      <c r="AD145" s="16"/>
      <c r="AE145" s="90"/>
      <c r="AF145" s="90"/>
      <c r="AG145" s="90"/>
      <c r="AH145" s="15"/>
      <c r="AI145" s="16"/>
      <c r="AJ145" s="16"/>
      <c r="AK145" s="16"/>
      <c r="AW145" s="86">
        <f>ROUND(AW140/$G140,4)</f>
        <v>3.8999999999999998E-3</v>
      </c>
    </row>
    <row r="146" spans="1:66" s="14" customFormat="1" x14ac:dyDescent="0.2">
      <c r="A146" s="19"/>
      <c r="C146" s="3" t="s">
        <v>4</v>
      </c>
      <c r="D146" s="10"/>
      <c r="E146" s="14" t="s">
        <v>6</v>
      </c>
      <c r="G146" s="89" t="e">
        <f>SUM(I146:BC146)</f>
        <v>#REF!</v>
      </c>
      <c r="H146" s="87"/>
      <c r="I146" s="88" t="e">
        <f>1-SUM(K146:BC146)</f>
        <v>#REF!</v>
      </c>
      <c r="J146" s="87"/>
      <c r="K146" s="86" t="e">
        <f>ROUND(K141/$G$11,4)</f>
        <v>#REF!</v>
      </c>
      <c r="L146" s="87"/>
      <c r="M146" s="86" t="e">
        <f>ROUND(M141/$G141,4)</f>
        <v>#REF!</v>
      </c>
      <c r="N146" s="90"/>
      <c r="O146" s="86" t="e">
        <f>ROUND(O141/$G141,4)</f>
        <v>#REF!</v>
      </c>
      <c r="P146" s="90"/>
      <c r="Q146" s="86" t="e">
        <f>ROUND(Q141/$G141,4)</f>
        <v>#REF!</v>
      </c>
      <c r="R146" s="90"/>
      <c r="S146" s="86" t="e">
        <f>ROUND(S141/$G141,4)</f>
        <v>#REF!</v>
      </c>
      <c r="T146" s="90"/>
      <c r="U146" s="86" t="e">
        <f>ROUND(U141/$G141,4)</f>
        <v>#REF!</v>
      </c>
      <c r="V146" s="90"/>
      <c r="W146" s="90"/>
      <c r="X146" s="90"/>
      <c r="Y146" s="90"/>
      <c r="Z146" s="16"/>
      <c r="AA146" s="90"/>
      <c r="AB146" s="16"/>
      <c r="AC146" s="90"/>
      <c r="AD146" s="16"/>
      <c r="AE146" s="90"/>
      <c r="AF146" s="90"/>
      <c r="AG146" s="90"/>
      <c r="AH146" s="15"/>
      <c r="AI146" s="16"/>
      <c r="AJ146" s="16"/>
      <c r="AK146" s="16"/>
      <c r="AW146" s="86" t="e">
        <f>ROUND(AW141/$G141,4)</f>
        <v>#REF!</v>
      </c>
    </row>
    <row r="147" spans="1:66" s="14" customFormat="1" x14ac:dyDescent="0.2">
      <c r="A147" s="19"/>
      <c r="C147" s="2" t="s">
        <v>7</v>
      </c>
      <c r="D147" s="10"/>
      <c r="E147" s="14" t="s">
        <v>6</v>
      </c>
      <c r="G147" s="89">
        <f>SUM(I147:BC147)</f>
        <v>1</v>
      </c>
      <c r="H147" s="87"/>
      <c r="I147" s="88">
        <f>1-SUM(K147:BC147)</f>
        <v>0.10289999999999999</v>
      </c>
      <c r="J147" s="87"/>
      <c r="K147" s="86">
        <f>ROUND(K142/$G142,4)</f>
        <v>9.0700000000000003E-2</v>
      </c>
      <c r="L147" s="87"/>
      <c r="M147" s="86">
        <f>ROUND(M142/$G142,4)</f>
        <v>3.9E-2</v>
      </c>
      <c r="N147" s="90"/>
      <c r="O147" s="86">
        <f>ROUND(O142/$G142,4)</f>
        <v>8.3699999999999997E-2</v>
      </c>
      <c r="P147" s="90"/>
      <c r="Q147" s="86">
        <f>ROUND(Q142/$G142,4)</f>
        <v>0.18659999999999999</v>
      </c>
      <c r="R147" s="90"/>
      <c r="S147" s="86">
        <f>ROUND(S142/$G142,4)</f>
        <v>0.1192</v>
      </c>
      <c r="T147" s="90"/>
      <c r="U147" s="86">
        <f>ROUND(U142/$G142,4)</f>
        <v>0.373</v>
      </c>
      <c r="V147" s="90"/>
      <c r="W147" s="90"/>
      <c r="X147" s="90"/>
      <c r="Y147" s="90"/>
      <c r="Z147" s="16"/>
      <c r="AA147" s="90"/>
      <c r="AB147" s="16"/>
      <c r="AC147" s="90"/>
      <c r="AD147" s="16"/>
      <c r="AE147" s="90"/>
      <c r="AF147" s="90"/>
      <c r="AG147" s="90"/>
      <c r="AH147" s="15"/>
      <c r="AI147" s="16"/>
      <c r="AJ147" s="16"/>
      <c r="AK147" s="16"/>
      <c r="AW147" s="86">
        <f>ROUND(AW142/$G142,4)</f>
        <v>4.8999999999999998E-3</v>
      </c>
    </row>
    <row r="148" spans="1:66" s="14" customFormat="1" x14ac:dyDescent="0.2">
      <c r="A148" s="19"/>
      <c r="C148" s="54"/>
      <c r="D148" s="10"/>
      <c r="G148" s="90"/>
      <c r="H148" s="90"/>
      <c r="I148" s="91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16"/>
      <c r="AA148" s="90"/>
      <c r="AB148" s="16"/>
      <c r="AC148" s="90"/>
      <c r="AD148" s="16"/>
      <c r="AE148" s="90"/>
      <c r="AF148" s="90"/>
      <c r="AG148" s="90"/>
      <c r="AH148" s="15"/>
      <c r="AI148" s="16"/>
      <c r="AJ148" s="16"/>
      <c r="AK148" s="16"/>
      <c r="AW148" s="90"/>
    </row>
    <row r="149" spans="1:66" s="14" customFormat="1" x14ac:dyDescent="0.2">
      <c r="A149" s="19"/>
      <c r="C149" s="123" t="str">
        <f>C19</f>
        <v>Total Composite Factor for FY 2013</v>
      </c>
      <c r="D149" s="10"/>
      <c r="E149" s="14" t="s">
        <v>6</v>
      </c>
      <c r="G149" s="86" t="e">
        <f>SUM(I149:BC149)</f>
        <v>#REF!</v>
      </c>
      <c r="H149" s="87"/>
      <c r="I149" s="102" t="e">
        <f>1-SUM(K149:BC149)</f>
        <v>#REF!</v>
      </c>
      <c r="J149" s="103"/>
      <c r="K149" s="102" t="e">
        <f>ROUND(AVERAGE(K145:K147),4)</f>
        <v>#REF!</v>
      </c>
      <c r="L149" s="103"/>
      <c r="M149" s="102" t="e">
        <f>ROUND(AVERAGE(M145:M147),4)</f>
        <v>#REF!</v>
      </c>
      <c r="N149" s="104"/>
      <c r="O149" s="102" t="e">
        <f>ROUND(AVERAGE(O145:O147),4)</f>
        <v>#REF!</v>
      </c>
      <c r="P149" s="104"/>
      <c r="Q149" s="102" t="e">
        <f>ROUND(AVERAGE(Q145:Q147),4)</f>
        <v>#REF!</v>
      </c>
      <c r="R149" s="104"/>
      <c r="S149" s="102" t="e">
        <f>ROUND(AVERAGE(S145:S147),4)</f>
        <v>#REF!</v>
      </c>
      <c r="T149" s="104"/>
      <c r="U149" s="102" t="e">
        <f>ROUND(AVERAGE(U145:U147),4)</f>
        <v>#REF!</v>
      </c>
      <c r="V149" s="111"/>
      <c r="W149" s="104"/>
      <c r="X149" s="91"/>
      <c r="Y149" s="104"/>
      <c r="Z149" s="91"/>
      <c r="AA149" s="104"/>
      <c r="AB149" s="91"/>
      <c r="AC149" s="104"/>
      <c r="AD149" s="91"/>
      <c r="AE149" s="104"/>
      <c r="AF149" s="91"/>
      <c r="AG149" s="104"/>
      <c r="AH149" s="15"/>
      <c r="AI149" s="16"/>
      <c r="AJ149" s="16"/>
      <c r="AK149" s="16"/>
      <c r="AW149" s="102" t="e">
        <f>ROUND(AVERAGE(AW145:AW147),4)</f>
        <v>#REF!</v>
      </c>
    </row>
    <row r="150" spans="1:66" x14ac:dyDescent="0.2">
      <c r="W150" s="48"/>
      <c r="Y150" s="48"/>
      <c r="Z150" s="117"/>
      <c r="AA150" s="48"/>
      <c r="AB150" s="117"/>
      <c r="AC150" s="48"/>
      <c r="AD150" s="117"/>
      <c r="AE150" s="117"/>
      <c r="AG150" s="48"/>
      <c r="AH150" s="48"/>
      <c r="AI150" s="48"/>
      <c r="AJ150" s="48"/>
      <c r="AK150" s="48"/>
    </row>
    <row r="153" spans="1:66" s="6" customFormat="1" x14ac:dyDescent="0.2">
      <c r="A153" s="43"/>
      <c r="C153" s="136" t="s">
        <v>109</v>
      </c>
      <c r="D153" s="137"/>
      <c r="E153" s="138"/>
      <c r="I153" s="82"/>
      <c r="N153" s="20"/>
      <c r="P153" s="20"/>
      <c r="R153" s="20"/>
      <c r="T153" s="20"/>
      <c r="V153" s="20"/>
      <c r="X153" s="20"/>
      <c r="AF153" s="20"/>
    </row>
    <row r="154" spans="1:66" s="6" customFormat="1" ht="25.5" x14ac:dyDescent="0.2">
      <c r="A154" s="45" t="s">
        <v>8</v>
      </c>
      <c r="B154" s="46"/>
      <c r="C154" s="47"/>
      <c r="E154" s="20"/>
      <c r="G154" s="7" t="s">
        <v>1</v>
      </c>
      <c r="I154" s="83" t="s">
        <v>13</v>
      </c>
      <c r="K154" s="7" t="s">
        <v>10</v>
      </c>
      <c r="M154" s="7" t="s">
        <v>11</v>
      </c>
      <c r="N154" s="20"/>
      <c r="O154" s="7" t="s">
        <v>12</v>
      </c>
      <c r="P154" s="20"/>
      <c r="Q154" s="112" t="s">
        <v>83</v>
      </c>
      <c r="R154" s="20"/>
      <c r="S154" s="7" t="s">
        <v>82</v>
      </c>
      <c r="T154" s="20"/>
      <c r="U154" s="20"/>
      <c r="V154" s="20"/>
      <c r="W154" s="139"/>
      <c r="X154" s="20"/>
      <c r="Y154" s="20"/>
      <c r="Z154" s="20"/>
      <c r="AA154" s="139"/>
      <c r="AB154" s="139"/>
      <c r="AC154" s="139"/>
      <c r="AD154" s="20"/>
      <c r="AE154" s="139"/>
      <c r="AF154" s="20"/>
      <c r="AG154" s="139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</row>
    <row r="155" spans="1:66" x14ac:dyDescent="0.2">
      <c r="G155" s="48"/>
      <c r="H155" s="48"/>
      <c r="I155" s="49"/>
      <c r="U155" s="48"/>
      <c r="W155" s="48"/>
      <c r="Y155" s="48"/>
      <c r="Z155" s="117"/>
      <c r="AA155" s="48"/>
      <c r="AB155" s="117"/>
      <c r="AC155" s="48"/>
      <c r="AD155" s="117"/>
      <c r="AE155" s="117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  <c r="BF155" s="48"/>
      <c r="BG155" s="48"/>
      <c r="BH155" s="48"/>
      <c r="BI155" s="48"/>
      <c r="BJ155" s="48"/>
      <c r="BK155" s="48"/>
      <c r="BL155" s="48"/>
      <c r="BM155" s="48"/>
      <c r="BN155" s="48"/>
    </row>
    <row r="156" spans="1:66" s="3" customFormat="1" x14ac:dyDescent="0.2">
      <c r="A156" s="19"/>
      <c r="C156" s="2" t="s">
        <v>2</v>
      </c>
      <c r="D156" s="10"/>
      <c r="E156" s="3" t="s">
        <v>3</v>
      </c>
      <c r="G156" s="84">
        <f>SUM(I156:BC156)</f>
        <v>1573884772.6399999</v>
      </c>
      <c r="H156" s="49"/>
      <c r="I156" s="113"/>
      <c r="J156" s="8"/>
      <c r="K156" s="113">
        <f>K10</f>
        <v>465694921.06</v>
      </c>
      <c r="L156" s="8"/>
      <c r="M156" s="113">
        <f>M10</f>
        <v>178307235.72999999</v>
      </c>
      <c r="N156" s="49"/>
      <c r="O156" s="113">
        <f>O10</f>
        <v>494319819.33999997</v>
      </c>
      <c r="P156" s="49"/>
      <c r="Q156" s="113"/>
      <c r="R156" s="49"/>
      <c r="S156" s="113">
        <f>S10</f>
        <v>435562796.50999999</v>
      </c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1"/>
      <c r="AI156" s="96"/>
      <c r="AJ156" s="96"/>
      <c r="AK156" s="96"/>
      <c r="AL156" s="96"/>
      <c r="AM156" s="96"/>
      <c r="AN156" s="96"/>
      <c r="AO156" s="96"/>
      <c r="AP156" s="96"/>
      <c r="AQ156" s="96"/>
      <c r="AR156" s="96"/>
      <c r="AS156" s="96"/>
      <c r="AT156" s="96"/>
      <c r="AU156" s="96"/>
      <c r="AV156" s="96"/>
      <c r="AW156" s="96"/>
      <c r="AX156" s="96"/>
      <c r="AY156" s="96"/>
      <c r="AZ156" s="96"/>
      <c r="BA156" s="96"/>
      <c r="BB156" s="96"/>
      <c r="BC156" s="96"/>
      <c r="BD156" s="96"/>
      <c r="BE156" s="96"/>
      <c r="BF156" s="96"/>
      <c r="BG156" s="96"/>
      <c r="BH156" s="96"/>
      <c r="BI156" s="96"/>
      <c r="BJ156" s="96"/>
      <c r="BK156" s="96"/>
      <c r="BL156" s="96"/>
      <c r="BM156" s="96"/>
      <c r="BN156" s="96"/>
    </row>
    <row r="157" spans="1:66" s="3" customFormat="1" x14ac:dyDescent="0.2">
      <c r="A157" s="19"/>
      <c r="C157" s="3" t="s">
        <v>4</v>
      </c>
      <c r="D157" s="10"/>
      <c r="E157" s="3" t="s">
        <v>5</v>
      </c>
      <c r="G157" s="85" t="e">
        <f>SUM(I157:BC157)</f>
        <v>#REF!</v>
      </c>
      <c r="H157" s="49"/>
      <c r="I157" s="114"/>
      <c r="J157" s="8"/>
      <c r="K157" s="113">
        <f>K11</f>
        <v>247550.41666666666</v>
      </c>
      <c r="L157" s="8"/>
      <c r="M157" s="113" t="e">
        <f>M11</f>
        <v>#REF!</v>
      </c>
      <c r="N157" s="49"/>
      <c r="O157" s="113" t="e">
        <f>O11</f>
        <v>#REF!</v>
      </c>
      <c r="P157" s="49"/>
      <c r="Q157" s="113"/>
      <c r="R157" s="49"/>
      <c r="S157" s="113" t="e">
        <f>S11</f>
        <v>#REF!</v>
      </c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1"/>
      <c r="AI157" s="96"/>
      <c r="AJ157" s="96"/>
      <c r="AK157" s="96"/>
      <c r="AL157" s="96"/>
      <c r="AM157" s="96"/>
      <c r="AN157" s="96"/>
      <c r="AO157" s="96"/>
      <c r="AP157" s="96"/>
      <c r="AQ157" s="96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96"/>
      <c r="BD157" s="96"/>
      <c r="BE157" s="96"/>
      <c r="BF157" s="96"/>
      <c r="BG157" s="96"/>
      <c r="BH157" s="96"/>
      <c r="BI157" s="96"/>
      <c r="BJ157" s="96"/>
      <c r="BK157" s="96"/>
      <c r="BL157" s="96"/>
      <c r="BM157" s="96"/>
      <c r="BN157" s="96"/>
    </row>
    <row r="158" spans="1:66" s="3" customFormat="1" x14ac:dyDescent="0.2">
      <c r="A158" s="19"/>
      <c r="C158" s="2" t="s">
        <v>15</v>
      </c>
      <c r="D158" s="10"/>
      <c r="E158" s="3" t="s">
        <v>3</v>
      </c>
      <c r="G158" s="84">
        <f>SUM(I158:BC158)</f>
        <v>87850358.790000007</v>
      </c>
      <c r="H158" s="49"/>
      <c r="I158" s="114"/>
      <c r="J158" s="8"/>
      <c r="K158" s="113">
        <f>K12</f>
        <v>23972323.100000001</v>
      </c>
      <c r="L158" s="8"/>
      <c r="M158" s="114">
        <f>M12</f>
        <v>10289510.67</v>
      </c>
      <c r="N158" s="49"/>
      <c r="O158" s="114">
        <f>O12</f>
        <v>22111377.52</v>
      </c>
      <c r="P158" s="49"/>
      <c r="Q158" s="113"/>
      <c r="R158" s="49"/>
      <c r="S158" s="113">
        <f>S12</f>
        <v>31477147.5</v>
      </c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1"/>
      <c r="AI158" s="96"/>
      <c r="AJ158" s="96"/>
      <c r="AK158" s="96"/>
      <c r="AL158" s="96"/>
      <c r="AM158" s="96"/>
      <c r="AN158" s="96"/>
      <c r="AO158" s="96"/>
      <c r="AP158" s="96"/>
      <c r="AQ158" s="96"/>
      <c r="AR158" s="96"/>
      <c r="AS158" s="96"/>
      <c r="AT158" s="96"/>
      <c r="AU158" s="96"/>
      <c r="AV158" s="96"/>
      <c r="AW158" s="96"/>
      <c r="AX158" s="96"/>
      <c r="AY158" s="96"/>
      <c r="AZ158" s="96"/>
      <c r="BA158" s="96"/>
      <c r="BB158" s="96"/>
      <c r="BC158" s="96"/>
      <c r="BD158" s="96"/>
      <c r="BE158" s="96"/>
      <c r="BF158" s="96"/>
      <c r="BG158" s="96"/>
      <c r="BH158" s="96"/>
      <c r="BI158" s="96"/>
      <c r="BJ158" s="96"/>
      <c r="BK158" s="96"/>
      <c r="BL158" s="96"/>
      <c r="BM158" s="96"/>
      <c r="BN158" s="96"/>
    </row>
    <row r="159" spans="1:66" s="3" customFormat="1" x14ac:dyDescent="0.2">
      <c r="A159" s="19"/>
      <c r="C159" s="50" t="s">
        <v>16</v>
      </c>
      <c r="D159" s="10"/>
      <c r="G159" s="51"/>
      <c r="H159" s="8"/>
      <c r="I159" s="1"/>
      <c r="J159" s="4"/>
      <c r="K159" s="1"/>
      <c r="L159" s="4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8"/>
      <c r="X159" s="1"/>
      <c r="Y159" s="18"/>
      <c r="Z159" s="96"/>
      <c r="AA159" s="1"/>
      <c r="AB159" s="96"/>
      <c r="AC159" s="1"/>
      <c r="AD159" s="96"/>
      <c r="AE159" s="18"/>
      <c r="AF159" s="1"/>
      <c r="AG159" s="18"/>
      <c r="AH159" s="1"/>
      <c r="AI159" s="96"/>
      <c r="AJ159" s="96"/>
      <c r="AK159" s="96"/>
      <c r="AL159" s="96"/>
      <c r="AM159" s="96"/>
      <c r="AN159" s="96"/>
      <c r="AO159" s="96"/>
      <c r="AP159" s="96"/>
      <c r="AQ159" s="96"/>
      <c r="AR159" s="96"/>
      <c r="AS159" s="96"/>
      <c r="AT159" s="96"/>
      <c r="AU159" s="96"/>
      <c r="AV159" s="96"/>
      <c r="AW159" s="96"/>
      <c r="AX159" s="96"/>
      <c r="AY159" s="96"/>
      <c r="AZ159" s="96"/>
      <c r="BA159" s="96"/>
      <c r="BB159" s="96"/>
      <c r="BC159" s="96"/>
      <c r="BD159" s="96"/>
      <c r="BE159" s="96"/>
      <c r="BF159" s="96"/>
      <c r="BG159" s="96"/>
      <c r="BH159" s="96"/>
      <c r="BI159" s="96"/>
      <c r="BJ159" s="96"/>
      <c r="BK159" s="96"/>
      <c r="BL159" s="96"/>
      <c r="BM159" s="96"/>
      <c r="BN159" s="96"/>
    </row>
    <row r="160" spans="1:66" x14ac:dyDescent="0.2">
      <c r="A160" s="52" t="s">
        <v>9</v>
      </c>
      <c r="B160" s="47"/>
      <c r="D160" s="10"/>
      <c r="G160" s="53"/>
      <c r="I160" s="110"/>
      <c r="U160" s="48"/>
      <c r="W160" s="48"/>
      <c r="Y160" s="48"/>
      <c r="Z160" s="117"/>
      <c r="AA160" s="53"/>
      <c r="AB160" s="117"/>
      <c r="AC160" s="48"/>
      <c r="AD160" s="117"/>
      <c r="AE160" s="117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  <c r="BF160" s="48"/>
      <c r="BG160" s="48"/>
      <c r="BH160" s="48"/>
      <c r="BI160" s="48"/>
      <c r="BJ160" s="48"/>
      <c r="BK160" s="48"/>
      <c r="BL160" s="48"/>
      <c r="BM160" s="48"/>
      <c r="BN160" s="48"/>
    </row>
    <row r="161" spans="1:66" s="14" customFormat="1" x14ac:dyDescent="0.2">
      <c r="A161" s="19"/>
      <c r="C161" s="2" t="s">
        <v>2</v>
      </c>
      <c r="D161" s="10"/>
      <c r="E161" s="14" t="s">
        <v>6</v>
      </c>
      <c r="G161" s="86">
        <f>SUM(I161:BC161)</f>
        <v>1</v>
      </c>
      <c r="H161" s="87"/>
      <c r="I161" s="86">
        <f>ROUND(I156/$G156,4)</f>
        <v>0</v>
      </c>
      <c r="J161" s="87"/>
      <c r="K161" s="86">
        <f>1-SUM(M161:BC161)</f>
        <v>0.29590000000000005</v>
      </c>
      <c r="L161" s="87"/>
      <c r="M161" s="86">
        <f>ROUND(M156/$G156,4)</f>
        <v>0.1133</v>
      </c>
      <c r="N161" s="90"/>
      <c r="O161" s="86">
        <f>ROUND(O156/$G156,4)</f>
        <v>0.31409999999999999</v>
      </c>
      <c r="P161" s="90"/>
      <c r="Q161" s="86">
        <f>ROUND(Q156/$G156,4)</f>
        <v>0</v>
      </c>
      <c r="R161" s="90"/>
      <c r="S161" s="86">
        <f>ROUND(S156/$G156,4)</f>
        <v>0.2767</v>
      </c>
      <c r="T161" s="90"/>
      <c r="U161" s="90"/>
      <c r="V161" s="90"/>
      <c r="W161" s="90"/>
      <c r="X161" s="90"/>
      <c r="Y161" s="90"/>
      <c r="Z161" s="16"/>
      <c r="AA161" s="90"/>
      <c r="AB161" s="16"/>
      <c r="AC161" s="90"/>
      <c r="AD161" s="16"/>
      <c r="AE161" s="90"/>
      <c r="AF161" s="90"/>
      <c r="AG161" s="90"/>
      <c r="AH161" s="15"/>
      <c r="AI161" s="16"/>
      <c r="AJ161" s="16"/>
      <c r="AK161" s="16"/>
      <c r="AL161" s="16"/>
      <c r="AM161" s="16"/>
      <c r="AN161" s="16"/>
      <c r="AO161" s="16"/>
      <c r="AP161" s="16"/>
      <c r="AQ161" s="16"/>
      <c r="AR161" s="16"/>
      <c r="AS161" s="16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  <c r="BF161" s="16"/>
      <c r="BG161" s="16"/>
      <c r="BH161" s="16"/>
      <c r="BI161" s="16"/>
      <c r="BJ161" s="16"/>
      <c r="BK161" s="16"/>
      <c r="BL161" s="16"/>
      <c r="BM161" s="16"/>
      <c r="BN161" s="16"/>
    </row>
    <row r="162" spans="1:66" s="14" customFormat="1" x14ac:dyDescent="0.2">
      <c r="A162" s="19"/>
      <c r="C162" s="3" t="s">
        <v>4</v>
      </c>
      <c r="D162" s="10"/>
      <c r="E162" s="14" t="s">
        <v>6</v>
      </c>
      <c r="G162" s="89" t="e">
        <f>SUM(I162:BC162)</f>
        <v>#REF!</v>
      </c>
      <c r="H162" s="87"/>
      <c r="I162" s="86" t="e">
        <f>ROUND(I157/$G157,4)</f>
        <v>#REF!</v>
      </c>
      <c r="J162" s="87"/>
      <c r="K162" s="86" t="e">
        <f>1-SUM(M162:AH162)</f>
        <v>#REF!</v>
      </c>
      <c r="L162" s="87"/>
      <c r="M162" s="86" t="e">
        <f>ROUND(M157/$G157,4)</f>
        <v>#REF!</v>
      </c>
      <c r="N162" s="90"/>
      <c r="O162" s="86" t="e">
        <f>ROUND(O157/$G157,4)</f>
        <v>#REF!</v>
      </c>
      <c r="P162" s="90"/>
      <c r="Q162" s="86" t="e">
        <f>ROUND(Q157/$G157,4)</f>
        <v>#REF!</v>
      </c>
      <c r="R162" s="90"/>
      <c r="S162" s="86" t="e">
        <f>ROUND(S157/$G157,4)</f>
        <v>#REF!</v>
      </c>
      <c r="T162" s="90"/>
      <c r="U162" s="90"/>
      <c r="V162" s="90"/>
      <c r="W162" s="90"/>
      <c r="X162" s="90"/>
      <c r="Y162" s="90"/>
      <c r="Z162" s="16"/>
      <c r="AA162" s="90"/>
      <c r="AB162" s="16"/>
      <c r="AC162" s="90"/>
      <c r="AD162" s="16"/>
      <c r="AE162" s="90"/>
      <c r="AF162" s="90"/>
      <c r="AG162" s="90"/>
      <c r="AH162" s="15"/>
      <c r="AI162" s="16"/>
      <c r="AJ162" s="16"/>
      <c r="AK162" s="16"/>
      <c r="AL162" s="16"/>
      <c r="AM162" s="16"/>
      <c r="AN162" s="16"/>
      <c r="AO162" s="16"/>
      <c r="AP162" s="16"/>
      <c r="AQ162" s="16"/>
      <c r="AR162" s="16"/>
      <c r="AS162" s="16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  <c r="BF162" s="16"/>
      <c r="BG162" s="16"/>
      <c r="BH162" s="16"/>
      <c r="BI162" s="16"/>
      <c r="BJ162" s="16"/>
      <c r="BK162" s="16"/>
      <c r="BL162" s="16"/>
      <c r="BM162" s="16"/>
      <c r="BN162" s="16"/>
    </row>
    <row r="163" spans="1:66" s="14" customFormat="1" x14ac:dyDescent="0.2">
      <c r="A163" s="19"/>
      <c r="C163" s="2" t="s">
        <v>7</v>
      </c>
      <c r="D163" s="10"/>
      <c r="E163" s="14" t="s">
        <v>6</v>
      </c>
      <c r="G163" s="89">
        <f>SUM(I163:BC163)</f>
        <v>1</v>
      </c>
      <c r="H163" s="87"/>
      <c r="I163" s="86">
        <f>ROUND(I158/$G158,4)</f>
        <v>0</v>
      </c>
      <c r="J163" s="87"/>
      <c r="K163" s="86">
        <f>1-SUM(M163:AH163)</f>
        <v>0.27290000000000003</v>
      </c>
      <c r="L163" s="87"/>
      <c r="M163" s="86">
        <f>ROUND(M158/$G158,4)</f>
        <v>0.1171</v>
      </c>
      <c r="N163" s="90"/>
      <c r="O163" s="86">
        <f>ROUND(O158/$G158,4)</f>
        <v>0.25169999999999998</v>
      </c>
      <c r="P163" s="90"/>
      <c r="Q163" s="86">
        <f>ROUND(Q158/$G158,4)</f>
        <v>0</v>
      </c>
      <c r="R163" s="90"/>
      <c r="S163" s="86">
        <f>ROUND(S158/$G158,4)</f>
        <v>0.35830000000000001</v>
      </c>
      <c r="T163" s="90"/>
      <c r="U163" s="90"/>
      <c r="V163" s="90"/>
      <c r="W163" s="90"/>
      <c r="X163" s="90"/>
      <c r="Y163" s="90"/>
      <c r="Z163" s="16"/>
      <c r="AA163" s="90"/>
      <c r="AB163" s="16"/>
      <c r="AC163" s="90"/>
      <c r="AD163" s="16"/>
      <c r="AE163" s="90"/>
      <c r="AF163" s="90"/>
      <c r="AG163" s="90"/>
      <c r="AH163" s="15"/>
      <c r="AI163" s="16"/>
      <c r="AJ163" s="16"/>
      <c r="AK163" s="16"/>
      <c r="AL163" s="16"/>
      <c r="AM163" s="16"/>
      <c r="AN163" s="16"/>
      <c r="AO163" s="16"/>
      <c r="AP163" s="16"/>
      <c r="AQ163" s="16"/>
      <c r="AR163" s="16"/>
      <c r="AS163" s="16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  <c r="BF163" s="16"/>
      <c r="BG163" s="16"/>
      <c r="BH163" s="16"/>
      <c r="BI163" s="16"/>
      <c r="BJ163" s="16"/>
      <c r="BK163" s="16"/>
      <c r="BL163" s="16"/>
      <c r="BM163" s="16"/>
      <c r="BN163" s="16"/>
    </row>
    <row r="164" spans="1:66" s="14" customFormat="1" x14ac:dyDescent="0.2">
      <c r="A164" s="19"/>
      <c r="C164" s="54"/>
      <c r="D164" s="10"/>
      <c r="G164" s="90"/>
      <c r="H164" s="90"/>
      <c r="I164" s="90"/>
      <c r="J164" s="90"/>
      <c r="K164" s="90"/>
      <c r="L164" s="90"/>
      <c r="M164" s="90"/>
      <c r="N164" s="90"/>
      <c r="O164" s="90"/>
      <c r="P164" s="90"/>
      <c r="Q164" s="90"/>
      <c r="R164" s="90"/>
      <c r="S164" s="90"/>
      <c r="T164" s="90"/>
      <c r="U164" s="90"/>
      <c r="V164" s="90"/>
      <c r="W164" s="90"/>
      <c r="X164" s="90"/>
      <c r="Y164" s="90"/>
      <c r="Z164" s="16"/>
      <c r="AA164" s="90"/>
      <c r="AB164" s="16"/>
      <c r="AC164" s="90"/>
      <c r="AD164" s="16"/>
      <c r="AE164" s="90"/>
      <c r="AF164" s="90"/>
      <c r="AG164" s="90"/>
      <c r="AH164" s="15"/>
      <c r="AI164" s="16"/>
      <c r="AJ164" s="16"/>
      <c r="AK164" s="16"/>
      <c r="AL164" s="16"/>
      <c r="AM164" s="16"/>
      <c r="AN164" s="16"/>
      <c r="AO164" s="16"/>
      <c r="AP164" s="16"/>
      <c r="AQ164" s="16"/>
      <c r="AR164" s="16"/>
      <c r="AS164" s="16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  <c r="BF164" s="16"/>
      <c r="BG164" s="16"/>
      <c r="BH164" s="16"/>
      <c r="BI164" s="16"/>
      <c r="BJ164" s="16"/>
      <c r="BK164" s="16"/>
      <c r="BL164" s="16"/>
      <c r="BM164" s="16"/>
      <c r="BN164" s="16"/>
    </row>
    <row r="165" spans="1:66" s="14" customFormat="1" x14ac:dyDescent="0.2">
      <c r="A165" s="19"/>
      <c r="C165" s="123" t="str">
        <f>C19</f>
        <v>Total Composite Factor for FY 2013</v>
      </c>
      <c r="D165" s="10"/>
      <c r="E165" s="14" t="s">
        <v>6</v>
      </c>
      <c r="G165" s="86" t="e">
        <f>SUM(I165:BC165)</f>
        <v>#REF!</v>
      </c>
      <c r="H165" s="87"/>
      <c r="I165" s="102" t="e">
        <f>ROUND(AVERAGE(I161:I163),4)</f>
        <v>#REF!</v>
      </c>
      <c r="J165" s="103"/>
      <c r="K165" s="86" t="e">
        <f>1-SUM(M165:AH165)</f>
        <v>#REF!</v>
      </c>
      <c r="L165" s="103"/>
      <c r="M165" s="102" t="e">
        <f>ROUND(AVERAGE(M161:M163),4)</f>
        <v>#REF!</v>
      </c>
      <c r="N165" s="104"/>
      <c r="O165" s="102" t="e">
        <f>ROUND(AVERAGE(O161:O163),4)</f>
        <v>#REF!</v>
      </c>
      <c r="P165" s="104"/>
      <c r="Q165" s="102" t="e">
        <f>ROUND(AVERAGE(Q161:Q163),4)</f>
        <v>#REF!</v>
      </c>
      <c r="R165" s="104"/>
      <c r="S165" s="102" t="e">
        <f>ROUND(AVERAGE(S161:S163),4)</f>
        <v>#REF!</v>
      </c>
      <c r="T165" s="104"/>
      <c r="U165" s="104"/>
      <c r="V165" s="111"/>
      <c r="W165" s="104"/>
      <c r="X165" s="91"/>
      <c r="Y165" s="104"/>
      <c r="Z165" s="91"/>
      <c r="AA165" s="104"/>
      <c r="AB165" s="91"/>
      <c r="AC165" s="104"/>
      <c r="AD165" s="91"/>
      <c r="AE165" s="104"/>
      <c r="AF165" s="91"/>
      <c r="AG165" s="104"/>
      <c r="AH165" s="15"/>
      <c r="AI165" s="16"/>
      <c r="AJ165" s="16"/>
      <c r="AK165" s="16"/>
      <c r="AL165" s="16"/>
      <c r="AM165" s="16"/>
      <c r="AN165" s="16"/>
      <c r="AO165" s="16"/>
      <c r="AP165" s="16"/>
      <c r="AQ165" s="16"/>
      <c r="AR165" s="16"/>
      <c r="AS165" s="16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  <c r="BF165" s="16"/>
      <c r="BG165" s="16"/>
      <c r="BH165" s="16"/>
      <c r="BI165" s="16"/>
      <c r="BJ165" s="16"/>
      <c r="BK165" s="16"/>
      <c r="BL165" s="16"/>
      <c r="BM165" s="16"/>
      <c r="BN165" s="16"/>
    </row>
  </sheetData>
  <phoneticPr fontId="0" type="noConversion"/>
  <pageMargins left="0.41" right="0.2" top="0.25" bottom="0.57999999999999996" header="0.38" footer="0.33"/>
  <pageSetup paperSize="5" scale="38" fitToHeight="0" orientation="landscape" r:id="rId1"/>
  <headerFooter alignWithMargins="0">
    <oddFooter>Page &amp;P&amp;R&amp;Z&amp;F</oddFooter>
  </headerFooter>
  <rowBreaks count="2" manualBreakCount="2">
    <brk id="49" max="16383" man="1"/>
    <brk id="11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  <pageSetUpPr fitToPage="1"/>
  </sheetPr>
  <dimension ref="A1:Q33"/>
  <sheetViews>
    <sheetView view="pageBreakPreview" zoomScale="60" zoomScaleNormal="100" workbookViewId="0">
      <selection sqref="A1:J1"/>
    </sheetView>
  </sheetViews>
  <sheetFormatPr defaultRowHeight="12.75" x14ac:dyDescent="0.2"/>
  <cols>
    <col min="1" max="1" width="6.140625" style="10" customWidth="1"/>
    <col min="2" max="2" width="24.5703125" style="10" customWidth="1"/>
    <col min="3" max="3" width="16.5703125" style="10" bestFit="1" customWidth="1"/>
    <col min="4" max="4" width="12.42578125" style="10" customWidth="1"/>
    <col min="5" max="5" width="15.42578125" style="10" customWidth="1"/>
    <col min="6" max="6" width="12.5703125" style="10" customWidth="1"/>
    <col min="7" max="7" width="13.28515625" style="10" customWidth="1"/>
    <col min="8" max="8" width="11.42578125" style="10" customWidth="1"/>
    <col min="9" max="9" width="7.5703125" style="10" bestFit="1" customWidth="1"/>
    <col min="10" max="10" width="15.140625" style="10" customWidth="1"/>
    <col min="11" max="11" width="7.5703125" style="10" bestFit="1" customWidth="1"/>
    <col min="12" max="12" width="19.28515625" style="10" bestFit="1" customWidth="1"/>
    <col min="13" max="13" width="10.5703125" style="10" customWidth="1"/>
    <col min="14" max="14" width="22.85546875" style="10" customWidth="1"/>
    <col min="15" max="15" width="11.28515625" style="10" bestFit="1" customWidth="1"/>
    <col min="16" max="16384" width="9.140625" style="10"/>
  </cols>
  <sheetData>
    <row r="1" spans="1:17" ht="14.25" x14ac:dyDescent="0.2">
      <c r="A1" s="365" t="s">
        <v>17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7" ht="14.25" x14ac:dyDescent="0.2">
      <c r="A2" s="365" t="s">
        <v>29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7" ht="14.25" x14ac:dyDescent="0.2">
      <c r="A3" s="366" t="s">
        <v>30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7" ht="14.25" x14ac:dyDescent="0.2">
      <c r="A4" s="365" t="s">
        <v>343</v>
      </c>
      <c r="B4" s="365"/>
      <c r="C4" s="365"/>
      <c r="D4" s="365"/>
      <c r="E4" s="365"/>
      <c r="F4" s="365"/>
      <c r="G4" s="365"/>
      <c r="H4" s="365"/>
      <c r="I4" s="365"/>
      <c r="J4" s="365"/>
    </row>
    <row r="7" spans="1:17" ht="38.25" x14ac:dyDescent="0.2">
      <c r="A7" s="60" t="s">
        <v>31</v>
      </c>
      <c r="B7" s="60" t="s">
        <v>32</v>
      </c>
      <c r="C7" s="248" t="s">
        <v>406</v>
      </c>
      <c r="D7" s="61" t="s">
        <v>33</v>
      </c>
      <c r="E7" s="248" t="s">
        <v>407</v>
      </c>
      <c r="F7" s="61" t="s">
        <v>34</v>
      </c>
      <c r="G7" s="248" t="s">
        <v>403</v>
      </c>
      <c r="H7" s="61" t="s">
        <v>35</v>
      </c>
      <c r="I7" s="292" t="s">
        <v>314</v>
      </c>
      <c r="J7" s="62" t="s">
        <v>36</v>
      </c>
      <c r="K7" s="292" t="s">
        <v>314</v>
      </c>
      <c r="L7" s="47"/>
    </row>
    <row r="8" spans="1:17" x14ac:dyDescent="0.2">
      <c r="B8" s="63"/>
      <c r="C8" s="64" t="s">
        <v>37</v>
      </c>
      <c r="D8" s="65" t="s">
        <v>38</v>
      </c>
      <c r="E8" s="65" t="s">
        <v>39</v>
      </c>
      <c r="F8" s="65" t="s">
        <v>40</v>
      </c>
      <c r="G8" s="65" t="s">
        <v>41</v>
      </c>
      <c r="H8" s="65" t="s">
        <v>42</v>
      </c>
      <c r="I8" s="65"/>
      <c r="J8" s="66" t="s">
        <v>43</v>
      </c>
      <c r="K8" s="75"/>
    </row>
    <row r="9" spans="1:17" x14ac:dyDescent="0.2">
      <c r="J9" s="249" t="s">
        <v>416</v>
      </c>
    </row>
    <row r="10" spans="1:17" x14ac:dyDescent="0.2">
      <c r="A10" s="284" t="s">
        <v>28</v>
      </c>
      <c r="B10" s="10" t="s">
        <v>46</v>
      </c>
      <c r="C10" s="72">
        <v>424189446.38999999</v>
      </c>
      <c r="D10" s="362">
        <f>+C10/$C$15</f>
        <v>0.45039213209683637</v>
      </c>
      <c r="E10" s="126">
        <v>14546900.119999999</v>
      </c>
      <c r="F10" s="362">
        <f>+E10/$E$15</f>
        <v>0.49633143434753801</v>
      </c>
      <c r="G10" s="72">
        <v>174958</v>
      </c>
      <c r="H10" s="362">
        <f>+G10/$G$15</f>
        <v>0.52599015110063552</v>
      </c>
      <c r="I10" s="288" t="s">
        <v>304</v>
      </c>
      <c r="J10" s="107">
        <f>(D10+F10+H10)/3</f>
        <v>0.49090457251500325</v>
      </c>
      <c r="K10" s="47" t="s">
        <v>307</v>
      </c>
    </row>
    <row r="11" spans="1:17" x14ac:dyDescent="0.2">
      <c r="A11" s="71">
        <v>93</v>
      </c>
      <c r="B11" s="10" t="s">
        <v>44</v>
      </c>
      <c r="C11" s="127">
        <f>439125616.66+544442</f>
        <v>439670058.66000003</v>
      </c>
      <c r="D11" s="362">
        <f>+C11/$C$15</f>
        <v>0.46682900016554219</v>
      </c>
      <c r="E11" s="126">
        <v>10204308.779999999</v>
      </c>
      <c r="F11" s="362">
        <f>+E11/$E$15</f>
        <v>0.34816484416080362</v>
      </c>
      <c r="G11" s="126">
        <v>134946</v>
      </c>
      <c r="H11" s="362">
        <f>+G11/$G$15</f>
        <v>0.40569889305105433</v>
      </c>
      <c r="I11" s="288" t="s">
        <v>305</v>
      </c>
      <c r="J11" s="107">
        <f t="shared" ref="J11:J12" si="0">(D11+F11+H11)/3</f>
        <v>0.40689757912580005</v>
      </c>
      <c r="K11" s="47" t="s">
        <v>308</v>
      </c>
    </row>
    <row r="12" spans="1:17" x14ac:dyDescent="0.2">
      <c r="A12" s="71">
        <v>96</v>
      </c>
      <c r="B12" s="10" t="s">
        <v>45</v>
      </c>
      <c r="C12" s="72">
        <v>77963000.629999995</v>
      </c>
      <c r="D12" s="362">
        <f>+C12/$C$15</f>
        <v>8.2778867737621512E-2</v>
      </c>
      <c r="E12" s="126">
        <v>4557634.17</v>
      </c>
      <c r="F12" s="362">
        <f>+E12/$E$15</f>
        <v>0.15550372149165831</v>
      </c>
      <c r="G12" s="126">
        <v>22722</v>
      </c>
      <c r="H12" s="362">
        <f>+G12/$G$15</f>
        <v>6.8310955848310109E-2</v>
      </c>
      <c r="I12" s="288" t="s">
        <v>306</v>
      </c>
      <c r="J12" s="107">
        <f t="shared" si="0"/>
        <v>0.10219784835919664</v>
      </c>
      <c r="K12" s="47" t="s">
        <v>309</v>
      </c>
    </row>
    <row r="13" spans="1:17" x14ac:dyDescent="0.2">
      <c r="A13" s="71"/>
      <c r="C13" s="128"/>
      <c r="D13" s="78"/>
      <c r="E13" s="73"/>
      <c r="F13" s="80"/>
      <c r="G13" s="74"/>
      <c r="H13" s="129"/>
      <c r="I13" s="129"/>
      <c r="J13" s="130"/>
      <c r="Q13" s="285"/>
    </row>
    <row r="14" spans="1:17" x14ac:dyDescent="0.2">
      <c r="C14" s="133"/>
      <c r="E14" s="38"/>
      <c r="F14" s="69"/>
      <c r="G14" s="72"/>
      <c r="J14" s="70"/>
    </row>
    <row r="15" spans="1:17" x14ac:dyDescent="0.2">
      <c r="B15" s="10" t="s">
        <v>1</v>
      </c>
      <c r="C15" s="124">
        <f>SUM(C10:C12)</f>
        <v>941822505.67999995</v>
      </c>
      <c r="D15" s="362">
        <f t="shared" ref="D15:J15" si="1">SUM(D10:D12)</f>
        <v>1</v>
      </c>
      <c r="E15" s="133">
        <f t="shared" si="1"/>
        <v>29308843.07</v>
      </c>
      <c r="F15" s="362">
        <f t="shared" si="1"/>
        <v>1</v>
      </c>
      <c r="G15" s="72">
        <f>SUM(G10:G12)</f>
        <v>332626</v>
      </c>
      <c r="H15" s="362">
        <f t="shared" si="1"/>
        <v>1</v>
      </c>
      <c r="I15" s="133"/>
      <c r="J15" s="362">
        <f t="shared" si="1"/>
        <v>0.99999999999999989</v>
      </c>
    </row>
    <row r="16" spans="1:17" x14ac:dyDescent="0.2">
      <c r="C16" s="124"/>
      <c r="E16" s="68"/>
    </row>
    <row r="17" spans="2:7" x14ac:dyDescent="0.2">
      <c r="B17" s="249" t="s">
        <v>264</v>
      </c>
      <c r="C17" s="124">
        <v>946398520.58000004</v>
      </c>
      <c r="D17" s="124"/>
      <c r="E17" s="124">
        <v>38760023.170000002</v>
      </c>
      <c r="F17" s="124"/>
      <c r="G17" s="124">
        <v>332626</v>
      </c>
    </row>
    <row r="18" spans="2:7" x14ac:dyDescent="0.2">
      <c r="B18" s="249"/>
      <c r="C18" s="124"/>
      <c r="D18" s="124"/>
      <c r="E18" s="124"/>
      <c r="F18" s="124"/>
      <c r="G18" s="124"/>
    </row>
    <row r="19" spans="2:7" x14ac:dyDescent="0.2">
      <c r="B19" s="249" t="s">
        <v>262</v>
      </c>
      <c r="C19" s="124">
        <f>C17-C15</f>
        <v>4576014.9000000954</v>
      </c>
      <c r="D19" s="124"/>
      <c r="E19" s="124">
        <f>E17-E15</f>
        <v>9451180.1000000015</v>
      </c>
      <c r="F19" s="124"/>
      <c r="G19" s="124">
        <f>G15-G17</f>
        <v>0</v>
      </c>
    </row>
    <row r="20" spans="2:7" x14ac:dyDescent="0.2">
      <c r="B20" s="249" t="s">
        <v>260</v>
      </c>
      <c r="C20" s="124">
        <v>5054275.74</v>
      </c>
      <c r="D20" s="180"/>
      <c r="E20" s="124">
        <v>8695362.1899999995</v>
      </c>
      <c r="G20" s="124"/>
    </row>
    <row r="21" spans="2:7" x14ac:dyDescent="0.2">
      <c r="B21" s="249" t="s">
        <v>261</v>
      </c>
      <c r="C21" s="124">
        <f>C19-C20</f>
        <v>-478260.83999990486</v>
      </c>
      <c r="E21" s="38">
        <f>E19-E20</f>
        <v>755817.91000000201</v>
      </c>
      <c r="G21" s="72"/>
    </row>
    <row r="22" spans="2:7" x14ac:dyDescent="0.2">
      <c r="B22" s="249" t="s">
        <v>263</v>
      </c>
      <c r="C22" s="124">
        <v>66181.17</v>
      </c>
      <c r="E22" s="124">
        <v>755817.91</v>
      </c>
      <c r="F22" s="180"/>
    </row>
    <row r="23" spans="2:7" x14ac:dyDescent="0.2">
      <c r="B23" s="249" t="s">
        <v>262</v>
      </c>
      <c r="C23" s="124">
        <f>C21-C22</f>
        <v>-544442.0099999049</v>
      </c>
      <c r="E23" s="124">
        <f>E21-E22</f>
        <v>1.9790604710578918E-9</v>
      </c>
      <c r="F23" s="47"/>
    </row>
    <row r="24" spans="2:7" x14ac:dyDescent="0.2">
      <c r="B24" s="249"/>
      <c r="C24" s="124"/>
      <c r="E24" s="124"/>
      <c r="F24" s="47"/>
    </row>
    <row r="25" spans="2:7" x14ac:dyDescent="0.2">
      <c r="B25" s="249"/>
      <c r="C25" s="124"/>
      <c r="E25" s="124"/>
    </row>
    <row r="26" spans="2:7" x14ac:dyDescent="0.2">
      <c r="B26" s="249"/>
      <c r="C26" s="124"/>
      <c r="E26" s="124"/>
      <c r="F26" s="47"/>
    </row>
    <row r="27" spans="2:7" x14ac:dyDescent="0.2">
      <c r="B27" s="249"/>
      <c r="C27" s="124"/>
      <c r="E27" s="124"/>
    </row>
    <row r="28" spans="2:7" x14ac:dyDescent="0.2">
      <c r="B28" s="249"/>
      <c r="C28" s="124"/>
      <c r="E28" s="124"/>
    </row>
    <row r="29" spans="2:7" x14ac:dyDescent="0.2">
      <c r="B29" s="249"/>
      <c r="C29" s="124"/>
      <c r="E29" s="124"/>
    </row>
    <row r="30" spans="2:7" x14ac:dyDescent="0.2">
      <c r="B30" s="249"/>
      <c r="C30" s="124"/>
      <c r="E30" s="124"/>
    </row>
    <row r="31" spans="2:7" x14ac:dyDescent="0.2">
      <c r="B31" s="249"/>
      <c r="C31" s="124"/>
      <c r="E31" s="124"/>
    </row>
    <row r="32" spans="2:7" x14ac:dyDescent="0.2">
      <c r="B32" s="249"/>
      <c r="C32" s="124"/>
    </row>
    <row r="33" spans="2:5" x14ac:dyDescent="0.2">
      <c r="B33" s="249"/>
      <c r="C33" s="124"/>
      <c r="E33" s="124"/>
    </row>
  </sheetData>
  <mergeCells count="4">
    <mergeCell ref="A1:J1"/>
    <mergeCell ref="A2:J2"/>
    <mergeCell ref="A3:J3"/>
    <mergeCell ref="A4:J4"/>
  </mergeCells>
  <phoneticPr fontId="0" type="noConversion"/>
  <pageMargins left="0.59" right="0.54" top="1" bottom="1" header="0.5" footer="0.5"/>
  <pageSetup scale="90" orientation="landscape" horizontalDpi="4294967294" verticalDpi="4294967294" r:id="rId1"/>
  <headerFooter alignWithMargins="0">
    <oddFooter>&amp;L&amp;"Times New Roman,Italic"&amp;9General Accounting&amp;R&amp;"Times New Roman,Italic"&amp;9&amp;T&amp;D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>
    <tabColor rgb="FF00B0F0"/>
    <pageSetUpPr fitToPage="1"/>
  </sheetPr>
  <dimension ref="A1:K32"/>
  <sheetViews>
    <sheetView view="pageBreakPreview" zoomScale="60" zoomScaleNormal="100" workbookViewId="0">
      <selection activeCell="I27" sqref="I27"/>
    </sheetView>
  </sheetViews>
  <sheetFormatPr defaultRowHeight="12.75" x14ac:dyDescent="0.2"/>
  <cols>
    <col min="1" max="1" width="6.5703125" style="10" customWidth="1"/>
    <col min="2" max="2" width="23.28515625" style="10" customWidth="1"/>
    <col min="3" max="3" width="16.85546875" style="10" customWidth="1"/>
    <col min="4" max="4" width="13.42578125" style="10" customWidth="1"/>
    <col min="5" max="5" width="14.7109375" style="10" customWidth="1"/>
    <col min="6" max="6" width="13.7109375" style="10" customWidth="1"/>
    <col min="7" max="7" width="13.28515625" style="10" customWidth="1"/>
    <col min="8" max="8" width="11.42578125" style="10" customWidth="1"/>
    <col min="9" max="9" width="7.5703125" style="10" bestFit="1" customWidth="1"/>
    <col min="10" max="10" width="12.42578125" style="10" customWidth="1"/>
    <col min="11" max="11" width="7.5703125" style="10" bestFit="1" customWidth="1"/>
    <col min="12" max="16384" width="9.140625" style="10"/>
  </cols>
  <sheetData>
    <row r="1" spans="1:11" ht="14.25" x14ac:dyDescent="0.2">
      <c r="A1" s="365" t="s">
        <v>17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</row>
    <row r="2" spans="1:11" ht="14.25" x14ac:dyDescent="0.2">
      <c r="A2" s="365" t="s">
        <v>47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</row>
    <row r="3" spans="1:11" ht="14.25" x14ac:dyDescent="0.2">
      <c r="A3" s="365" t="s">
        <v>48</v>
      </c>
      <c r="B3" s="365"/>
      <c r="C3" s="365"/>
      <c r="D3" s="365"/>
      <c r="E3" s="365"/>
      <c r="F3" s="365"/>
      <c r="G3" s="365"/>
      <c r="H3" s="365"/>
      <c r="I3" s="365"/>
      <c r="J3" s="365"/>
      <c r="K3" s="365"/>
    </row>
    <row r="4" spans="1:11" ht="14.25" x14ac:dyDescent="0.2">
      <c r="A4" s="365" t="s">
        <v>343</v>
      </c>
      <c r="B4" s="365"/>
      <c r="C4" s="365"/>
      <c r="D4" s="365"/>
      <c r="E4" s="365"/>
      <c r="F4" s="365"/>
      <c r="G4" s="365"/>
      <c r="H4" s="365"/>
      <c r="I4" s="365"/>
      <c r="J4" s="365"/>
      <c r="K4" s="365"/>
    </row>
    <row r="6" spans="1:11" x14ac:dyDescent="0.2">
      <c r="H6" s="67" t="s">
        <v>74</v>
      </c>
      <c r="I6" s="67"/>
      <c r="J6" s="67" t="s">
        <v>75</v>
      </c>
    </row>
    <row r="7" spans="1:11" ht="38.25" x14ac:dyDescent="0.2">
      <c r="A7" s="60" t="s">
        <v>31</v>
      </c>
      <c r="B7" s="60" t="s">
        <v>32</v>
      </c>
      <c r="C7" s="248" t="s">
        <v>406</v>
      </c>
      <c r="D7" s="61" t="s">
        <v>76</v>
      </c>
      <c r="E7" s="248" t="s">
        <v>407</v>
      </c>
      <c r="F7" s="61" t="s">
        <v>77</v>
      </c>
      <c r="G7" s="248" t="s">
        <v>404</v>
      </c>
      <c r="H7" s="61" t="s">
        <v>78</v>
      </c>
      <c r="I7" s="292" t="s">
        <v>314</v>
      </c>
      <c r="J7" s="62" t="s">
        <v>49</v>
      </c>
      <c r="K7" s="292" t="s">
        <v>314</v>
      </c>
    </row>
    <row r="8" spans="1:11" x14ac:dyDescent="0.2">
      <c r="B8" s="63"/>
      <c r="C8" s="64" t="s">
        <v>37</v>
      </c>
      <c r="D8" s="65" t="s">
        <v>38</v>
      </c>
      <c r="E8" s="65" t="s">
        <v>39</v>
      </c>
      <c r="F8" s="65" t="s">
        <v>40</v>
      </c>
      <c r="G8" s="65" t="s">
        <v>41</v>
      </c>
      <c r="H8" s="65" t="s">
        <v>42</v>
      </c>
      <c r="I8" s="65"/>
      <c r="J8" s="66" t="s">
        <v>43</v>
      </c>
      <c r="K8" s="75"/>
    </row>
    <row r="9" spans="1:11" x14ac:dyDescent="0.2">
      <c r="J9" s="67"/>
    </row>
    <row r="10" spans="1:11" x14ac:dyDescent="0.2">
      <c r="J10" s="67"/>
    </row>
    <row r="11" spans="1:11" x14ac:dyDescent="0.2">
      <c r="A11" s="71">
        <v>31</v>
      </c>
      <c r="B11" s="10" t="s">
        <v>50</v>
      </c>
      <c r="C11" s="124">
        <f>87585994.71+46476972.92+46686385.77+38736367.43</f>
        <v>219485720.83000001</v>
      </c>
      <c r="D11" s="118">
        <f>C11/$C$14</f>
        <v>0.42123924551604852</v>
      </c>
      <c r="E11" s="124">
        <f>2399075.36+1535985.08+1281439.71+755057.64</f>
        <v>5971557.79</v>
      </c>
      <c r="F11" s="118">
        <f>E11/$E$14</f>
        <v>0.34493637427830648</v>
      </c>
      <c r="G11" s="76">
        <f>49565+25164+20957+16941</f>
        <v>112627</v>
      </c>
      <c r="H11" s="118">
        <f>G11/$G$14</f>
        <v>0.46332543482911259</v>
      </c>
      <c r="I11" s="47" t="s">
        <v>302</v>
      </c>
      <c r="J11" s="119">
        <f>(D11+F11+H11)/3</f>
        <v>0.40983368487448918</v>
      </c>
      <c r="K11" s="47" t="s">
        <v>300</v>
      </c>
    </row>
    <row r="12" spans="1:11" x14ac:dyDescent="0.2">
      <c r="A12" s="71">
        <v>81</v>
      </c>
      <c r="B12" s="10" t="s">
        <v>52</v>
      </c>
      <c r="C12" s="124">
        <f>301561933.6</f>
        <v>301561933.60000002</v>
      </c>
      <c r="D12" s="118">
        <f>C12/$C$14</f>
        <v>0.57876075448395137</v>
      </c>
      <c r="E12" s="124">
        <v>11340498.1</v>
      </c>
      <c r="F12" s="118">
        <f>E12/$E$14</f>
        <v>0.65506362572169352</v>
      </c>
      <c r="G12" s="76">
        <v>130457</v>
      </c>
      <c r="H12" s="118">
        <f>G12/$G$14</f>
        <v>0.53667456517088741</v>
      </c>
      <c r="I12" s="47" t="s">
        <v>303</v>
      </c>
      <c r="J12" s="119">
        <f>(D12+F12+H12)/3</f>
        <v>0.59016631512551088</v>
      </c>
      <c r="K12" s="47" t="s">
        <v>301</v>
      </c>
    </row>
    <row r="13" spans="1:11" x14ac:dyDescent="0.2">
      <c r="C13" s="125"/>
      <c r="D13" s="77"/>
      <c r="E13" s="73"/>
      <c r="F13" s="78"/>
      <c r="G13" s="79"/>
      <c r="H13" s="80"/>
      <c r="I13" s="80"/>
      <c r="J13" s="81"/>
    </row>
    <row r="14" spans="1:11" x14ac:dyDescent="0.2">
      <c r="B14" s="10" t="s">
        <v>1</v>
      </c>
      <c r="C14" s="124">
        <f>SUM(C11:C13)</f>
        <v>521047654.43000007</v>
      </c>
      <c r="D14" s="118">
        <f t="shared" ref="D14:J14" si="0">SUM(D11:D12)</f>
        <v>0.99999999999999989</v>
      </c>
      <c r="E14" s="38">
        <f t="shared" si="0"/>
        <v>17312055.890000001</v>
      </c>
      <c r="F14" s="118">
        <f t="shared" si="0"/>
        <v>1</v>
      </c>
      <c r="G14" s="76">
        <f>SUM(G11:G12)</f>
        <v>243084</v>
      </c>
      <c r="H14" s="118">
        <f t="shared" si="0"/>
        <v>1</v>
      </c>
      <c r="I14" s="118"/>
      <c r="J14" s="119">
        <f t="shared" si="0"/>
        <v>1</v>
      </c>
    </row>
    <row r="15" spans="1:11" x14ac:dyDescent="0.2">
      <c r="C15" s="124"/>
      <c r="E15" s="38"/>
    </row>
    <row r="16" spans="1:11" x14ac:dyDescent="0.2">
      <c r="B16" s="249" t="s">
        <v>266</v>
      </c>
      <c r="C16" s="124">
        <v>522657969.81999999</v>
      </c>
      <c r="D16" s="124"/>
      <c r="E16" s="124">
        <v>24974685.02</v>
      </c>
      <c r="F16" s="124"/>
      <c r="G16" s="124">
        <v>243084</v>
      </c>
    </row>
    <row r="17" spans="1:7" x14ac:dyDescent="0.2">
      <c r="B17" s="249"/>
      <c r="C17" s="124"/>
      <c r="D17" s="180"/>
      <c r="E17" s="124"/>
      <c r="F17" s="124"/>
      <c r="G17" s="124"/>
    </row>
    <row r="18" spans="1:7" x14ac:dyDescent="0.2">
      <c r="B18" s="249" t="s">
        <v>262</v>
      </c>
      <c r="C18" s="124">
        <f>C16-C14</f>
        <v>1610315.3899999261</v>
      </c>
      <c r="E18" s="124">
        <f>E14-E16</f>
        <v>-7662629.129999999</v>
      </c>
      <c r="G18" s="124">
        <f>G14-G16</f>
        <v>0</v>
      </c>
    </row>
    <row r="19" spans="1:7" x14ac:dyDescent="0.2">
      <c r="B19" s="249" t="s">
        <v>267</v>
      </c>
      <c r="C19" s="124">
        <v>1610315.39</v>
      </c>
      <c r="E19" s="140">
        <v>5939864.79</v>
      </c>
      <c r="F19" s="47"/>
    </row>
    <row r="20" spans="1:7" x14ac:dyDescent="0.2">
      <c r="B20" s="249" t="s">
        <v>265</v>
      </c>
      <c r="C20" s="124">
        <f>C18-C19</f>
        <v>-7.3807314038276672E-8</v>
      </c>
      <c r="E20" s="124">
        <f>SUM(E18:E19)</f>
        <v>-1722764.3399999989</v>
      </c>
      <c r="F20" s="47"/>
    </row>
    <row r="21" spans="1:7" x14ac:dyDescent="0.2">
      <c r="B21" s="249" t="s">
        <v>268</v>
      </c>
      <c r="E21" s="38">
        <v>1722764.34</v>
      </c>
      <c r="F21" s="47"/>
    </row>
    <row r="22" spans="1:7" x14ac:dyDescent="0.2">
      <c r="B22" s="249" t="s">
        <v>269</v>
      </c>
      <c r="E22" s="124">
        <f>SUM(E20:E21)</f>
        <v>0</v>
      </c>
    </row>
    <row r="23" spans="1:7" x14ac:dyDescent="0.2">
      <c r="B23" s="249" t="s">
        <v>270</v>
      </c>
      <c r="E23" s="124"/>
      <c r="F23" s="181"/>
    </row>
    <row r="24" spans="1:7" x14ac:dyDescent="0.2">
      <c r="B24" s="249" t="s">
        <v>271</v>
      </c>
      <c r="E24" s="124"/>
    </row>
    <row r="25" spans="1:7" x14ac:dyDescent="0.2">
      <c r="B25" s="249"/>
      <c r="E25" s="124"/>
      <c r="F25" s="47"/>
    </row>
    <row r="26" spans="1:7" x14ac:dyDescent="0.2">
      <c r="B26" s="249"/>
    </row>
    <row r="27" spans="1:7" x14ac:dyDescent="0.2">
      <c r="A27" s="67" t="s">
        <v>103</v>
      </c>
      <c r="B27" s="249"/>
    </row>
    <row r="28" spans="1:7" x14ac:dyDescent="0.2">
      <c r="B28" s="249"/>
    </row>
    <row r="29" spans="1:7" x14ac:dyDescent="0.2">
      <c r="B29" s="249"/>
    </row>
    <row r="30" spans="1:7" x14ac:dyDescent="0.2">
      <c r="B30" s="249"/>
    </row>
    <row r="31" spans="1:7" x14ac:dyDescent="0.2">
      <c r="B31" s="249"/>
    </row>
    <row r="32" spans="1:7" x14ac:dyDescent="0.2">
      <c r="B32" s="249"/>
    </row>
  </sheetData>
  <mergeCells count="4">
    <mergeCell ref="A1:K1"/>
    <mergeCell ref="A2:K2"/>
    <mergeCell ref="A3:K3"/>
    <mergeCell ref="A4:K4"/>
  </mergeCells>
  <phoneticPr fontId="0" type="noConversion"/>
  <pageMargins left="0.46" right="0.28000000000000003" top="1" bottom="1" header="0.5" footer="0.5"/>
  <pageSetup scale="94" orientation="landscape" horizontalDpi="4294967294" verticalDpi="4294967294" r:id="rId1"/>
  <headerFooter alignWithMargins="0">
    <oddFooter>&amp;L&amp;"Times New Roman,Italic"General Accounting&amp;R&amp;"Times New Roman,Italic"&amp;9&amp;T&amp;D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tabColor rgb="FF00B0F0"/>
    <pageSetUpPr fitToPage="1"/>
  </sheetPr>
  <dimension ref="A1:O34"/>
  <sheetViews>
    <sheetView view="pageBreakPreview" zoomScale="60" zoomScaleNormal="100" workbookViewId="0">
      <selection sqref="A1:J1"/>
    </sheetView>
  </sheetViews>
  <sheetFormatPr defaultRowHeight="12.75" x14ac:dyDescent="0.2"/>
  <cols>
    <col min="1" max="1" width="6.5703125" style="10" customWidth="1"/>
    <col min="2" max="2" width="23.28515625" style="10" customWidth="1"/>
    <col min="3" max="3" width="16.85546875" style="10" customWidth="1"/>
    <col min="4" max="4" width="13.42578125" style="10" customWidth="1"/>
    <col min="5" max="5" width="14.7109375" style="10" customWidth="1"/>
    <col min="6" max="6" width="13.7109375" style="10" customWidth="1"/>
    <col min="7" max="7" width="13.28515625" style="10" customWidth="1"/>
    <col min="8" max="9" width="11.42578125" style="10" customWidth="1"/>
    <col min="10" max="10" width="12.42578125" style="10" customWidth="1"/>
    <col min="11" max="12" width="12.42578125" style="286" customWidth="1"/>
    <col min="13" max="13" width="9.140625" style="10"/>
    <col min="14" max="14" width="20.5703125" style="10" bestFit="1" customWidth="1"/>
    <col min="15" max="16384" width="9.140625" style="10"/>
  </cols>
  <sheetData>
    <row r="1" spans="1:15" ht="14.25" x14ac:dyDescent="0.2">
      <c r="A1" s="365" t="s">
        <v>17</v>
      </c>
      <c r="B1" s="365"/>
      <c r="C1" s="365"/>
      <c r="D1" s="365"/>
      <c r="E1" s="365"/>
      <c r="F1" s="365"/>
      <c r="G1" s="365"/>
      <c r="H1" s="365"/>
      <c r="I1" s="365"/>
      <c r="J1" s="365"/>
      <c r="K1" s="289"/>
      <c r="L1" s="289"/>
    </row>
    <row r="2" spans="1:15" ht="14.25" x14ac:dyDescent="0.2">
      <c r="A2" s="365" t="s">
        <v>90</v>
      </c>
      <c r="B2" s="365"/>
      <c r="C2" s="365"/>
      <c r="D2" s="365"/>
      <c r="E2" s="365"/>
      <c r="F2" s="365"/>
      <c r="G2" s="365"/>
      <c r="H2" s="365"/>
      <c r="I2" s="365"/>
      <c r="J2" s="365"/>
      <c r="K2" s="289"/>
      <c r="L2" s="289"/>
    </row>
    <row r="3" spans="1:15" ht="14.25" x14ac:dyDescent="0.2">
      <c r="A3" s="365" t="s">
        <v>48</v>
      </c>
      <c r="B3" s="365"/>
      <c r="C3" s="365"/>
      <c r="D3" s="365"/>
      <c r="E3" s="365"/>
      <c r="F3" s="365"/>
      <c r="G3" s="365"/>
      <c r="H3" s="365"/>
      <c r="I3" s="365"/>
      <c r="J3" s="365"/>
      <c r="K3" s="289"/>
      <c r="L3" s="289"/>
    </row>
    <row r="4" spans="1:15" ht="14.25" x14ac:dyDescent="0.2">
      <c r="A4" s="365" t="s">
        <v>343</v>
      </c>
      <c r="B4" s="365"/>
      <c r="C4" s="365"/>
      <c r="D4" s="365"/>
      <c r="E4" s="365"/>
      <c r="F4" s="365"/>
      <c r="G4" s="365"/>
      <c r="H4" s="365"/>
      <c r="I4" s="365"/>
      <c r="J4" s="365"/>
      <c r="K4" s="289"/>
      <c r="L4" s="289"/>
    </row>
    <row r="5" spans="1:15" x14ac:dyDescent="0.2">
      <c r="J5" s="367" t="s">
        <v>191</v>
      </c>
      <c r="K5" s="367"/>
      <c r="L5" s="367"/>
      <c r="M5" s="367"/>
      <c r="N5" s="367"/>
    </row>
    <row r="6" spans="1:15" x14ac:dyDescent="0.2">
      <c r="J6" s="47" t="s">
        <v>188</v>
      </c>
      <c r="K6" s="287"/>
      <c r="L6" s="287"/>
      <c r="M6" s="47" t="s">
        <v>189</v>
      </c>
      <c r="N6" s="47" t="s">
        <v>190</v>
      </c>
    </row>
    <row r="7" spans="1:15" ht="51" x14ac:dyDescent="0.2">
      <c r="A7" s="60" t="s">
        <v>31</v>
      </c>
      <c r="B7" s="60" t="s">
        <v>32</v>
      </c>
      <c r="C7" s="248" t="s">
        <v>406</v>
      </c>
      <c r="D7" s="61" t="s">
        <v>76</v>
      </c>
      <c r="E7" s="248" t="s">
        <v>407</v>
      </c>
      <c r="F7" s="61" t="s">
        <v>77</v>
      </c>
      <c r="G7" s="248" t="s">
        <v>404</v>
      </c>
      <c r="H7" s="61" t="s">
        <v>78</v>
      </c>
      <c r="I7" s="61"/>
      <c r="J7" s="62" t="s">
        <v>91</v>
      </c>
      <c r="K7" s="293" t="s">
        <v>314</v>
      </c>
      <c r="L7" s="293"/>
      <c r="M7" s="62" t="s">
        <v>91</v>
      </c>
      <c r="N7" s="62" t="s">
        <v>91</v>
      </c>
    </row>
    <row r="8" spans="1:15" x14ac:dyDescent="0.2">
      <c r="B8" s="63"/>
      <c r="C8" s="64" t="s">
        <v>37</v>
      </c>
      <c r="D8" s="65" t="s">
        <v>38</v>
      </c>
      <c r="E8" s="65" t="s">
        <v>39</v>
      </c>
      <c r="F8" s="65" t="s">
        <v>40</v>
      </c>
      <c r="G8" s="65" t="s">
        <v>41</v>
      </c>
      <c r="H8" s="65" t="s">
        <v>42</v>
      </c>
      <c r="I8" s="65"/>
      <c r="J8" s="66" t="s">
        <v>43</v>
      </c>
      <c r="K8" s="290"/>
      <c r="L8" s="290"/>
      <c r="M8" s="75"/>
    </row>
    <row r="9" spans="1:15" x14ac:dyDescent="0.2">
      <c r="J9" s="67"/>
      <c r="K9" s="287"/>
      <c r="L9" s="287"/>
    </row>
    <row r="10" spans="1:15" x14ac:dyDescent="0.2">
      <c r="J10" s="67"/>
      <c r="K10" s="287"/>
      <c r="L10" s="287"/>
    </row>
    <row r="11" spans="1:15" x14ac:dyDescent="0.2">
      <c r="A11" s="71">
        <v>33</v>
      </c>
      <c r="B11" s="10" t="s">
        <v>92</v>
      </c>
      <c r="C11" s="95">
        <v>87585994.709999993</v>
      </c>
      <c r="D11" s="118">
        <f>C11/$C$16</f>
        <v>0.3990509923779445</v>
      </c>
      <c r="E11" s="95">
        <v>2399075.36</v>
      </c>
      <c r="F11" s="118">
        <f>E11/$E$16</f>
        <v>0.40175033791308246</v>
      </c>
      <c r="G11" s="76">
        <v>49565</v>
      </c>
      <c r="H11" s="118">
        <f>G11/$G$16</f>
        <v>0.44008097525460149</v>
      </c>
      <c r="I11" s="316" t="s">
        <v>331</v>
      </c>
      <c r="J11" s="119">
        <f>AVERAGE(D11,F11,H11)</f>
        <v>0.41362743518187611</v>
      </c>
      <c r="K11" s="287" t="s">
        <v>310</v>
      </c>
      <c r="L11" s="287" t="s">
        <v>335</v>
      </c>
      <c r="M11" s="118">
        <f>J11*$M$16</f>
        <v>8.3552741906738979E-3</v>
      </c>
      <c r="N11" s="118">
        <f>J11*$N$16</f>
        <v>0.15990836644131332</v>
      </c>
      <c r="O11" s="317" t="s">
        <v>339</v>
      </c>
    </row>
    <row r="12" spans="1:15" x14ac:dyDescent="0.2">
      <c r="A12" s="71">
        <v>34</v>
      </c>
      <c r="B12" s="10" t="s">
        <v>93</v>
      </c>
      <c r="C12" s="95">
        <v>46476972.920000002</v>
      </c>
      <c r="D12" s="118">
        <f>C12/$C$16</f>
        <v>0.21175397080158201</v>
      </c>
      <c r="E12" s="95">
        <v>1535985.08</v>
      </c>
      <c r="F12" s="118">
        <f>E12/$E$16</f>
        <v>0.25721681578166561</v>
      </c>
      <c r="G12" s="76">
        <v>25164</v>
      </c>
      <c r="H12" s="118">
        <f>G12/$G$16</f>
        <v>0.22342777486748294</v>
      </c>
      <c r="I12" s="316" t="s">
        <v>332</v>
      </c>
      <c r="J12" s="119">
        <f>AVERAGE(D12,F12,H12)</f>
        <v>0.23079952048357688</v>
      </c>
      <c r="K12" s="287" t="s">
        <v>311</v>
      </c>
      <c r="L12" s="287" t="s">
        <v>336</v>
      </c>
      <c r="M12" s="118">
        <f>J12*$M$16</f>
        <v>4.662150313768253E-3</v>
      </c>
      <c r="N12" s="118">
        <f>J12*$N$16</f>
        <v>8.9227094618950828E-2</v>
      </c>
      <c r="O12" s="317" t="s">
        <v>340</v>
      </c>
    </row>
    <row r="13" spans="1:15" x14ac:dyDescent="0.2">
      <c r="A13" s="71">
        <v>35</v>
      </c>
      <c r="B13" s="10" t="s">
        <v>94</v>
      </c>
      <c r="C13" s="95">
        <v>46686385.770000003</v>
      </c>
      <c r="D13" s="118">
        <f>C13/$C$16</f>
        <v>0.21270807774397485</v>
      </c>
      <c r="E13" s="95">
        <v>1281439.71</v>
      </c>
      <c r="F13" s="118">
        <f>E13/$E$16</f>
        <v>0.21459052312043353</v>
      </c>
      <c r="G13" s="76">
        <v>20957</v>
      </c>
      <c r="H13" s="118">
        <f>G13/$G$16</f>
        <v>0.18607438713629948</v>
      </c>
      <c r="I13" s="316" t="s">
        <v>333</v>
      </c>
      <c r="J13" s="119">
        <f>AVERAGE(D13,F13,H13)</f>
        <v>0.20445766266690266</v>
      </c>
      <c r="K13" s="287" t="s">
        <v>312</v>
      </c>
      <c r="L13" s="287" t="s">
        <v>337</v>
      </c>
      <c r="M13" s="118">
        <f>J13*$M$16</f>
        <v>4.1300447858714333E-3</v>
      </c>
      <c r="N13" s="118">
        <f>J13*$N$16</f>
        <v>7.9043332387024573E-2</v>
      </c>
      <c r="O13" s="317" t="s">
        <v>341</v>
      </c>
    </row>
    <row r="14" spans="1:15" x14ac:dyDescent="0.2">
      <c r="A14" s="71">
        <v>36</v>
      </c>
      <c r="B14" s="10" t="s">
        <v>95</v>
      </c>
      <c r="C14" s="95">
        <v>38736367.43</v>
      </c>
      <c r="D14" s="118">
        <f>C14/$C$16</f>
        <v>0.17648695907649856</v>
      </c>
      <c r="E14" s="95">
        <v>755057.64</v>
      </c>
      <c r="F14" s="118">
        <f>E14/$E$16</f>
        <v>0.12644232318481841</v>
      </c>
      <c r="G14" s="76">
        <v>16941</v>
      </c>
      <c r="H14" s="118">
        <f>G14/$G$16</f>
        <v>0.15041686274161614</v>
      </c>
      <c r="I14" s="316" t="s">
        <v>334</v>
      </c>
      <c r="J14" s="119">
        <f>AVERAGE(D14,F14,H14)</f>
        <v>0.15111538166764438</v>
      </c>
      <c r="K14" s="287" t="s">
        <v>313</v>
      </c>
      <c r="L14" s="287" t="s">
        <v>338</v>
      </c>
      <c r="M14" s="118">
        <f>J14*$M$16</f>
        <v>3.0525307096864163E-3</v>
      </c>
      <c r="N14" s="118">
        <f>J14*$N$16</f>
        <v>5.8421206552711318E-2</v>
      </c>
      <c r="O14" s="317" t="s">
        <v>342</v>
      </c>
    </row>
    <row r="15" spans="1:15" x14ac:dyDescent="0.2">
      <c r="C15" s="73"/>
      <c r="D15" s="77"/>
      <c r="E15" s="116"/>
      <c r="F15" s="78"/>
      <c r="G15" s="79"/>
      <c r="H15" s="80"/>
      <c r="I15" s="80"/>
      <c r="J15" s="81"/>
      <c r="K15" s="291"/>
      <c r="L15" s="291"/>
      <c r="N15" s="118"/>
    </row>
    <row r="16" spans="1:15" x14ac:dyDescent="0.2">
      <c r="B16" s="10" t="s">
        <v>1</v>
      </c>
      <c r="C16" s="124">
        <f>SUM(C11:C14)</f>
        <v>219485720.83000001</v>
      </c>
      <c r="D16" s="118">
        <f t="shared" ref="D16:H16" si="0">SUM(D11:D14)</f>
        <v>0.99999999999999989</v>
      </c>
      <c r="E16" s="95">
        <f>SUM(E11:E14)</f>
        <v>5971557.79</v>
      </c>
      <c r="F16" s="118">
        <f t="shared" si="0"/>
        <v>1</v>
      </c>
      <c r="G16" s="95">
        <f>SUM(G11:G14)</f>
        <v>112627</v>
      </c>
      <c r="H16" s="118">
        <f t="shared" si="0"/>
        <v>1</v>
      </c>
      <c r="I16" s="118"/>
      <c r="J16" s="119">
        <f>SUM(J11:J14)</f>
        <v>1</v>
      </c>
      <c r="K16" s="287"/>
      <c r="L16" s="287"/>
      <c r="M16" s="118">
        <v>2.0199999999999999E-2</v>
      </c>
      <c r="N16" s="118">
        <v>0.3866</v>
      </c>
    </row>
    <row r="17" spans="1:12" x14ac:dyDescent="0.2">
      <c r="C17" s="124"/>
      <c r="E17" s="38"/>
      <c r="K17" s="287"/>
      <c r="L17" s="287"/>
    </row>
    <row r="18" spans="1:12" x14ac:dyDescent="0.2">
      <c r="A18" s="47"/>
      <c r="B18" s="249"/>
      <c r="C18" s="124"/>
      <c r="E18" s="38"/>
      <c r="G18" s="76"/>
      <c r="K18" s="287"/>
      <c r="L18" s="287"/>
    </row>
    <row r="19" spans="1:12" x14ac:dyDescent="0.2">
      <c r="B19" s="249"/>
      <c r="C19" s="124"/>
    </row>
    <row r="20" spans="1:12" x14ac:dyDescent="0.2">
      <c r="B20" s="249"/>
      <c r="C20" s="124"/>
    </row>
    <row r="21" spans="1:12" x14ac:dyDescent="0.2">
      <c r="B21" s="249"/>
      <c r="C21" s="124"/>
    </row>
    <row r="22" spans="1:12" x14ac:dyDescent="0.2">
      <c r="B22" s="249"/>
      <c r="C22" s="124"/>
    </row>
    <row r="23" spans="1:12" x14ac:dyDescent="0.2">
      <c r="B23" s="249"/>
      <c r="C23" s="124"/>
    </row>
    <row r="24" spans="1:12" x14ac:dyDescent="0.2">
      <c r="B24" s="249"/>
      <c r="C24" s="124"/>
    </row>
    <row r="25" spans="1:12" x14ac:dyDescent="0.2">
      <c r="B25" s="249"/>
      <c r="C25" s="124"/>
    </row>
    <row r="26" spans="1:12" x14ac:dyDescent="0.2">
      <c r="B26" s="249"/>
      <c r="C26" s="124"/>
    </row>
    <row r="27" spans="1:12" x14ac:dyDescent="0.2">
      <c r="B27" s="249"/>
      <c r="C27" s="124"/>
    </row>
    <row r="28" spans="1:12" x14ac:dyDescent="0.2">
      <c r="B28" s="249"/>
      <c r="C28" s="124"/>
    </row>
    <row r="29" spans="1:12" x14ac:dyDescent="0.2">
      <c r="B29" s="249"/>
      <c r="C29" s="124"/>
    </row>
    <row r="30" spans="1:12" x14ac:dyDescent="0.2">
      <c r="B30" s="249"/>
      <c r="C30" s="124"/>
    </row>
    <row r="31" spans="1:12" x14ac:dyDescent="0.2">
      <c r="B31" s="249"/>
      <c r="C31" s="124"/>
    </row>
    <row r="32" spans="1:12" x14ac:dyDescent="0.2">
      <c r="B32" s="249"/>
      <c r="C32" s="124"/>
    </row>
    <row r="33" spans="2:3" x14ac:dyDescent="0.2">
      <c r="B33" s="249"/>
      <c r="C33" s="124"/>
    </row>
    <row r="34" spans="2:3" x14ac:dyDescent="0.2">
      <c r="B34" s="249"/>
      <c r="C34" s="124"/>
    </row>
  </sheetData>
  <mergeCells count="5">
    <mergeCell ref="J5:N5"/>
    <mergeCell ref="A1:J1"/>
    <mergeCell ref="A2:J2"/>
    <mergeCell ref="A3:J3"/>
    <mergeCell ref="A4:J4"/>
  </mergeCells>
  <phoneticPr fontId="0" type="noConversion"/>
  <pageMargins left="0.75" right="0.75" top="1" bottom="1" header="0.5" footer="0.5"/>
  <pageSetup scale="61" orientation="landscape" horizontalDpi="4294967294" verticalDpi="4294967294" r:id="rId1"/>
  <headerFooter alignWithMargins="0">
    <oddFooter>&amp;L&amp;"Times New Roman,Italic"General Accounting&amp;R&amp;"Times New Roman,Italic"&amp;T&amp;D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F0"/>
    <pageSetUpPr fitToPage="1"/>
  </sheetPr>
  <dimension ref="A1:M39"/>
  <sheetViews>
    <sheetView view="pageBreakPreview" zoomScale="60" zoomScaleNormal="100" workbookViewId="0">
      <selection sqref="A1:J1"/>
    </sheetView>
  </sheetViews>
  <sheetFormatPr defaultRowHeight="12.75" x14ac:dyDescent="0.2"/>
  <cols>
    <col min="1" max="1" width="6.140625" style="10" customWidth="1"/>
    <col min="2" max="2" width="24.5703125" style="10" customWidth="1"/>
    <col min="3" max="3" width="15" style="10" customWidth="1"/>
    <col min="4" max="4" width="12.42578125" style="10" customWidth="1"/>
    <col min="5" max="5" width="15.42578125" style="10" customWidth="1"/>
    <col min="6" max="6" width="12.140625" style="10" customWidth="1"/>
    <col min="7" max="7" width="13.28515625" style="10" customWidth="1"/>
    <col min="8" max="8" width="11.42578125" style="10" customWidth="1"/>
    <col min="9" max="9" width="7.5703125" style="10" bestFit="1" customWidth="1"/>
    <col min="10" max="10" width="15.140625" style="10" customWidth="1"/>
    <col min="11" max="11" width="7.5703125" style="10" bestFit="1" customWidth="1"/>
    <col min="12" max="12" width="11.28515625" style="10" customWidth="1"/>
    <col min="13" max="16384" width="9.140625" style="10"/>
  </cols>
  <sheetData>
    <row r="1" spans="1:13" ht="14.25" x14ac:dyDescent="0.2">
      <c r="A1" s="365" t="s">
        <v>17</v>
      </c>
      <c r="B1" s="365"/>
      <c r="C1" s="365"/>
      <c r="D1" s="365"/>
      <c r="E1" s="365"/>
      <c r="F1" s="365"/>
      <c r="G1" s="365"/>
      <c r="H1" s="365"/>
      <c r="I1" s="365"/>
      <c r="J1" s="365"/>
    </row>
    <row r="2" spans="1:13" ht="14.25" x14ac:dyDescent="0.2">
      <c r="A2" s="365" t="s">
        <v>53</v>
      </c>
      <c r="B2" s="365"/>
      <c r="C2" s="365"/>
      <c r="D2" s="365"/>
      <c r="E2" s="365"/>
      <c r="F2" s="365"/>
      <c r="G2" s="365"/>
      <c r="H2" s="365"/>
      <c r="I2" s="365"/>
      <c r="J2" s="365"/>
    </row>
    <row r="3" spans="1:13" ht="14.25" x14ac:dyDescent="0.2">
      <c r="A3" s="366" t="s">
        <v>30</v>
      </c>
      <c r="B3" s="365"/>
      <c r="C3" s="365"/>
      <c r="D3" s="365"/>
      <c r="E3" s="365"/>
      <c r="F3" s="365"/>
      <c r="G3" s="365"/>
      <c r="H3" s="365"/>
      <c r="I3" s="365"/>
      <c r="J3" s="365"/>
    </row>
    <row r="4" spans="1:13" ht="14.25" x14ac:dyDescent="0.2">
      <c r="A4" s="365" t="s">
        <v>343</v>
      </c>
      <c r="B4" s="365"/>
      <c r="C4" s="365"/>
      <c r="D4" s="365"/>
      <c r="E4" s="365"/>
      <c r="F4" s="365"/>
      <c r="G4" s="365"/>
      <c r="H4" s="365"/>
      <c r="I4" s="365"/>
      <c r="J4" s="365"/>
    </row>
    <row r="6" spans="1:13" x14ac:dyDescent="0.2">
      <c r="H6" s="67" t="s">
        <v>74</v>
      </c>
      <c r="I6" s="67"/>
      <c r="J6" s="67" t="s">
        <v>75</v>
      </c>
    </row>
    <row r="7" spans="1:13" ht="38.25" x14ac:dyDescent="0.2">
      <c r="A7" s="60" t="s">
        <v>31</v>
      </c>
      <c r="B7" s="60" t="s">
        <v>32</v>
      </c>
      <c r="C7" s="248" t="s">
        <v>406</v>
      </c>
      <c r="D7" s="61" t="s">
        <v>54</v>
      </c>
      <c r="E7" s="248" t="s">
        <v>407</v>
      </c>
      <c r="F7" s="61" t="s">
        <v>55</v>
      </c>
      <c r="G7" s="248" t="s">
        <v>403</v>
      </c>
      <c r="H7" s="61" t="s">
        <v>56</v>
      </c>
      <c r="I7" s="292" t="s">
        <v>314</v>
      </c>
      <c r="J7" s="62" t="s">
        <v>57</v>
      </c>
      <c r="K7" s="294" t="s">
        <v>314</v>
      </c>
    </row>
    <row r="8" spans="1:13" x14ac:dyDescent="0.2">
      <c r="B8" s="63"/>
      <c r="C8" s="64" t="s">
        <v>37</v>
      </c>
      <c r="D8" s="65" t="s">
        <v>38</v>
      </c>
      <c r="E8" s="65" t="s">
        <v>39</v>
      </c>
      <c r="F8" s="65" t="s">
        <v>40</v>
      </c>
      <c r="G8" s="65" t="s">
        <v>41</v>
      </c>
      <c r="H8" s="65" t="s">
        <v>42</v>
      </c>
      <c r="I8" s="65"/>
      <c r="J8" s="66" t="s">
        <v>43</v>
      </c>
      <c r="K8" s="75"/>
    </row>
    <row r="9" spans="1:13" x14ac:dyDescent="0.2">
      <c r="J9" s="67"/>
    </row>
    <row r="10" spans="1:13" x14ac:dyDescent="0.2">
      <c r="J10" s="67"/>
      <c r="L10" s="47" t="s">
        <v>329</v>
      </c>
      <c r="M10" s="47" t="s">
        <v>330</v>
      </c>
    </row>
    <row r="11" spans="1:13" x14ac:dyDescent="0.2">
      <c r="A11" s="250">
        <v>1</v>
      </c>
      <c r="B11" s="10" t="s">
        <v>58</v>
      </c>
      <c r="C11" s="251">
        <v>0</v>
      </c>
      <c r="D11" s="118">
        <f>C11/$C$29</f>
        <v>0</v>
      </c>
      <c r="E11" s="72">
        <v>50291.93</v>
      </c>
      <c r="F11" s="118">
        <f>E11/$E$29</f>
        <v>2.3976664480962993E-3</v>
      </c>
      <c r="G11" s="72">
        <v>0</v>
      </c>
      <c r="H11" s="131">
        <f>G11/$G$29</f>
        <v>0</v>
      </c>
      <c r="I11" s="131"/>
      <c r="J11" s="120">
        <f>AVERAGE(D11,F11,H11)</f>
        <v>7.9922214936543315E-4</v>
      </c>
      <c r="K11" s="287" t="s">
        <v>274</v>
      </c>
      <c r="L11" s="131">
        <f>ROUND(H11,4)</f>
        <v>0</v>
      </c>
      <c r="M11" s="131">
        <f>ROUND(J11,4)</f>
        <v>8.0000000000000004E-4</v>
      </c>
    </row>
    <row r="12" spans="1:13" x14ac:dyDescent="0.2">
      <c r="A12" s="252">
        <v>3</v>
      </c>
      <c r="B12" s="10" t="s">
        <v>59</v>
      </c>
      <c r="C12" s="251">
        <v>102800323.01000001</v>
      </c>
      <c r="D12" s="118">
        <f t="shared" ref="D12:D27" si="0">C12/$C$29</f>
        <v>0.17596512070254308</v>
      </c>
      <c r="E12" s="72">
        <v>3821938.47</v>
      </c>
      <c r="F12" s="118">
        <f t="shared" ref="F12:F27" si="1">E12/$E$29</f>
        <v>0.18221081665005706</v>
      </c>
      <c r="G12" s="72">
        <v>69022</v>
      </c>
      <c r="H12" s="131">
        <f t="shared" ref="H12:H27" si="2">G12/$G$29</f>
        <v>0.23041665414801388</v>
      </c>
      <c r="I12" s="287" t="s">
        <v>288</v>
      </c>
      <c r="J12" s="120">
        <f>AVERAGE(D12,F12,H12)</f>
        <v>0.19619753050020469</v>
      </c>
      <c r="K12" s="287" t="s">
        <v>275</v>
      </c>
      <c r="L12" s="131">
        <f t="shared" ref="L12:L27" si="3">ROUND(H12,4)</f>
        <v>0.23039999999999999</v>
      </c>
      <c r="M12" s="131">
        <f t="shared" ref="M12:M27" si="4">ROUND(J12,4)</f>
        <v>0.19620000000000001</v>
      </c>
    </row>
    <row r="13" spans="1:13" x14ac:dyDescent="0.2">
      <c r="A13" s="253">
        <v>4</v>
      </c>
      <c r="B13" s="10" t="s">
        <v>60</v>
      </c>
      <c r="C13" s="251">
        <v>1031544.12</v>
      </c>
      <c r="D13" s="118">
        <f t="shared" si="0"/>
        <v>1.7657122105359674E-3</v>
      </c>
      <c r="E13" s="72">
        <v>10954.18</v>
      </c>
      <c r="F13" s="118">
        <f t="shared" si="1"/>
        <v>5.2224024515280126E-4</v>
      </c>
      <c r="G13" s="72">
        <v>1369</v>
      </c>
      <c r="H13" s="131">
        <f t="shared" si="2"/>
        <v>4.5701428461741326E-3</v>
      </c>
      <c r="I13" s="287" t="s">
        <v>289</v>
      </c>
      <c r="J13" s="120">
        <f t="shared" ref="J13:J27" si="5">AVERAGE(D13,F13,H13)</f>
        <v>2.2860317672876336E-3</v>
      </c>
      <c r="K13" s="287" t="s">
        <v>276</v>
      </c>
      <c r="L13" s="131">
        <f t="shared" si="3"/>
        <v>4.5999999999999999E-3</v>
      </c>
      <c r="M13" s="131">
        <f t="shared" si="4"/>
        <v>2.3E-3</v>
      </c>
    </row>
    <row r="14" spans="1:13" x14ac:dyDescent="0.2">
      <c r="A14" s="252">
        <v>5</v>
      </c>
      <c r="B14" s="10" t="s">
        <v>61</v>
      </c>
      <c r="C14" s="251">
        <v>271061554.61000001</v>
      </c>
      <c r="D14" s="118">
        <f t="shared" si="0"/>
        <v>0.46398082980855826</v>
      </c>
      <c r="E14" s="72">
        <v>9643771.9399999995</v>
      </c>
      <c r="F14" s="118">
        <f t="shared" si="1"/>
        <v>0.45976657514695807</v>
      </c>
      <c r="G14" s="72">
        <v>135990</v>
      </c>
      <c r="H14" s="131">
        <f t="shared" si="2"/>
        <v>0.45397642487306084</v>
      </c>
      <c r="I14" s="287" t="s">
        <v>290</v>
      </c>
      <c r="J14" s="120">
        <f t="shared" si="5"/>
        <v>0.45924127660952574</v>
      </c>
      <c r="K14" s="287" t="s">
        <v>277</v>
      </c>
      <c r="L14" s="131">
        <f>ROUND(H14,4)-0.0001</f>
        <v>0.45390000000000003</v>
      </c>
      <c r="M14" s="131">
        <f>ROUND(J14,4)+0.0001</f>
        <v>0.45929999999999999</v>
      </c>
    </row>
    <row r="15" spans="1:13" x14ac:dyDescent="0.2">
      <c r="A15" s="252">
        <v>6</v>
      </c>
      <c r="B15" s="10" t="s">
        <v>62</v>
      </c>
      <c r="C15" s="251">
        <v>3700669.92</v>
      </c>
      <c r="D15" s="118">
        <f t="shared" si="0"/>
        <v>6.3345017805997109E-3</v>
      </c>
      <c r="E15" s="72">
        <v>107668.89</v>
      </c>
      <c r="F15" s="118">
        <f t="shared" si="1"/>
        <v>5.1331115162367236E-3</v>
      </c>
      <c r="G15" s="72">
        <v>2630</v>
      </c>
      <c r="H15" s="131">
        <f t="shared" si="2"/>
        <v>8.779748491919627E-3</v>
      </c>
      <c r="I15" s="287" t="s">
        <v>291</v>
      </c>
      <c r="J15" s="120">
        <f t="shared" si="5"/>
        <v>6.7491205962520208E-3</v>
      </c>
      <c r="K15" s="287" t="s">
        <v>278</v>
      </c>
      <c r="L15" s="131">
        <f t="shared" si="3"/>
        <v>8.8000000000000005E-3</v>
      </c>
      <c r="M15" s="131">
        <f t="shared" si="4"/>
        <v>6.7000000000000002E-3</v>
      </c>
    </row>
    <row r="16" spans="1:13" x14ac:dyDescent="0.2">
      <c r="A16" s="252">
        <v>8</v>
      </c>
      <c r="B16" s="47" t="s">
        <v>106</v>
      </c>
      <c r="C16" s="251">
        <v>0</v>
      </c>
      <c r="D16" s="118">
        <f t="shared" si="0"/>
        <v>0</v>
      </c>
      <c r="E16" s="72">
        <v>86725</v>
      </c>
      <c r="F16" s="118">
        <f t="shared" si="1"/>
        <v>4.1346121079694409E-3</v>
      </c>
      <c r="G16" s="72">
        <v>130</v>
      </c>
      <c r="H16" s="131">
        <f t="shared" si="2"/>
        <v>4.339799634789169E-4</v>
      </c>
      <c r="I16" s="287" t="s">
        <v>292</v>
      </c>
      <c r="J16" s="120">
        <f t="shared" si="5"/>
        <v>1.5228640238161191E-3</v>
      </c>
      <c r="K16" s="287" t="s">
        <v>279</v>
      </c>
      <c r="L16" s="131">
        <f t="shared" si="3"/>
        <v>4.0000000000000002E-4</v>
      </c>
      <c r="M16" s="131">
        <f t="shared" si="4"/>
        <v>1.5E-3</v>
      </c>
    </row>
    <row r="17" spans="1:13" x14ac:dyDescent="0.2">
      <c r="A17" s="252">
        <v>11</v>
      </c>
      <c r="B17" s="10" t="s">
        <v>63</v>
      </c>
      <c r="C17" s="251">
        <v>0</v>
      </c>
      <c r="D17" s="118">
        <f t="shared" si="0"/>
        <v>0</v>
      </c>
      <c r="E17" s="72">
        <v>0</v>
      </c>
      <c r="F17" s="118">
        <f t="shared" si="1"/>
        <v>0</v>
      </c>
      <c r="G17" s="72"/>
      <c r="H17" s="131">
        <f t="shared" si="2"/>
        <v>0</v>
      </c>
      <c r="I17" s="287"/>
      <c r="J17" s="120">
        <f t="shared" si="5"/>
        <v>0</v>
      </c>
      <c r="K17" s="287"/>
      <c r="L17" s="131">
        <f t="shared" si="3"/>
        <v>0</v>
      </c>
      <c r="M17" s="131">
        <f t="shared" si="4"/>
        <v>0</v>
      </c>
    </row>
    <row r="18" spans="1:13" x14ac:dyDescent="0.2">
      <c r="A18" s="252">
        <v>13</v>
      </c>
      <c r="B18" s="10" t="s">
        <v>64</v>
      </c>
      <c r="C18" s="251">
        <v>5501113.46</v>
      </c>
      <c r="D18" s="118">
        <f t="shared" si="0"/>
        <v>9.4163526499145417E-3</v>
      </c>
      <c r="E18" s="72">
        <v>64657.89</v>
      </c>
      <c r="F18" s="118">
        <f t="shared" si="1"/>
        <v>3.0825632155636346E-3</v>
      </c>
      <c r="G18" s="72">
        <v>2603</v>
      </c>
      <c r="H18" s="131">
        <f t="shared" si="2"/>
        <v>8.689614191812467E-3</v>
      </c>
      <c r="I18" s="287" t="s">
        <v>293</v>
      </c>
      <c r="J18" s="120">
        <f t="shared" si="5"/>
        <v>7.0628433524302136E-3</v>
      </c>
      <c r="K18" s="287" t="s">
        <v>280</v>
      </c>
      <c r="L18" s="131">
        <f t="shared" si="3"/>
        <v>8.6999999999999994E-3</v>
      </c>
      <c r="M18" s="131">
        <f t="shared" si="4"/>
        <v>7.1000000000000004E-3</v>
      </c>
    </row>
    <row r="19" spans="1:13" x14ac:dyDescent="0.2">
      <c r="A19" s="252">
        <v>14</v>
      </c>
      <c r="B19" s="10" t="s">
        <v>65</v>
      </c>
      <c r="C19" s="251">
        <v>0</v>
      </c>
      <c r="D19" s="118">
        <f t="shared" si="0"/>
        <v>0</v>
      </c>
      <c r="E19" s="72">
        <v>132882.76</v>
      </c>
      <c r="F19" s="118">
        <f t="shared" si="1"/>
        <v>6.3351821093848059E-3</v>
      </c>
      <c r="G19" s="72">
        <v>70</v>
      </c>
      <c r="H19" s="131">
        <f t="shared" si="2"/>
        <v>2.3368151879633989E-4</v>
      </c>
      <c r="I19" s="287" t="s">
        <v>294</v>
      </c>
      <c r="J19" s="120">
        <f t="shared" si="5"/>
        <v>2.1896212093937151E-3</v>
      </c>
      <c r="K19" s="287" t="s">
        <v>281</v>
      </c>
      <c r="L19" s="131">
        <f t="shared" si="3"/>
        <v>2.0000000000000001E-4</v>
      </c>
      <c r="M19" s="131">
        <f t="shared" si="4"/>
        <v>2.2000000000000001E-3</v>
      </c>
    </row>
    <row r="20" spans="1:13" x14ac:dyDescent="0.2">
      <c r="A20" s="252">
        <v>15</v>
      </c>
      <c r="B20" s="10" t="s">
        <v>66</v>
      </c>
      <c r="C20" s="251">
        <v>0</v>
      </c>
      <c r="D20" s="118">
        <f t="shared" si="0"/>
        <v>0</v>
      </c>
      <c r="E20" s="72">
        <v>175972.66</v>
      </c>
      <c r="F20" s="118">
        <f t="shared" si="1"/>
        <v>8.3894919654954134E-3</v>
      </c>
      <c r="G20" s="72">
        <v>34</v>
      </c>
      <c r="H20" s="131">
        <f t="shared" si="2"/>
        <v>1.1350245198679365E-4</v>
      </c>
      <c r="I20" s="287" t="s">
        <v>295</v>
      </c>
      <c r="J20" s="120">
        <f t="shared" si="5"/>
        <v>2.8343314724940689E-3</v>
      </c>
      <c r="K20" s="287" t="s">
        <v>282</v>
      </c>
      <c r="L20" s="131">
        <f t="shared" si="3"/>
        <v>1E-4</v>
      </c>
      <c r="M20" s="131">
        <f t="shared" si="4"/>
        <v>2.8E-3</v>
      </c>
    </row>
    <row r="21" spans="1:13" x14ac:dyDescent="0.2">
      <c r="A21" s="252">
        <v>16</v>
      </c>
      <c r="B21" s="10" t="s">
        <v>67</v>
      </c>
      <c r="C21" s="251">
        <v>126052636.04000001</v>
      </c>
      <c r="D21" s="118">
        <f t="shared" si="0"/>
        <v>0.21576651382208856</v>
      </c>
      <c r="E21" s="72">
        <v>3067391.58</v>
      </c>
      <c r="F21" s="118">
        <f t="shared" si="1"/>
        <v>0.14623781339350261</v>
      </c>
      <c r="G21" s="72">
        <v>68601</v>
      </c>
      <c r="H21" s="131">
        <f t="shared" si="2"/>
        <v>0.22901122672782445</v>
      </c>
      <c r="I21" s="287" t="s">
        <v>296</v>
      </c>
      <c r="J21" s="120">
        <f t="shared" si="5"/>
        <v>0.19700518464780523</v>
      </c>
      <c r="K21" s="287" t="s">
        <v>283</v>
      </c>
      <c r="L21" s="131">
        <f t="shared" si="3"/>
        <v>0.22900000000000001</v>
      </c>
      <c r="M21" s="131">
        <f t="shared" si="4"/>
        <v>0.19700000000000001</v>
      </c>
    </row>
    <row r="22" spans="1:13" x14ac:dyDescent="0.2">
      <c r="A22" s="252">
        <v>17</v>
      </c>
      <c r="B22" s="10" t="s">
        <v>68</v>
      </c>
      <c r="C22" s="251">
        <v>46245.55</v>
      </c>
      <c r="D22" s="118">
        <f t="shared" si="0"/>
        <v>7.9159321191178531E-5</v>
      </c>
      <c r="E22" s="72">
        <v>18.91</v>
      </c>
      <c r="F22" s="118">
        <f t="shared" si="1"/>
        <v>9.0153375568408331E-7</v>
      </c>
      <c r="G22" s="72"/>
      <c r="H22" s="131">
        <f t="shared" si="2"/>
        <v>0</v>
      </c>
      <c r="I22" s="287"/>
      <c r="J22" s="120">
        <f t="shared" si="5"/>
        <v>2.6686951648954204E-5</v>
      </c>
      <c r="K22" s="287"/>
      <c r="L22" s="131">
        <f t="shared" si="3"/>
        <v>0</v>
      </c>
      <c r="M22" s="131">
        <f t="shared" si="4"/>
        <v>0</v>
      </c>
    </row>
    <row r="23" spans="1:13" x14ac:dyDescent="0.2">
      <c r="A23" s="252">
        <v>18</v>
      </c>
      <c r="B23" s="10" t="s">
        <v>69</v>
      </c>
      <c r="C23" s="251">
        <v>431175.57</v>
      </c>
      <c r="D23" s="118">
        <f t="shared" si="0"/>
        <v>7.3805080565415447E-4</v>
      </c>
      <c r="E23" s="72">
        <v>2579.12</v>
      </c>
      <c r="F23" s="118">
        <f t="shared" si="1"/>
        <v>1.229594785806416E-4</v>
      </c>
      <c r="G23" s="72">
        <v>206</v>
      </c>
      <c r="H23" s="131">
        <f t="shared" si="2"/>
        <v>6.8769132674351455E-4</v>
      </c>
      <c r="I23" s="287" t="s">
        <v>297</v>
      </c>
      <c r="J23" s="120">
        <f t="shared" si="5"/>
        <v>5.1623387032610345E-4</v>
      </c>
      <c r="K23" s="287" t="s">
        <v>284</v>
      </c>
      <c r="L23" s="131">
        <f t="shared" si="3"/>
        <v>6.9999999999999999E-4</v>
      </c>
      <c r="M23" s="131">
        <f t="shared" si="4"/>
        <v>5.0000000000000001E-4</v>
      </c>
    </row>
    <row r="24" spans="1:13" x14ac:dyDescent="0.2">
      <c r="A24" s="252">
        <v>19</v>
      </c>
      <c r="B24" s="10" t="s">
        <v>70</v>
      </c>
      <c r="C24" s="251">
        <v>31641885.379999999</v>
      </c>
      <c r="D24" s="118">
        <f t="shared" si="0"/>
        <v>5.4161971646782797E-2</v>
      </c>
      <c r="E24" s="72">
        <v>2373264.34</v>
      </c>
      <c r="F24" s="118">
        <f t="shared" si="1"/>
        <v>0.11314531537130126</v>
      </c>
      <c r="G24" s="72">
        <v>9</v>
      </c>
      <c r="H24" s="131">
        <f t="shared" si="2"/>
        <v>3.0044766702386555E-5</v>
      </c>
      <c r="I24" s="352" t="s">
        <v>409</v>
      </c>
      <c r="J24" s="120">
        <f t="shared" si="5"/>
        <v>5.5779110594928814E-2</v>
      </c>
      <c r="K24" s="287" t="s">
        <v>285</v>
      </c>
      <c r="L24" s="131">
        <f t="shared" si="3"/>
        <v>0</v>
      </c>
      <c r="M24" s="131">
        <f t="shared" si="4"/>
        <v>5.5800000000000002E-2</v>
      </c>
    </row>
    <row r="25" spans="1:13" x14ac:dyDescent="0.2">
      <c r="A25" s="252">
        <v>20</v>
      </c>
      <c r="B25" s="10" t="s">
        <v>71</v>
      </c>
      <c r="C25" s="251">
        <v>7591063.0499999998</v>
      </c>
      <c r="D25" s="118">
        <f t="shared" si="0"/>
        <v>1.2993756116154685E-2</v>
      </c>
      <c r="E25" s="132">
        <v>108014.61</v>
      </c>
      <c r="F25" s="118">
        <f t="shared" si="1"/>
        <v>5.1495937081994471E-3</v>
      </c>
      <c r="G25" s="72">
        <v>5009</v>
      </c>
      <c r="H25" s="131">
        <f t="shared" si="2"/>
        <v>1.6721581823583808E-2</v>
      </c>
      <c r="I25" s="287" t="s">
        <v>298</v>
      </c>
      <c r="J25" s="120">
        <f t="shared" si="5"/>
        <v>1.162164388264598E-2</v>
      </c>
      <c r="K25" s="287" t="s">
        <v>286</v>
      </c>
      <c r="L25" s="131">
        <f t="shared" si="3"/>
        <v>1.67E-2</v>
      </c>
      <c r="M25" s="131">
        <f t="shared" si="4"/>
        <v>1.1599999999999999E-2</v>
      </c>
    </row>
    <row r="26" spans="1:13" x14ac:dyDescent="0.2">
      <c r="A26" s="252">
        <v>21</v>
      </c>
      <c r="B26" s="10" t="s">
        <v>72</v>
      </c>
      <c r="C26" s="251">
        <v>34350310.840000004</v>
      </c>
      <c r="D26" s="118">
        <f t="shared" si="0"/>
        <v>5.8798031135977015E-2</v>
      </c>
      <c r="E26" s="72">
        <v>1329233.18</v>
      </c>
      <c r="F26" s="118">
        <f t="shared" si="1"/>
        <v>6.3371157109746015E-2</v>
      </c>
      <c r="G26" s="72">
        <v>13880</v>
      </c>
      <c r="H26" s="131">
        <f t="shared" si="2"/>
        <v>4.6335706869902821E-2</v>
      </c>
      <c r="I26" s="287" t="s">
        <v>299</v>
      </c>
      <c r="J26" s="120">
        <f t="shared" si="5"/>
        <v>5.6168298371875286E-2</v>
      </c>
      <c r="K26" s="287" t="s">
        <v>287</v>
      </c>
      <c r="L26" s="131">
        <f t="shared" si="3"/>
        <v>4.6300000000000001E-2</v>
      </c>
      <c r="M26" s="131">
        <f t="shared" si="4"/>
        <v>5.62E-2</v>
      </c>
    </row>
    <row r="27" spans="1:13" x14ac:dyDescent="0.2">
      <c r="A27" s="252">
        <v>40</v>
      </c>
      <c r="B27" s="10" t="s">
        <v>73</v>
      </c>
      <c r="C27" s="251">
        <v>0</v>
      </c>
      <c r="D27" s="118">
        <f t="shared" si="0"/>
        <v>0</v>
      </c>
      <c r="E27" s="128">
        <v>0</v>
      </c>
      <c r="F27" s="118">
        <f t="shared" si="1"/>
        <v>0</v>
      </c>
      <c r="G27" s="74"/>
      <c r="H27" s="131">
        <f t="shared" si="2"/>
        <v>0</v>
      </c>
      <c r="I27" s="131"/>
      <c r="J27" s="120">
        <f t="shared" si="5"/>
        <v>0</v>
      </c>
      <c r="K27" s="287"/>
      <c r="L27" s="131">
        <f t="shared" si="3"/>
        <v>0</v>
      </c>
      <c r="M27" s="131">
        <f t="shared" si="4"/>
        <v>0</v>
      </c>
    </row>
    <row r="28" spans="1:13" x14ac:dyDescent="0.2">
      <c r="C28" s="133"/>
      <c r="E28" s="38"/>
      <c r="F28" s="69"/>
      <c r="G28" s="72"/>
      <c r="J28" s="120"/>
    </row>
    <row r="29" spans="1:13" x14ac:dyDescent="0.2">
      <c r="B29" s="10" t="s">
        <v>1</v>
      </c>
      <c r="C29" s="133">
        <f>SUM(C11:C27)</f>
        <v>584208521.55000007</v>
      </c>
      <c r="D29" s="118">
        <f t="shared" ref="D29:H29" si="6">SUM(D11:D27)</f>
        <v>1</v>
      </c>
      <c r="E29" s="38">
        <f>SUM(E11:E27)</f>
        <v>20975365.460000001</v>
      </c>
      <c r="F29" s="118">
        <f>SUM(F11:F27)</f>
        <v>0.99999999999999989</v>
      </c>
      <c r="G29" s="72">
        <f>SUM(G11:G27)</f>
        <v>299553</v>
      </c>
      <c r="H29" s="118">
        <f t="shared" si="6"/>
        <v>1</v>
      </c>
      <c r="I29" s="118"/>
      <c r="J29" s="120">
        <f>SUM(J11:J27)</f>
        <v>1</v>
      </c>
    </row>
    <row r="30" spans="1:13" x14ac:dyDescent="0.2">
      <c r="C30" s="133"/>
      <c r="E30" s="68"/>
      <c r="G30" s="72"/>
    </row>
    <row r="31" spans="1:13" x14ac:dyDescent="0.2">
      <c r="B31" s="249" t="s">
        <v>272</v>
      </c>
      <c r="C31" s="133">
        <v>588595528.38999999</v>
      </c>
      <c r="E31" s="68">
        <v>30013523.280000001</v>
      </c>
      <c r="G31" s="72">
        <v>299553</v>
      </c>
    </row>
    <row r="32" spans="1:13" x14ac:dyDescent="0.2">
      <c r="B32" s="254"/>
      <c r="C32" s="133"/>
      <c r="E32" s="68"/>
      <c r="G32" s="72"/>
    </row>
    <row r="33" spans="2:9" x14ac:dyDescent="0.2">
      <c r="B33" s="249" t="s">
        <v>262</v>
      </c>
      <c r="C33" s="133">
        <f>C29-C31</f>
        <v>-4387006.8399999142</v>
      </c>
      <c r="D33" s="47"/>
      <c r="E33" s="68">
        <f>E29-E31</f>
        <v>-9038157.8200000003</v>
      </c>
      <c r="F33" s="47"/>
      <c r="G33" s="72">
        <f>G29-G31</f>
        <v>0</v>
      </c>
      <c r="H33" s="47"/>
      <c r="I33" s="47"/>
    </row>
    <row r="34" spans="2:9" x14ac:dyDescent="0.2">
      <c r="B34" s="249" t="s">
        <v>273</v>
      </c>
      <c r="C34" s="133">
        <v>4387006.83</v>
      </c>
      <c r="E34" s="68">
        <v>9038157.8200000003</v>
      </c>
      <c r="G34" s="132" t="s">
        <v>408</v>
      </c>
    </row>
    <row r="35" spans="2:9" x14ac:dyDescent="0.2">
      <c r="B35" s="249" t="s">
        <v>265</v>
      </c>
      <c r="C35" s="133">
        <f>SUM(C33:C34)</f>
        <v>-9.9999140948057175E-3</v>
      </c>
      <c r="E35" s="38">
        <f>SUM(E33:E34)</f>
        <v>0</v>
      </c>
      <c r="G35" s="72"/>
    </row>
    <row r="36" spans="2:9" x14ac:dyDescent="0.2">
      <c r="B36" s="255"/>
      <c r="C36" s="133"/>
    </row>
    <row r="39" spans="2:9" x14ac:dyDescent="0.2">
      <c r="B39" s="67" t="s">
        <v>104</v>
      </c>
    </row>
  </sheetData>
  <mergeCells count="4">
    <mergeCell ref="A1:J1"/>
    <mergeCell ref="A2:J2"/>
    <mergeCell ref="A3:J3"/>
    <mergeCell ref="A4:J4"/>
  </mergeCells>
  <phoneticPr fontId="0" type="noConversion"/>
  <pageMargins left="0.59" right="0.54" top="1" bottom="1" header="0.5" footer="0.5"/>
  <pageSetup scale="79" orientation="landscape" horizontalDpi="4294967294" verticalDpi="4294967294" r:id="rId1"/>
  <headerFooter alignWithMargins="0">
    <oddFooter>&amp;L&amp;"Times New Roman,Italic"&amp;9General Accounting&amp;R&amp;"Times New Roman,Italic"&amp;9&amp;T&amp;D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24</vt:i4>
      </vt:variant>
      <vt:variant>
        <vt:lpstr>Named Ranges</vt:lpstr>
      </vt:variant>
      <vt:variant>
        <vt:i4>12</vt:i4>
      </vt:variant>
    </vt:vector>
  </HeadingPairs>
  <TitlesOfParts>
    <vt:vector size="36" baseType="lpstr">
      <vt:lpstr>4 Factor Composite FY15FINAL</vt:lpstr>
      <vt:lpstr>3 Factor Composite FY15FINAL</vt:lpstr>
      <vt:lpstr>Composite FY13FINAL-old</vt:lpstr>
      <vt:lpstr>Composite FY13 w Impairment</vt:lpstr>
      <vt:lpstr>Composite FY13</vt:lpstr>
      <vt:lpstr>Mid States FY14</vt:lpstr>
      <vt:lpstr>CO KS FY14</vt:lpstr>
      <vt:lpstr>COdiv 2013</vt:lpstr>
      <vt:lpstr>West Texas FY15</vt:lpstr>
      <vt:lpstr>Div 002 Rates</vt:lpstr>
      <vt:lpstr>Div 012 Rates</vt:lpstr>
      <vt:lpstr>Sum customer count</vt:lpstr>
      <vt:lpstr>Summary customer count 2013-old</vt:lpstr>
      <vt:lpstr>Summary LA</vt:lpstr>
      <vt:lpstr>Summary WTX</vt:lpstr>
      <vt:lpstr>Summary Kentucky-Midstates</vt:lpstr>
      <vt:lpstr>Summary CO-KS</vt:lpstr>
      <vt:lpstr>Summary MS</vt:lpstr>
      <vt:lpstr>Summary Mid Tex</vt:lpstr>
      <vt:lpstr>Summary AtmosPipeline</vt:lpstr>
      <vt:lpstr>COKS</vt:lpstr>
      <vt:lpstr>KY, MdSt</vt:lpstr>
      <vt:lpstr>Liberty</vt:lpstr>
      <vt:lpstr>Liberty (2)</vt:lpstr>
      <vt:lpstr>'3 Factor Composite FY15FINAL'!Print_Area</vt:lpstr>
      <vt:lpstr>'4 Factor Composite FY15FINAL'!Print_Area</vt:lpstr>
      <vt:lpstr>COKS!Print_Area</vt:lpstr>
      <vt:lpstr>'Composite FY13FINAL-old'!Print_Area</vt:lpstr>
      <vt:lpstr>'KY, MdSt'!Print_Area</vt:lpstr>
      <vt:lpstr>Liberty!Print_Area</vt:lpstr>
      <vt:lpstr>'Liberty (2)'!Print_Area</vt:lpstr>
      <vt:lpstr>'3 Factor Composite FY15FINAL'!Print_Titles</vt:lpstr>
      <vt:lpstr>'4 Factor Composite FY15FINAL'!Print_Titles</vt:lpstr>
      <vt:lpstr>'Composite FY13'!Print_Titles</vt:lpstr>
      <vt:lpstr>'Composite FY13 w Impairment'!Print_Titles</vt:lpstr>
      <vt:lpstr>'Composite FY13FINAL-old'!Print_Titles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</dc:creator>
  <cp:lastModifiedBy>Eric  Wilen</cp:lastModifiedBy>
  <cp:lastPrinted>2015-12-03T14:47:28Z</cp:lastPrinted>
  <dcterms:created xsi:type="dcterms:W3CDTF">1997-01-25T15:57:40Z</dcterms:created>
  <dcterms:modified xsi:type="dcterms:W3CDTF">2015-12-03T14:47:33Z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SV_QUERY_LIST_4F35BF76-6C0D-4D9B-82B2-816C12CF3733">
    <vt:lpwstr>empty_477D106A-C0D6-4607-AEBD-E2C9D60EA279</vt:lpwstr>
  </property>
</Properties>
</file>