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Schedule 31" sheetId="1" r:id="rId1"/>
  </sheets>
  <definedNames/>
  <calcPr fullCalcOnLoad="1"/>
</workbook>
</file>

<file path=xl/sharedStrings.xml><?xml version="1.0" encoding="utf-8"?>
<sst xmlns="http://schemas.openxmlformats.org/spreadsheetml/2006/main" count="45" uniqueCount="41">
  <si>
    <t>Schedule 31, Page 1 of 1</t>
  </si>
  <si>
    <t>Comparative Operating Statistics - Gas Operations</t>
  </si>
  <si>
    <t xml:space="preserve">KY - Division 009 </t>
  </si>
  <si>
    <t>Three Most Recent Calendar Years</t>
  </si>
  <si>
    <t>Line No.</t>
  </si>
  <si>
    <t>Item</t>
  </si>
  <si>
    <t>Cost</t>
  </si>
  <si>
    <t>% Inc.</t>
  </si>
  <si>
    <t>(a)</t>
  </si>
  <si>
    <t>(b)</t>
  </si>
  <si>
    <t>(c)</t>
  </si>
  <si>
    <t>(d)</t>
  </si>
  <si>
    <t>(e)</t>
  </si>
  <si>
    <t>(f)</t>
  </si>
  <si>
    <t>(g)</t>
  </si>
  <si>
    <t>Cost per MCF of Purchased Gas</t>
  </si>
  <si>
    <t>Cost of Propane Gas per MCF Equivalent for Peak Shaving</t>
  </si>
  <si>
    <t>Cost per MCF of Gas Sold</t>
  </si>
  <si>
    <t>Maintenance Cost per Transmission Mile</t>
  </si>
  <si>
    <t>Maintenance Cost per Distribution Mile</t>
  </si>
  <si>
    <t>Sales Promotion Expense per Customer</t>
  </si>
  <si>
    <t>Administration and General Expense per Customer</t>
  </si>
  <si>
    <t>Wages and Salaries – Charged Expense – per Average Employee</t>
  </si>
  <si>
    <t>Depreciation Expense:</t>
  </si>
  <si>
    <t xml:space="preserve">  Per $100 of Average Gross Depreciable Plant in Service</t>
  </si>
  <si>
    <t>Rents:</t>
  </si>
  <si>
    <t xml:space="preserve">  Per $100 of Average Gross Plant in Service</t>
  </si>
  <si>
    <t>Property Taxes:</t>
  </si>
  <si>
    <t xml:space="preserve">  Per $100 of Average Net Plant in Service</t>
  </si>
  <si>
    <t>Payroll Taxes:</t>
  </si>
  <si>
    <t>Interest Expense:</t>
  </si>
  <si>
    <t xml:space="preserve">  Per $100 of Average Debt Outstanding</t>
  </si>
  <si>
    <t xml:space="preserve">  Per $100 of Average Plant Investment</t>
  </si>
  <si>
    <t xml:space="preserve">  Per MCF Sold</t>
  </si>
  <si>
    <t>Meter Reading Expense per Meter</t>
  </si>
  <si>
    <t>CY 2012</t>
  </si>
  <si>
    <t>CY 2013</t>
  </si>
  <si>
    <t>CY 2014</t>
  </si>
  <si>
    <t>For the Calendar Years 2012 through 2014</t>
  </si>
  <si>
    <t>Per Average Employee whose Salary is charged to expense</t>
  </si>
  <si>
    <t>Atmos Energy Corporation, Kentucky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</si>
</sst>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#,##0.0_);[Red]\(#,##0.0\)"/>
    <numFmt numFmtId="170" formatCode="#,##0.000_);[Red]\(#,##0.000\)"/>
    <numFmt numFmtId="171" formatCode="_(* #,##0.000_);_(* \(#,##0.000\);_(* &quot;-&quot;??_);_(@_)"/>
    <numFmt numFmtId="172" formatCode="_(* #,##0.0000_);_(* \(#,##0.0000\);_(* &quot;-&quot;??_);_(@_)"/>
    <numFmt numFmtId="173" formatCode="_(* #,##0.0_);_(* \(#,##0.0\);_(* &quot;-&quot;??_);_(@_)"/>
    <numFmt numFmtId="174" formatCode="_(* #,##0_);_(* \(#,##0\);_(* &quot;-&quot;??_);_(@_)"/>
    <numFmt numFmtId="175" formatCode="_(* #,##0.0000_);_(* \(#,##0.0000\);_(* &quot;-&quot;????_);_(@_)"/>
  </numFmts>
  <fonts count="4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40" fontId="3" fillId="33" borderId="0">
      <alignment horizontal="right"/>
      <protection/>
    </xf>
    <xf numFmtId="0" fontId="4" fillId="33" borderId="0">
      <alignment horizontal="right"/>
      <protection/>
    </xf>
    <xf numFmtId="0" fontId="5" fillId="33" borderId="9">
      <alignment/>
      <protection/>
    </xf>
    <xf numFmtId="0" fontId="5" fillId="0" borderId="0" applyBorder="0">
      <alignment horizontal="centerContinuous"/>
      <protection/>
    </xf>
    <xf numFmtId="0" fontId="6" fillId="0" borderId="0" applyBorder="0">
      <alignment horizontal="centerContinuous"/>
      <protection/>
    </xf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 wrapText="1"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10" fontId="0" fillId="0" borderId="0" xfId="64" applyNumberFormat="1" applyFont="1" applyFill="1" applyAlignment="1">
      <alignment/>
    </xf>
    <xf numFmtId="43" fontId="0" fillId="0" borderId="0" xfId="0" applyNumberFormat="1" applyFill="1" applyAlignment="1">
      <alignment/>
    </xf>
    <xf numFmtId="0" fontId="8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left" wrapText="1"/>
    </xf>
    <xf numFmtId="43" fontId="8" fillId="0" borderId="11" xfId="0" applyNumberFormat="1" applyFont="1" applyFill="1" applyBorder="1" applyAlignment="1">
      <alignment horizontal="justify" wrapText="1"/>
    </xf>
    <xf numFmtId="10" fontId="8" fillId="0" borderId="11" xfId="64" applyNumberFormat="1" applyFont="1" applyFill="1" applyBorder="1" applyAlignment="1">
      <alignment horizontal="right" wrapText="1"/>
    </xf>
    <xf numFmtId="43" fontId="8" fillId="0" borderId="11" xfId="0" applyNumberFormat="1" applyFont="1" applyBorder="1" applyAlignment="1">
      <alignment horizontal="justify" wrapText="1"/>
    </xf>
    <xf numFmtId="0" fontId="8" fillId="0" borderId="11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left" wrapText="1"/>
    </xf>
    <xf numFmtId="10" fontId="8" fillId="0" borderId="11" xfId="64" applyNumberFormat="1" applyFont="1" applyFill="1" applyBorder="1" applyAlignment="1">
      <alignment horizontal="center" wrapText="1"/>
    </xf>
    <xf numFmtId="41" fontId="8" fillId="0" borderId="11" xfId="0" applyNumberFormat="1" applyFont="1" applyFill="1" applyBorder="1" applyAlignment="1">
      <alignment horizontal="justify" wrapText="1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Output Amounts" xfId="59"/>
    <cellStyle name="Output Column Headings" xfId="60"/>
    <cellStyle name="Output Line Items" xfId="61"/>
    <cellStyle name="Output Report Heading" xfId="62"/>
    <cellStyle name="Output Report Title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workbookViewId="0" topLeftCell="A1">
      <selection activeCell="A1" sqref="A1"/>
    </sheetView>
  </sheetViews>
  <sheetFormatPr defaultColWidth="9.140625" defaultRowHeight="12.75"/>
  <cols>
    <col min="2" max="2" width="26.8515625" style="0" customWidth="1"/>
    <col min="3" max="3" width="14.57421875" style="0" customWidth="1"/>
    <col min="5" max="5" width="14.8515625" style="0" customWidth="1"/>
    <col min="7" max="7" width="15.8515625" style="0" customWidth="1"/>
  </cols>
  <sheetData>
    <row r="1" ht="12.75">
      <c r="A1" s="1" t="s">
        <v>40</v>
      </c>
    </row>
    <row r="2" spans="1:6" ht="12.75">
      <c r="A2" s="1" t="s">
        <v>1</v>
      </c>
      <c r="F2" s="1" t="s">
        <v>0</v>
      </c>
    </row>
    <row r="3" ht="12.75">
      <c r="A3" s="1" t="s">
        <v>38</v>
      </c>
    </row>
    <row r="4" ht="12.75">
      <c r="A4" s="1" t="s">
        <v>2</v>
      </c>
    </row>
    <row r="7" spans="1:8" ht="12.75">
      <c r="A7" s="21"/>
      <c r="C7" s="22" t="s">
        <v>3</v>
      </c>
      <c r="D7" s="23"/>
      <c r="E7" s="23"/>
      <c r="F7" s="23"/>
      <c r="G7" s="23"/>
      <c r="H7" s="24"/>
    </row>
    <row r="8" spans="1:8" ht="12.75">
      <c r="A8" s="21"/>
      <c r="C8" s="25"/>
      <c r="D8" s="26"/>
      <c r="E8" s="26"/>
      <c r="F8" s="26"/>
      <c r="G8" s="26"/>
      <c r="H8" s="27"/>
    </row>
    <row r="9" spans="1:8" ht="13.5" customHeight="1">
      <c r="A9" s="2"/>
      <c r="B9" s="2"/>
      <c r="C9" s="19" t="s">
        <v>37</v>
      </c>
      <c r="D9" s="20"/>
      <c r="E9" s="19" t="s">
        <v>36</v>
      </c>
      <c r="F9" s="20"/>
      <c r="G9" s="19" t="s">
        <v>35</v>
      </c>
      <c r="H9" s="20"/>
    </row>
    <row r="10" spans="1:8" ht="12.75">
      <c r="A10" s="17" t="s">
        <v>4</v>
      </c>
      <c r="B10" s="17" t="s">
        <v>5</v>
      </c>
      <c r="C10" s="17" t="s">
        <v>6</v>
      </c>
      <c r="D10" s="17" t="s">
        <v>7</v>
      </c>
      <c r="E10" s="17" t="s">
        <v>6</v>
      </c>
      <c r="F10" s="17" t="s">
        <v>7</v>
      </c>
      <c r="G10" s="17" t="s">
        <v>6</v>
      </c>
      <c r="H10" s="17" t="s">
        <v>7</v>
      </c>
    </row>
    <row r="11" spans="1:8" ht="12.75">
      <c r="A11" s="18"/>
      <c r="B11" s="18" t="s">
        <v>8</v>
      </c>
      <c r="C11" s="18" t="s">
        <v>9</v>
      </c>
      <c r="D11" s="18" t="s">
        <v>10</v>
      </c>
      <c r="E11" s="18" t="s">
        <v>11</v>
      </c>
      <c r="F11" s="18" t="s">
        <v>12</v>
      </c>
      <c r="G11" s="18" t="s">
        <v>13</v>
      </c>
      <c r="H11" s="18" t="s">
        <v>14</v>
      </c>
    </row>
    <row r="12" spans="1:11" s="3" customFormat="1" ht="12.75">
      <c r="A12" s="13">
        <v>1</v>
      </c>
      <c r="B12" s="14" t="s">
        <v>15</v>
      </c>
      <c r="C12" s="10">
        <v>5.54</v>
      </c>
      <c r="D12" s="15">
        <f>-1+C12/E12</f>
        <v>0.0757281553398057</v>
      </c>
      <c r="E12" s="10">
        <v>5.15</v>
      </c>
      <c r="F12" s="15">
        <f>-1+E12/G12</f>
        <v>0.12200435729847503</v>
      </c>
      <c r="G12" s="10">
        <v>4.59</v>
      </c>
      <c r="H12" s="10"/>
      <c r="J12" s="4"/>
      <c r="K12" s="6"/>
    </row>
    <row r="13" spans="1:11" s="3" customFormat="1" ht="24">
      <c r="A13" s="13">
        <v>2</v>
      </c>
      <c r="B13" s="14" t="s">
        <v>16</v>
      </c>
      <c r="C13" s="10"/>
      <c r="D13" s="10"/>
      <c r="E13" s="10"/>
      <c r="F13" s="10"/>
      <c r="G13" s="10"/>
      <c r="H13" s="10"/>
      <c r="I13" s="5"/>
      <c r="J13" s="6"/>
      <c r="K13" s="6"/>
    </row>
    <row r="14" spans="1:8" s="3" customFormat="1" ht="12.75">
      <c r="A14" s="13">
        <v>3</v>
      </c>
      <c r="B14" s="14" t="s">
        <v>17</v>
      </c>
      <c r="C14" s="10">
        <v>6.08</v>
      </c>
      <c r="D14" s="15">
        <f aca="true" t="shared" si="0" ref="D14:D22">-1+C14/E14</f>
        <v>0.14500941619585705</v>
      </c>
      <c r="E14" s="10">
        <v>5.31</v>
      </c>
      <c r="F14" s="15">
        <f aca="true" t="shared" si="1" ref="F14:F22">-1+E14/G14</f>
        <v>0.08146639511201625</v>
      </c>
      <c r="G14" s="10">
        <v>4.91</v>
      </c>
      <c r="H14" s="10"/>
    </row>
    <row r="15" spans="1:11" s="3" customFormat="1" ht="24">
      <c r="A15" s="13">
        <v>4</v>
      </c>
      <c r="B15" s="14" t="s">
        <v>18</v>
      </c>
      <c r="C15" s="10">
        <f>8311/195.5</f>
        <v>42.51150895140665</v>
      </c>
      <c r="D15" s="15">
        <f t="shared" si="0"/>
        <v>-0.5677432776824258</v>
      </c>
      <c r="E15" s="10">
        <f>20358/207</f>
        <v>98.34782608695652</v>
      </c>
      <c r="F15" s="15">
        <f t="shared" si="1"/>
        <v>-0.33586492079803465</v>
      </c>
      <c r="G15" s="10">
        <f>33467/226</f>
        <v>148.08407079646017</v>
      </c>
      <c r="H15" s="10"/>
      <c r="I15" s="5"/>
      <c r="K15" s="7"/>
    </row>
    <row r="16" spans="1:11" s="3" customFormat="1" ht="24">
      <c r="A16" s="13">
        <v>5</v>
      </c>
      <c r="B16" s="14" t="s">
        <v>19</v>
      </c>
      <c r="C16" s="10">
        <f>216456/3934</f>
        <v>55.021860701576</v>
      </c>
      <c r="D16" s="15">
        <f t="shared" si="0"/>
        <v>-0.029001248797560275</v>
      </c>
      <c r="E16" s="10">
        <f>222411/3925</f>
        <v>56.665222929936306</v>
      </c>
      <c r="F16" s="15">
        <f t="shared" si="1"/>
        <v>0.19509004066934588</v>
      </c>
      <c r="G16" s="10">
        <f>177996/3754</f>
        <v>47.41502397442728</v>
      </c>
      <c r="H16" s="10"/>
      <c r="K16" s="6"/>
    </row>
    <row r="17" spans="1:10" s="3" customFormat="1" ht="24">
      <c r="A17" s="13">
        <v>6</v>
      </c>
      <c r="B17" s="14" t="s">
        <v>20</v>
      </c>
      <c r="C17" s="10">
        <f>343658/174376</f>
        <v>1.970787264302427</v>
      </c>
      <c r="D17" s="15">
        <f t="shared" si="0"/>
        <v>0.05084743482577836</v>
      </c>
      <c r="E17" s="10">
        <f>328044/174917</f>
        <v>1.8754266309163774</v>
      </c>
      <c r="F17" s="15">
        <f t="shared" si="1"/>
        <v>0.04549332938620787</v>
      </c>
      <c r="G17" s="10">
        <f>310338/173004</f>
        <v>1.7938197960740792</v>
      </c>
      <c r="H17" s="10"/>
      <c r="J17" s="4"/>
    </row>
    <row r="18" spans="1:8" s="3" customFormat="1" ht="24">
      <c r="A18" s="13">
        <v>7</v>
      </c>
      <c r="B18" s="14" t="s">
        <v>21</v>
      </c>
      <c r="C18" s="10">
        <f>15775989/174376</f>
        <v>90.47110267468</v>
      </c>
      <c r="D18" s="15">
        <f t="shared" si="0"/>
        <v>0.004294773745372016</v>
      </c>
      <c r="E18" s="10">
        <f>15757260/174917</f>
        <v>90.08421136882065</v>
      </c>
      <c r="F18" s="15">
        <f t="shared" si="1"/>
        <v>0.08882345076179199</v>
      </c>
      <c r="G18" s="10">
        <f>14313550/173004</f>
        <v>82.73537028045594</v>
      </c>
      <c r="H18" s="10"/>
    </row>
    <row r="19" spans="1:8" s="3" customFormat="1" ht="36">
      <c r="A19" s="13">
        <v>8</v>
      </c>
      <c r="B19" s="14" t="s">
        <v>22</v>
      </c>
      <c r="C19" s="16">
        <f>5047796/177</f>
        <v>28518.621468926554</v>
      </c>
      <c r="D19" s="15">
        <f t="shared" si="0"/>
        <v>-0.03954176328013714</v>
      </c>
      <c r="E19" s="16">
        <f>5166534/174</f>
        <v>29692.724137931036</v>
      </c>
      <c r="F19" s="15">
        <f t="shared" si="1"/>
        <v>0.06523745969889583</v>
      </c>
      <c r="G19" s="16">
        <f>4627130/166</f>
        <v>27874.277108433736</v>
      </c>
      <c r="H19" s="10"/>
    </row>
    <row r="20" spans="1:8" s="3" customFormat="1" ht="12.75">
      <c r="A20" s="13">
        <v>9</v>
      </c>
      <c r="B20" s="14" t="s">
        <v>23</v>
      </c>
      <c r="C20" s="16">
        <v>16796962</v>
      </c>
      <c r="D20" s="15">
        <f t="shared" si="0"/>
        <v>0.13095775782084274</v>
      </c>
      <c r="E20" s="16">
        <v>14851980</v>
      </c>
      <c r="F20" s="15">
        <f t="shared" si="1"/>
        <v>0.06648798971482539</v>
      </c>
      <c r="G20" s="16">
        <v>13926064</v>
      </c>
      <c r="H20" s="10"/>
    </row>
    <row r="21" spans="1:9" s="3" customFormat="1" ht="24">
      <c r="A21" s="13">
        <v>10</v>
      </c>
      <c r="B21" s="14" t="s">
        <v>24</v>
      </c>
      <c r="C21" s="10">
        <f>C20/4222696</f>
        <v>3.9777814931503475</v>
      </c>
      <c r="D21" s="15">
        <f t="shared" si="0"/>
        <v>0.04901433096887975</v>
      </c>
      <c r="E21" s="10">
        <f>E20/3916741</f>
        <v>3.7919229277606052</v>
      </c>
      <c r="F21" s="15">
        <f t="shared" si="1"/>
        <v>0.005153387267736731</v>
      </c>
      <c r="G21" s="10">
        <f>G20/3691486</f>
        <v>3.772481867735649</v>
      </c>
      <c r="H21" s="10"/>
      <c r="I21" s="5"/>
    </row>
    <row r="22" spans="1:9" s="3" customFormat="1" ht="12.75">
      <c r="A22" s="13">
        <v>11</v>
      </c>
      <c r="B22" s="14" t="s">
        <v>25</v>
      </c>
      <c r="C22" s="16">
        <v>384920</v>
      </c>
      <c r="D22" s="15">
        <f t="shared" si="0"/>
        <v>0.007311724405039133</v>
      </c>
      <c r="E22" s="16">
        <v>382126</v>
      </c>
      <c r="F22" s="15">
        <f t="shared" si="1"/>
        <v>0.03921611287278415</v>
      </c>
      <c r="G22" s="16">
        <v>367706</v>
      </c>
      <c r="H22" s="10"/>
      <c r="I22" s="5"/>
    </row>
    <row r="23" spans="1:9" s="3" customFormat="1" ht="24">
      <c r="A23" s="13">
        <v>12</v>
      </c>
      <c r="B23" s="14" t="s">
        <v>26</v>
      </c>
      <c r="C23" s="10">
        <f>C22/4222696</f>
        <v>0.09115503460348555</v>
      </c>
      <c r="D23" s="15">
        <f>+C23/E23-1</f>
        <v>-0.06567294194090267</v>
      </c>
      <c r="E23" s="10">
        <f>E22/3916741</f>
        <v>0.09756223349973868</v>
      </c>
      <c r="F23" s="15">
        <f>+E23/G23-1</f>
        <v>-0.020550061481138915</v>
      </c>
      <c r="G23" s="10">
        <f>G22/3691486</f>
        <v>0.09960920886602306</v>
      </c>
      <c r="H23" s="10"/>
      <c r="I23" s="5"/>
    </row>
    <row r="24" spans="1:9" s="3" customFormat="1" ht="12.75">
      <c r="A24" s="13">
        <v>13</v>
      </c>
      <c r="B24" s="14" t="s">
        <v>27</v>
      </c>
      <c r="C24" s="16">
        <v>3547794</v>
      </c>
      <c r="D24" s="15">
        <f>-1+C24/E24</f>
        <v>0.3196964224404568</v>
      </c>
      <c r="E24" s="16">
        <v>2688341</v>
      </c>
      <c r="F24" s="15">
        <f>-1+E24/G24</f>
        <v>-0.16508867323082121</v>
      </c>
      <c r="G24" s="16">
        <v>3219912</v>
      </c>
      <c r="H24" s="10"/>
      <c r="I24" s="5"/>
    </row>
    <row r="25" spans="1:8" s="3" customFormat="1" ht="24">
      <c r="A25" s="13">
        <v>14</v>
      </c>
      <c r="B25" s="14" t="s">
        <v>28</v>
      </c>
      <c r="C25" s="10">
        <f>C24/4222696</f>
        <v>0.8401727237764689</v>
      </c>
      <c r="D25" s="15">
        <f>+C25/E25-1</f>
        <v>0.22407795525082963</v>
      </c>
      <c r="E25" s="10">
        <f>E24/3916741</f>
        <v>0.686371909707586</v>
      </c>
      <c r="F25" s="15">
        <f>+E25/G25-1</f>
        <v>-0.21310511110899377</v>
      </c>
      <c r="G25" s="10">
        <f>G24/3691486</f>
        <v>0.8722536127727425</v>
      </c>
      <c r="H25" s="10"/>
    </row>
    <row r="26" spans="1:9" s="3" customFormat="1" ht="12.75">
      <c r="A26" s="13">
        <v>15</v>
      </c>
      <c r="B26" s="14" t="s">
        <v>29</v>
      </c>
      <c r="C26" s="16">
        <v>350272</v>
      </c>
      <c r="D26" s="15">
        <f>+C26/E26-1</f>
        <v>0.018300642194100103</v>
      </c>
      <c r="E26" s="16">
        <v>343977</v>
      </c>
      <c r="F26" s="15">
        <f>+E26/G26-1</f>
        <v>0.04811920106037748</v>
      </c>
      <c r="G26" s="16">
        <v>328185</v>
      </c>
      <c r="H26" s="10"/>
      <c r="I26" s="5"/>
    </row>
    <row r="27" spans="1:8" s="3" customFormat="1" ht="24">
      <c r="A27" s="13">
        <v>16</v>
      </c>
      <c r="B27" s="14" t="s">
        <v>39</v>
      </c>
      <c r="C27" s="10">
        <f>C26/177</f>
        <v>1978.9378531073446</v>
      </c>
      <c r="D27" s="15">
        <f>+C27/E27-1</f>
        <v>0.0010413092755561237</v>
      </c>
      <c r="E27" s="10">
        <f>E26/174</f>
        <v>1976.8793103448277</v>
      </c>
      <c r="F27" s="15">
        <f>+E27/G27-1</f>
        <v>-7.018749412257552E-05</v>
      </c>
      <c r="G27" s="10">
        <f>G26/166</f>
        <v>1977.0180722891566</v>
      </c>
      <c r="H27" s="10"/>
    </row>
    <row r="28" spans="1:8" s="3" customFormat="1" ht="12.75">
      <c r="A28" s="13">
        <v>17</v>
      </c>
      <c r="B28" s="14" t="s">
        <v>30</v>
      </c>
      <c r="C28" s="16">
        <v>6341750</v>
      </c>
      <c r="D28" s="15">
        <f>+C28/E28-1</f>
        <v>-0.0003411143341476297</v>
      </c>
      <c r="E28" s="16">
        <v>6343914</v>
      </c>
      <c r="F28" s="15">
        <f>+E28/G28-1</f>
        <v>0.19561881934056502</v>
      </c>
      <c r="G28" s="16">
        <v>5305967</v>
      </c>
      <c r="H28" s="10"/>
    </row>
    <row r="29" spans="1:8" s="3" customFormat="1" ht="24">
      <c r="A29" s="13">
        <v>18</v>
      </c>
      <c r="B29" s="14" t="s">
        <v>31</v>
      </c>
      <c r="C29" s="10">
        <f>C28/1291221</f>
        <v>4.911436539523443</v>
      </c>
      <c r="D29" s="11">
        <f>-1+C29/E29</f>
        <v>-0.08334892353437096</v>
      </c>
      <c r="E29" s="10">
        <f>E28/1184003</f>
        <v>5.358021896903978</v>
      </c>
      <c r="F29" s="11">
        <f>-1+E29/G29</f>
        <v>-0.03528952913871275</v>
      </c>
      <c r="G29" s="10">
        <f>G28/955338</f>
        <v>5.554020671217936</v>
      </c>
      <c r="H29" s="10"/>
    </row>
    <row r="30" spans="1:8" s="3" customFormat="1" ht="24">
      <c r="A30" s="13">
        <v>19</v>
      </c>
      <c r="B30" s="14" t="s">
        <v>32</v>
      </c>
      <c r="C30" s="10">
        <f>C28/4222696</f>
        <v>1.5018249004901134</v>
      </c>
      <c r="D30" s="11">
        <f>-1+C30/E30</f>
        <v>-0.07277129504426649</v>
      </c>
      <c r="E30" s="10">
        <f>E28/3916741</f>
        <v>1.6196919837180963</v>
      </c>
      <c r="F30" s="11">
        <f>+E30/G30-1</f>
        <v>0.1268577965538762</v>
      </c>
      <c r="G30" s="10">
        <f>G28/3691486</f>
        <v>1.4373526000098604</v>
      </c>
      <c r="H30" s="10"/>
    </row>
    <row r="31" spans="1:8" s="3" customFormat="1" ht="12.75">
      <c r="A31" s="13">
        <v>20</v>
      </c>
      <c r="B31" s="14" t="s">
        <v>33</v>
      </c>
      <c r="C31" s="10">
        <f>C28/19423015</f>
        <v>0.32650698153710944</v>
      </c>
      <c r="D31" s="11">
        <f>-1+C31/E31</f>
        <v>-0.08242800713978549</v>
      </c>
      <c r="E31" s="10">
        <f>E28/17828096</f>
        <v>0.3558379986286814</v>
      </c>
      <c r="F31" s="11">
        <f>+E31/G31-1</f>
        <v>-0.03554312373884039</v>
      </c>
      <c r="G31" s="10">
        <f>G28/14381197</f>
        <v>0.3689516943547884</v>
      </c>
      <c r="H31" s="10"/>
    </row>
    <row r="32" spans="1:8" ht="24">
      <c r="A32" s="8">
        <v>21</v>
      </c>
      <c r="B32" s="9" t="s">
        <v>34</v>
      </c>
      <c r="C32" s="10">
        <f>1483439/178480</f>
        <v>8.311513895114299</v>
      </c>
      <c r="D32" s="11">
        <f>-1+C32/E32</f>
        <v>-0.006454885184559278</v>
      </c>
      <c r="E32" s="10">
        <f>1487798/177849</f>
        <v>8.36551231662815</v>
      </c>
      <c r="F32" s="11">
        <f>+E32/G32-1</f>
        <v>0.1284384913547585</v>
      </c>
      <c r="G32" s="10">
        <f>1314721/177345</f>
        <v>7.41335250500437</v>
      </c>
      <c r="H32" s="12"/>
    </row>
  </sheetData>
  <sheetProtection/>
  <mergeCells count="5">
    <mergeCell ref="C9:D9"/>
    <mergeCell ref="E9:F9"/>
    <mergeCell ref="G9:H9"/>
    <mergeCell ref="A7:A8"/>
    <mergeCell ref="C7:H8"/>
  </mergeCells>
  <printOptions horizontalCentered="1"/>
  <pageMargins left="0.75" right="0.75" top="1" bottom="1" header="0.5" footer="0.5"/>
  <pageSetup fitToHeight="1" fitToWidth="1" horizontalDpi="600" verticalDpi="600" orientation="landscape" scale="84" r:id="rId1"/>
  <headerFooter alignWithMargins="0">
    <oddHeader>&amp;RCASE NO. 2015-00343
ATTACHMENT 1
TO STAFF DR NO. 1-31</oddHeader>
  </headerFooter>
  <ignoredErrors>
    <ignoredError sqref="E15:E19 E21 E29:F29 E27 D23:H23 D26 D25:E25 F25 D33:H35 D27:D28 F28 D29 H29 D24 H24 F24 H25 H26 F26 F27 H27 H28 D30 H30 F30 D31 H31 F31 D32 H32 F3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Atmos Energy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Harrington</dc:creator>
  <cp:keywords/>
  <dc:description/>
  <cp:lastModifiedBy>Eric  Wilen</cp:lastModifiedBy>
  <cp:lastPrinted>2015-11-10T15:53:20Z</cp:lastPrinted>
  <dcterms:created xsi:type="dcterms:W3CDTF">2009-11-12T13:08:29Z</dcterms:created>
  <dcterms:modified xsi:type="dcterms:W3CDTF">2015-11-10T15:53:25Z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