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27795" windowHeight="12075"/>
  </bookViews>
  <sheets>
    <sheet name="C.1" sheetId="1" r:id="rId1"/>
    <sheet name="C.2" sheetId="2" r:id="rId2"/>
    <sheet name="C.2.1 B" sheetId="3" r:id="rId3"/>
    <sheet name="C.2.2 B 09" sheetId="4" r:id="rId4"/>
    <sheet name="C.2.2 B 02" sheetId="5" r:id="rId5"/>
    <sheet name="C.2.2 B 12" sheetId="6" r:id="rId6"/>
    <sheet name="C.2.2 B 91" sheetId="7" r:id="rId7"/>
    <sheet name="E" sheetId="8" r:id="rId8"/>
  </sheets>
  <definedNames>
    <definedName name="_Div012">#REF!</definedName>
    <definedName name="_Div02">#REF!</definedName>
    <definedName name="_Div091">#REF!</definedName>
    <definedName name="Case_No._2006_00464">#REF!</definedName>
    <definedName name="csDesignMode">1</definedName>
    <definedName name="Div012Cap">#REF!</definedName>
    <definedName name="Div02Cap">#REF!</definedName>
    <definedName name="Div091Cap">#REF!</definedName>
    <definedName name="Div09cap">#REF!</definedName>
    <definedName name="kytax">#REF!</definedName>
    <definedName name="ltdrate">#REF!</definedName>
    <definedName name="_xlnm.Print_Area" localSheetId="0">C.1!$A$1:$J$31</definedName>
    <definedName name="_xlnm.Print_Area" localSheetId="1">C.2!$A$1:$O$34</definedName>
    <definedName name="_xlnm.Print_Area" localSheetId="2">'C.2.1 B'!$A$1:$D$182</definedName>
    <definedName name="_xlnm.Print_Area" localSheetId="4">'C.2.2 B 02'!$A$1:$P$44</definedName>
    <definedName name="_xlnm.Print_Area" localSheetId="3">'C.2.2 B 09'!$A$1:$P$116</definedName>
    <definedName name="_xlnm.Print_Area" localSheetId="5">'C.2.2 B 12'!$A$1:$P$38</definedName>
    <definedName name="_xlnm.Print_Area" localSheetId="6">'C.2.2 B 91'!$A$1:$P$58</definedName>
    <definedName name="_xlnm.Print_Area" localSheetId="7">E!$A$1:$H$37</definedName>
    <definedName name="_xlnm.Print_Titles" localSheetId="2">'C.2.1 B'!$1:$12</definedName>
    <definedName name="_xlnm.Print_Titles" localSheetId="4">'C.2.2 B 02'!$1:$11</definedName>
    <definedName name="_xlnm.Print_Titles" localSheetId="3">'C.2.2 B 09'!$1:$11</definedName>
    <definedName name="_xlnm.Print_Titles" localSheetId="5">'C.2.2 B 12'!$1:$11</definedName>
    <definedName name="_xlnm.Print_Titles" localSheetId="6">'C.2.2 B 91'!$1:$11</definedName>
    <definedName name="ROR">#REF!</definedName>
    <definedName name="stdrate">#REF!</definedName>
  </definedNames>
  <calcPr calcId="145621"/>
</workbook>
</file>

<file path=xl/calcChain.xml><?xml version="1.0" encoding="utf-8"?>
<calcChain xmlns="http://schemas.openxmlformats.org/spreadsheetml/2006/main">
  <c r="D55" i="3" l="1"/>
  <c r="D54" i="3"/>
  <c r="A54" i="3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P55" i="4"/>
  <c r="N54" i="7"/>
  <c r="N34" i="6"/>
  <c r="N40" i="5"/>
  <c r="A27" i="6"/>
  <c r="A28" i="6" s="1"/>
  <c r="A29" i="6" s="1"/>
  <c r="A30" i="6" s="1"/>
  <c r="A31" i="6" s="1"/>
  <c r="A32" i="6" s="1"/>
  <c r="A33" i="6" s="1"/>
  <c r="A34" i="6" s="1"/>
  <c r="A35" i="6" s="1"/>
  <c r="N113" i="4"/>
  <c r="A55" i="4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M54" i="7" l="1"/>
  <c r="M34" i="6"/>
  <c r="M40" i="5"/>
  <c r="L53" i="7" l="1"/>
  <c r="L54" i="7"/>
  <c r="L34" i="6"/>
  <c r="L40" i="5"/>
  <c r="E21" i="8" l="1"/>
  <c r="G17" i="8"/>
  <c r="E17" i="8"/>
  <c r="G15" i="8"/>
  <c r="F54" i="7"/>
  <c r="K53" i="7"/>
  <c r="K54" i="7" s="1"/>
  <c r="G53" i="7"/>
  <c r="G54" i="7" s="1"/>
  <c r="D53" i="7"/>
  <c r="C53" i="7"/>
  <c r="B53" i="7"/>
  <c r="K51" i="7"/>
  <c r="J51" i="7"/>
  <c r="J53" i="7" s="1"/>
  <c r="J54" i="7" s="1"/>
  <c r="I51" i="7"/>
  <c r="I53" i="7" s="1"/>
  <c r="I54" i="7" s="1"/>
  <c r="H51" i="7"/>
  <c r="H53" i="7" s="1"/>
  <c r="H54" i="7" s="1"/>
  <c r="G51" i="7"/>
  <c r="F51" i="7"/>
  <c r="F53" i="7" s="1"/>
  <c r="E51" i="7"/>
  <c r="E53" i="7" s="1"/>
  <c r="E54" i="7" s="1"/>
  <c r="D51" i="7"/>
  <c r="P49" i="7"/>
  <c r="P48" i="7"/>
  <c r="P47" i="7"/>
  <c r="P46" i="7"/>
  <c r="P45" i="7"/>
  <c r="P44" i="7"/>
  <c r="O43" i="7"/>
  <c r="N51" i="7"/>
  <c r="M53" i="7"/>
  <c r="L51" i="7"/>
  <c r="P42" i="7"/>
  <c r="P4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A19" i="7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P18" i="7"/>
  <c r="P17" i="7"/>
  <c r="A17" i="7"/>
  <c r="A18" i="7" s="1"/>
  <c r="P16" i="7"/>
  <c r="P15" i="7"/>
  <c r="A15" i="7"/>
  <c r="A16" i="7" s="1"/>
  <c r="P14" i="7"/>
  <c r="P13" i="7"/>
  <c r="P12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O9" i="7"/>
  <c r="N9" i="7"/>
  <c r="M9" i="7"/>
  <c r="L9" i="7"/>
  <c r="K9" i="7"/>
  <c r="J9" i="7"/>
  <c r="I9" i="7"/>
  <c r="H9" i="7"/>
  <c r="G9" i="7"/>
  <c r="F9" i="7"/>
  <c r="E9" i="7"/>
  <c r="D9" i="7"/>
  <c r="P8" i="7"/>
  <c r="K34" i="6"/>
  <c r="I34" i="6"/>
  <c r="H34" i="6"/>
  <c r="G34" i="6"/>
  <c r="E34" i="6"/>
  <c r="D34" i="6"/>
  <c r="K33" i="6"/>
  <c r="J33" i="6"/>
  <c r="J34" i="6" s="1"/>
  <c r="I33" i="6"/>
  <c r="H33" i="6"/>
  <c r="G33" i="6"/>
  <c r="F33" i="6"/>
  <c r="F34" i="6" s="1"/>
  <c r="E33" i="6"/>
  <c r="D33" i="6"/>
  <c r="C33" i="6"/>
  <c r="B33" i="6"/>
  <c r="K31" i="6"/>
  <c r="J31" i="6"/>
  <c r="I31" i="6"/>
  <c r="H31" i="6"/>
  <c r="G31" i="6"/>
  <c r="F31" i="6"/>
  <c r="E31" i="6"/>
  <c r="D31" i="6"/>
  <c r="P29" i="6"/>
  <c r="P28" i="6"/>
  <c r="P26" i="6"/>
  <c r="P25" i="6"/>
  <c r="P24" i="6"/>
  <c r="P23" i="6"/>
  <c r="O22" i="6"/>
  <c r="O31" i="6" s="1"/>
  <c r="N31" i="6"/>
  <c r="M31" i="6"/>
  <c r="L33" i="6"/>
  <c r="P21" i="6"/>
  <c r="P20" i="6"/>
  <c r="P19" i="6"/>
  <c r="P18" i="6"/>
  <c r="P17" i="6"/>
  <c r="P16" i="6"/>
  <c r="P15" i="6"/>
  <c r="P14" i="6"/>
  <c r="P13" i="6"/>
  <c r="A13" i="6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36" i="6" s="1"/>
  <c r="P12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O9" i="6"/>
  <c r="N9" i="6"/>
  <c r="M9" i="6"/>
  <c r="L9" i="6"/>
  <c r="K9" i="6"/>
  <c r="J9" i="6"/>
  <c r="I9" i="6"/>
  <c r="H9" i="6"/>
  <c r="G9" i="6"/>
  <c r="F9" i="6"/>
  <c r="E9" i="6"/>
  <c r="D9" i="6"/>
  <c r="P8" i="6"/>
  <c r="K40" i="5"/>
  <c r="J40" i="5"/>
  <c r="F40" i="5"/>
  <c r="K39" i="5"/>
  <c r="J39" i="5"/>
  <c r="I39" i="5"/>
  <c r="I40" i="5" s="1"/>
  <c r="H39" i="5"/>
  <c r="H40" i="5" s="1"/>
  <c r="G39" i="5"/>
  <c r="G40" i="5" s="1"/>
  <c r="F39" i="5"/>
  <c r="E39" i="5"/>
  <c r="D39" i="5"/>
  <c r="D40" i="5" s="1"/>
  <c r="C39" i="5"/>
  <c r="B39" i="5"/>
  <c r="K37" i="5"/>
  <c r="J37" i="5"/>
  <c r="I37" i="5"/>
  <c r="H37" i="5"/>
  <c r="G37" i="5"/>
  <c r="F37" i="5"/>
  <c r="E37" i="5"/>
  <c r="D37" i="5"/>
  <c r="P36" i="5"/>
  <c r="P35" i="5"/>
  <c r="P34" i="5"/>
  <c r="P33" i="5"/>
  <c r="P32" i="5"/>
  <c r="P31" i="5"/>
  <c r="P30" i="5"/>
  <c r="P29" i="5"/>
  <c r="O28" i="5"/>
  <c r="O37" i="5" s="1"/>
  <c r="N39" i="5"/>
  <c r="M37" i="5"/>
  <c r="P27" i="5"/>
  <c r="P26" i="5"/>
  <c r="P25" i="5"/>
  <c r="P24" i="5"/>
  <c r="P23" i="5"/>
  <c r="P22" i="5"/>
  <c r="A22" i="5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P21" i="5"/>
  <c r="P20" i="5"/>
  <c r="A20" i="5"/>
  <c r="A21" i="5" s="1"/>
  <c r="P19" i="5"/>
  <c r="P18" i="5"/>
  <c r="A18" i="5"/>
  <c r="A19" i="5" s="1"/>
  <c r="P17" i="5"/>
  <c r="P16" i="5"/>
  <c r="A16" i="5"/>
  <c r="A17" i="5" s="1"/>
  <c r="P15" i="5"/>
  <c r="A15" i="5"/>
  <c r="P14" i="5"/>
  <c r="P13" i="5"/>
  <c r="P12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O9" i="5"/>
  <c r="N9" i="5"/>
  <c r="M9" i="5"/>
  <c r="L9" i="5"/>
  <c r="I9" i="5"/>
  <c r="H9" i="5"/>
  <c r="G9" i="5"/>
  <c r="F9" i="5"/>
  <c r="E9" i="5"/>
  <c r="D9" i="5"/>
  <c r="P8" i="5"/>
  <c r="K113" i="4"/>
  <c r="J113" i="4"/>
  <c r="I113" i="4"/>
  <c r="H113" i="4"/>
  <c r="G113" i="4"/>
  <c r="F113" i="4"/>
  <c r="E113" i="4"/>
  <c r="D113" i="4"/>
  <c r="P111" i="4"/>
  <c r="D171" i="3" s="1"/>
  <c r="D172" i="3" s="1"/>
  <c r="P110" i="4"/>
  <c r="D167" i="3" s="1"/>
  <c r="P109" i="4"/>
  <c r="D166" i="3" s="1"/>
  <c r="P108" i="4"/>
  <c r="D165" i="3" s="1"/>
  <c r="P107" i="4"/>
  <c r="D164" i="3" s="1"/>
  <c r="P106" i="4"/>
  <c r="D163" i="3" s="1"/>
  <c r="P105" i="4"/>
  <c r="D162" i="3" s="1"/>
  <c r="P104" i="4"/>
  <c r="D161" i="3" s="1"/>
  <c r="P103" i="4"/>
  <c r="D160" i="3" s="1"/>
  <c r="P101" i="4"/>
  <c r="D158" i="3" s="1"/>
  <c r="P100" i="4"/>
  <c r="D157" i="3" s="1"/>
  <c r="P99" i="4"/>
  <c r="D152" i="3" s="1"/>
  <c r="P98" i="4"/>
  <c r="D151" i="3" s="1"/>
  <c r="P97" i="4"/>
  <c r="D150" i="3" s="1"/>
  <c r="P96" i="4"/>
  <c r="D146" i="3" s="1"/>
  <c r="P95" i="4"/>
  <c r="D145" i="3" s="1"/>
  <c r="P94" i="4"/>
  <c r="P93" i="4"/>
  <c r="D138" i="3" s="1"/>
  <c r="P92" i="4"/>
  <c r="D137" i="3" s="1"/>
  <c r="P91" i="4"/>
  <c r="D136" i="3" s="1"/>
  <c r="P90" i="4"/>
  <c r="D131" i="3" s="1"/>
  <c r="P89" i="4"/>
  <c r="D130" i="3" s="1"/>
  <c r="P88" i="4"/>
  <c r="D129" i="3" s="1"/>
  <c r="P87" i="4"/>
  <c r="D128" i="3" s="1"/>
  <c r="P86" i="4"/>
  <c r="D127" i="3" s="1"/>
  <c r="P85" i="4"/>
  <c r="D126" i="3" s="1"/>
  <c r="P84" i="4"/>
  <c r="D125" i="3" s="1"/>
  <c r="P83" i="4"/>
  <c r="D124" i="3" s="1"/>
  <c r="P82" i="4"/>
  <c r="D123" i="3" s="1"/>
  <c r="P81" i="4"/>
  <c r="D119" i="3" s="1"/>
  <c r="P80" i="4"/>
  <c r="D118" i="3" s="1"/>
  <c r="P79" i="4"/>
  <c r="D117" i="3" s="1"/>
  <c r="P78" i="4"/>
  <c r="P77" i="4"/>
  <c r="D115" i="3" s="1"/>
  <c r="P76" i="4"/>
  <c r="D114" i="3" s="1"/>
  <c r="P75" i="4"/>
  <c r="D113" i="3" s="1"/>
  <c r="P74" i="4"/>
  <c r="D112" i="3" s="1"/>
  <c r="P73" i="4"/>
  <c r="D111" i="3" s="1"/>
  <c r="P72" i="4"/>
  <c r="D110" i="3" s="1"/>
  <c r="P71" i="4"/>
  <c r="D109" i="3" s="1"/>
  <c r="P70" i="4"/>
  <c r="P69" i="4"/>
  <c r="D81" i="3" s="1"/>
  <c r="P68" i="4"/>
  <c r="D80" i="3" s="1"/>
  <c r="P67" i="4"/>
  <c r="D79" i="3" s="1"/>
  <c r="P66" i="4"/>
  <c r="P65" i="4"/>
  <c r="P64" i="4"/>
  <c r="D71" i="3" s="1"/>
  <c r="P63" i="4"/>
  <c r="D70" i="3" s="1"/>
  <c r="P62" i="4"/>
  <c r="P61" i="4"/>
  <c r="D64" i="3" s="1"/>
  <c r="P60" i="4"/>
  <c r="D63" i="3" s="1"/>
  <c r="P59" i="4"/>
  <c r="D62" i="3" s="1"/>
  <c r="P58" i="4"/>
  <c r="D61" i="3" s="1"/>
  <c r="P57" i="4"/>
  <c r="D60" i="3" s="1"/>
  <c r="P56" i="4"/>
  <c r="D58" i="3" s="1"/>
  <c r="P54" i="4"/>
  <c r="D53" i="3" s="1"/>
  <c r="P53" i="4"/>
  <c r="D52" i="3" s="1"/>
  <c r="P52" i="4"/>
  <c r="D51" i="3" s="1"/>
  <c r="P51" i="4"/>
  <c r="D50" i="3" s="1"/>
  <c r="P50" i="4"/>
  <c r="D49" i="3" s="1"/>
  <c r="P49" i="4"/>
  <c r="P48" i="4"/>
  <c r="D47" i="3" s="1"/>
  <c r="P47" i="4"/>
  <c r="D46" i="3" s="1"/>
  <c r="P46" i="4"/>
  <c r="D44" i="3" s="1"/>
  <c r="P45" i="4"/>
  <c r="P44" i="4"/>
  <c r="D102" i="3" s="1"/>
  <c r="P43" i="4"/>
  <c r="D100" i="3" s="1"/>
  <c r="P42" i="4"/>
  <c r="D99" i="3" s="1"/>
  <c r="P41" i="4"/>
  <c r="P40" i="4"/>
  <c r="D97" i="3" s="1"/>
  <c r="P39" i="4"/>
  <c r="D96" i="3" s="1"/>
  <c r="P38" i="4"/>
  <c r="D94" i="3" s="1"/>
  <c r="P37" i="4"/>
  <c r="P36" i="4"/>
  <c r="D92" i="3" s="1"/>
  <c r="P35" i="4"/>
  <c r="D91" i="3" s="1"/>
  <c r="P34" i="4"/>
  <c r="D90" i="3" s="1"/>
  <c r="P33" i="4"/>
  <c r="P32" i="4"/>
  <c r="D87" i="3" s="1"/>
  <c r="P31" i="4"/>
  <c r="D86" i="3" s="1"/>
  <c r="P30" i="4"/>
  <c r="D37" i="3" s="1"/>
  <c r="P29" i="4"/>
  <c r="D36" i="3" s="1"/>
  <c r="P28" i="4"/>
  <c r="D29" i="3" s="1"/>
  <c r="P27" i="4"/>
  <c r="D28" i="3" s="1"/>
  <c r="P26" i="4"/>
  <c r="D27" i="3" s="1"/>
  <c r="P25" i="4"/>
  <c r="D26" i="3" s="1"/>
  <c r="P24" i="4"/>
  <c r="D22" i="3" s="1"/>
  <c r="P23" i="4"/>
  <c r="D21" i="3" s="1"/>
  <c r="P22" i="4"/>
  <c r="D20" i="3" s="1"/>
  <c r="P21" i="4"/>
  <c r="P20" i="4"/>
  <c r="D18" i="3" s="1"/>
  <c r="P19" i="4"/>
  <c r="D17" i="3" s="1"/>
  <c r="P18" i="4"/>
  <c r="D16" i="3" s="1"/>
  <c r="P17" i="4"/>
  <c r="D15" i="3" s="1"/>
  <c r="A15" i="4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P14" i="4"/>
  <c r="A14" i="4"/>
  <c r="A13" i="4"/>
  <c r="P12" i="4"/>
  <c r="P8" i="4"/>
  <c r="A8" i="4"/>
  <c r="A8" i="6" s="1"/>
  <c r="A7" i="4"/>
  <c r="A7" i="6" s="1"/>
  <c r="A6" i="4"/>
  <c r="D139" i="3"/>
  <c r="D116" i="3"/>
  <c r="D108" i="3"/>
  <c r="D104" i="3"/>
  <c r="D98" i="3"/>
  <c r="D93" i="3"/>
  <c r="D88" i="3"/>
  <c r="D73" i="3"/>
  <c r="D72" i="3"/>
  <c r="D69" i="3"/>
  <c r="D48" i="3"/>
  <c r="D42" i="3"/>
  <c r="D19" i="3"/>
  <c r="A15" i="3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14" i="3"/>
  <c r="D8" i="3"/>
  <c r="O31" i="2"/>
  <c r="H31" i="2"/>
  <c r="H33" i="2" s="1"/>
  <c r="O14" i="2"/>
  <c r="O33" i="2" s="1"/>
  <c r="O9" i="2"/>
  <c r="A9" i="2"/>
  <c r="A8" i="2"/>
  <c r="A7" i="2"/>
  <c r="H26" i="1"/>
  <c r="H24" i="1"/>
  <c r="F21" i="1"/>
  <c r="J21" i="1" s="1"/>
  <c r="F20" i="1"/>
  <c r="J20" i="1" s="1"/>
  <c r="J19" i="1"/>
  <c r="F19" i="1"/>
  <c r="F18" i="1"/>
  <c r="F15" i="1"/>
  <c r="A7" i="5" l="1"/>
  <c r="A7" i="7"/>
  <c r="M51" i="7"/>
  <c r="M39" i="5"/>
  <c r="N37" i="5"/>
  <c r="L31" i="6"/>
  <c r="D154" i="3"/>
  <c r="D24" i="2" s="1"/>
  <c r="F24" i="2" s="1"/>
  <c r="D147" i="3"/>
  <c r="D23" i="2" s="1"/>
  <c r="F23" i="2" s="1"/>
  <c r="D140" i="3"/>
  <c r="D22" i="2" s="1"/>
  <c r="F22" i="2" s="1"/>
  <c r="D133" i="3"/>
  <c r="D120" i="3"/>
  <c r="D83" i="3"/>
  <c r="D75" i="3"/>
  <c r="D105" i="3"/>
  <c r="D17" i="2" s="1"/>
  <c r="F17" i="2" s="1"/>
  <c r="O15" i="4"/>
  <c r="M113" i="4"/>
  <c r="D30" i="3"/>
  <c r="A6" i="7"/>
  <c r="A6" i="6"/>
  <c r="A6" i="5"/>
  <c r="J15" i="1"/>
  <c r="D23" i="3"/>
  <c r="D65" i="3"/>
  <c r="P16" i="4"/>
  <c r="D177" i="3" s="1"/>
  <c r="D27" i="2" s="1"/>
  <c r="L39" i="5"/>
  <c r="L37" i="5"/>
  <c r="P28" i="5"/>
  <c r="P37" i="5" s="1"/>
  <c r="D38" i="3"/>
  <c r="A8" i="7"/>
  <c r="A8" i="5"/>
  <c r="O39" i="5"/>
  <c r="O41" i="5" s="1"/>
  <c r="M33" i="6"/>
  <c r="O51" i="7"/>
  <c r="O53" i="7"/>
  <c r="O55" i="7" s="1"/>
  <c r="J18" i="1"/>
  <c r="E40" i="5"/>
  <c r="N33" i="6"/>
  <c r="P43" i="7"/>
  <c r="P51" i="7" s="1"/>
  <c r="D54" i="7"/>
  <c r="G19" i="8"/>
  <c r="G23" i="8" s="1"/>
  <c r="O33" i="6"/>
  <c r="O35" i="6" s="1"/>
  <c r="F17" i="8"/>
  <c r="N53" i="7"/>
  <c r="P22" i="6"/>
  <c r="P31" i="6" s="1"/>
  <c r="P35" i="6" l="1"/>
  <c r="D18" i="1"/>
  <c r="P55" i="7"/>
  <c r="D21" i="2"/>
  <c r="F21" i="2" s="1"/>
  <c r="D20" i="2"/>
  <c r="F20" i="2" s="1"/>
  <c r="D19" i="2"/>
  <c r="F19" i="2" s="1"/>
  <c r="D32" i="3"/>
  <c r="D14" i="2" s="1"/>
  <c r="O102" i="4"/>
  <c r="O113" i="4" s="1"/>
  <c r="P39" i="5"/>
  <c r="D18" i="2"/>
  <c r="P41" i="5"/>
  <c r="P15" i="4"/>
  <c r="F23" i="1"/>
  <c r="F27" i="2"/>
  <c r="D21" i="1"/>
  <c r="P53" i="7"/>
  <c r="P33" i="6"/>
  <c r="P34" i="6" l="1"/>
  <c r="P54" i="7"/>
  <c r="P40" i="5"/>
  <c r="J23" i="1"/>
  <c r="J24" i="1" s="1"/>
  <c r="J26" i="1" s="1"/>
  <c r="J30" i="1" s="1"/>
  <c r="F24" i="1"/>
  <c r="F26" i="1" s="1"/>
  <c r="F30" i="1" s="1"/>
  <c r="F14" i="2"/>
  <c r="D15" i="1"/>
  <c r="F18" i="2"/>
  <c r="D176" i="3"/>
  <c r="D26" i="2" s="1"/>
  <c r="P102" i="4"/>
  <c r="D159" i="3" s="1"/>
  <c r="D168" i="3" s="1"/>
  <c r="L113" i="4"/>
  <c r="D25" i="2" l="1"/>
  <c r="D174" i="3"/>
  <c r="P113" i="4"/>
  <c r="F26" i="2"/>
  <c r="D20" i="1"/>
  <c r="F25" i="2" l="1"/>
  <c r="E15" i="8"/>
  <c r="D19" i="1"/>
  <c r="E19" i="8" l="1"/>
  <c r="E23" i="8" s="1"/>
  <c r="F15" i="8"/>
  <c r="F19" i="8" s="1"/>
  <c r="D178" i="3" l="1"/>
  <c r="D23" i="1"/>
  <c r="D24" i="1" s="1"/>
  <c r="D26" i="1" s="1"/>
  <c r="D30" i="1" s="1"/>
  <c r="F23" i="8"/>
  <c r="D28" i="2" l="1"/>
  <c r="D180" i="3"/>
  <c r="D182" i="3" s="1"/>
  <c r="F28" i="2" l="1"/>
  <c r="F31" i="2" s="1"/>
  <c r="F33" i="2" s="1"/>
  <c r="D31" i="2"/>
  <c r="D33" i="2" s="1"/>
</calcChain>
</file>

<file path=xl/sharedStrings.xml><?xml version="1.0" encoding="utf-8"?>
<sst xmlns="http://schemas.openxmlformats.org/spreadsheetml/2006/main" count="635" uniqueCount="362">
  <si>
    <t>Atmos Energy Corporation, Kentucky/Mid-States Division</t>
  </si>
  <si>
    <t>Kentucky Jurisdiction Case No. 2015-00343</t>
  </si>
  <si>
    <t>Operating Income Summary</t>
  </si>
  <si>
    <t>Forecasted Test Period: Twelve Months Ended May 31, 2017</t>
  </si>
  <si>
    <t>Data:__X____Base Period___X___Forecasted Period</t>
  </si>
  <si>
    <t>FR 16(8)(c)1</t>
  </si>
  <si>
    <t>Type of Filing:___X____Original________Updated ________Revised</t>
  </si>
  <si>
    <t>Schedule C-1</t>
  </si>
  <si>
    <t>Workpaper Reference No(s).____________________</t>
  </si>
  <si>
    <t>Witness: Waller, Smith</t>
  </si>
  <si>
    <t>Base</t>
  </si>
  <si>
    <t>Forecasted</t>
  </si>
  <si>
    <t>Line</t>
  </si>
  <si>
    <t>Return at</t>
  </si>
  <si>
    <t>Proposed</t>
  </si>
  <si>
    <t>No.</t>
  </si>
  <si>
    <t>Description</t>
  </si>
  <si>
    <t>Current Rates</t>
  </si>
  <si>
    <t>Increase</t>
  </si>
  <si>
    <t>Proposed Rates</t>
  </si>
  <si>
    <t>Operating Revenue</t>
  </si>
  <si>
    <t>Operating Expenses</t>
  </si>
  <si>
    <t>Purchased Gas Cost</t>
  </si>
  <si>
    <t>Other O &amp; M Expenses</t>
  </si>
  <si>
    <t xml:space="preserve">  Depreciation Expense</t>
  </si>
  <si>
    <t xml:space="preserve">  Taxes Other than Income</t>
  </si>
  <si>
    <t>State &amp; Federal Income Taxes</t>
  </si>
  <si>
    <t>Total Operating Expenses</t>
  </si>
  <si>
    <t>Operating Income</t>
  </si>
  <si>
    <t>Rate Base</t>
  </si>
  <si>
    <t>Rate of Return</t>
  </si>
  <si>
    <t>Adjusted Operating Income Statement</t>
  </si>
  <si>
    <t>Base Period: Twelve Months Ended February 29, 2016</t>
  </si>
  <si>
    <t>FR 16(8)(c)2</t>
  </si>
  <si>
    <t>Schedule C-2</t>
  </si>
  <si>
    <t>Base Year</t>
  </si>
  <si>
    <t>SSU</t>
  </si>
  <si>
    <t>Test Year</t>
  </si>
  <si>
    <t>Major Group</t>
  </si>
  <si>
    <t>Revenue &amp;</t>
  </si>
  <si>
    <t>Utility budget</t>
  </si>
  <si>
    <t>Sched</t>
  </si>
  <si>
    <t>Billing</t>
  </si>
  <si>
    <t>Ratemaking</t>
  </si>
  <si>
    <t>Rev. &amp; Exp.</t>
  </si>
  <si>
    <t>Classification</t>
  </si>
  <si>
    <t>Expenses</t>
  </si>
  <si>
    <t>Adjustments</t>
  </si>
  <si>
    <t>Ref.</t>
  </si>
  <si>
    <t>Adjs</t>
  </si>
  <si>
    <t>Adjusted</t>
  </si>
  <si>
    <t>D-1</t>
  </si>
  <si>
    <t>Production O&amp;M Expense</t>
  </si>
  <si>
    <t>Storage O&amp;M Expense</t>
  </si>
  <si>
    <t>Transmission O&amp;M Expense</t>
  </si>
  <si>
    <t>Distribution O&amp;M Expense</t>
  </si>
  <si>
    <t>*</t>
  </si>
  <si>
    <t>Customer Accting. &amp; Collection</t>
  </si>
  <si>
    <t>Customer Service &amp; Information</t>
  </si>
  <si>
    <t>Sales Expense</t>
  </si>
  <si>
    <t>F-4</t>
  </si>
  <si>
    <t>Admin. &amp; General Expense</t>
  </si>
  <si>
    <t>F-6,F-8,F-9, F-10</t>
  </si>
  <si>
    <t>Depreciation Expense</t>
  </si>
  <si>
    <t>Taxes - Other</t>
  </si>
  <si>
    <t>Income Taxes</t>
  </si>
  <si>
    <t>Net Operating Income</t>
  </si>
  <si>
    <t xml:space="preserve">Operating Revenue and Expenses by FERC Account </t>
  </si>
  <si>
    <t>Data:___X____Base Period________Forecasted Period</t>
  </si>
  <si>
    <t>FR 16(8)(c)2.1</t>
  </si>
  <si>
    <t>Schedule C-2.1 B</t>
  </si>
  <si>
    <t>Account</t>
  </si>
  <si>
    <t>Unadjusted</t>
  </si>
  <si>
    <t>No. (s)</t>
  </si>
  <si>
    <t>Title</t>
  </si>
  <si>
    <t>Total Utility</t>
  </si>
  <si>
    <t>(1)</t>
  </si>
  <si>
    <t>O P E R A T I N G  R E V E N U E</t>
  </si>
  <si>
    <t xml:space="preserve">  Sales of Gas</t>
  </si>
  <si>
    <t>Residential</t>
  </si>
  <si>
    <t>Unbilled Residential</t>
  </si>
  <si>
    <t>Commercial</t>
  </si>
  <si>
    <t>Industrial</t>
  </si>
  <si>
    <t>Unbilled Commercial</t>
  </si>
  <si>
    <t>Unbilled Industrial</t>
  </si>
  <si>
    <t>Other - Public Authority</t>
  </si>
  <si>
    <t>Unbilled Public Authority</t>
  </si>
  <si>
    <t xml:space="preserve">  Total Sales of Gas</t>
  </si>
  <si>
    <t xml:space="preserve">  Other Operating Income</t>
  </si>
  <si>
    <t>Forfeited Discounts</t>
  </si>
  <si>
    <t>Misc. Service Revenues</t>
  </si>
  <si>
    <t>Revenue From Transportation of Gas of Others</t>
  </si>
  <si>
    <t>Other Gas Revenue</t>
  </si>
  <si>
    <t xml:space="preserve">  Total Other Operating Income</t>
  </si>
  <si>
    <t>T O T A L  O P E R A T I N G  R E V E N U E</t>
  </si>
  <si>
    <t>O P E R A T I N G  E X P E N S E S</t>
  </si>
  <si>
    <t>Production Expense - Operation</t>
  </si>
  <si>
    <t>Ng. Field Meas. &amp; Reg. Station</t>
  </si>
  <si>
    <t>Production and gathering-Other</t>
  </si>
  <si>
    <t>Total Production Expense - Operation</t>
  </si>
  <si>
    <t>Production Expense - Maintenance</t>
  </si>
  <si>
    <t>Ng Main. Supervision &amp; Engineering</t>
  </si>
  <si>
    <t>Natural Gas Storage Expense - Operation</t>
  </si>
  <si>
    <t>Operation Supervision &amp; Engineering</t>
  </si>
  <si>
    <t>Maps and Records</t>
  </si>
  <si>
    <t>Wells Expense</t>
  </si>
  <si>
    <t>Lines Expense</t>
  </si>
  <si>
    <t>Compressor Station Expense</t>
  </si>
  <si>
    <t>Compressor Station Expense Fuel &amp; Power</t>
  </si>
  <si>
    <t>Measuring &amp; Regulating Station Expense</t>
  </si>
  <si>
    <t>Purification</t>
  </si>
  <si>
    <t>Other</t>
  </si>
  <si>
    <t>Storage Well Royalties</t>
  </si>
  <si>
    <t>Total Nat. Gas Storage Expense - Operation</t>
  </si>
  <si>
    <t>Natural Gas Storage Expense - Maintenance</t>
  </si>
  <si>
    <t>Structure &amp; Improvements</t>
  </si>
  <si>
    <t>Reservoirs &amp; Wells</t>
  </si>
  <si>
    <t>Compressor Station Equip.</t>
  </si>
  <si>
    <t>Measuring &amp; Regulating Station Equip.</t>
  </si>
  <si>
    <t>Purification Equipment</t>
  </si>
  <si>
    <t>Maintenance of other equipment</t>
  </si>
  <si>
    <t>840/847</t>
  </si>
  <si>
    <t>Other Storage Exp. - LNG</t>
  </si>
  <si>
    <t>Total Nat. Gas Storage Expense - Maintenance</t>
  </si>
  <si>
    <t>Transmission Expense - Operation</t>
  </si>
  <si>
    <t>Communication system expenses</t>
  </si>
  <si>
    <t>Other fuel &amp; power for compression</t>
  </si>
  <si>
    <t>Mains Expense</t>
  </si>
  <si>
    <t>Measuring &amp; Regulating Station Exp.</t>
  </si>
  <si>
    <t>Other Exp.</t>
  </si>
  <si>
    <t>Rents</t>
  </si>
  <si>
    <t>Total Transmission Expense - Operation</t>
  </si>
  <si>
    <t>Transmission Expense - Maintenance</t>
  </si>
  <si>
    <t>Structures and Improvements</t>
  </si>
  <si>
    <t>Mains</t>
  </si>
  <si>
    <t>Compressor Station Equipment</t>
  </si>
  <si>
    <t>Measuring &amp; Reg Station Equip.</t>
  </si>
  <si>
    <t>Other Equipment</t>
  </si>
  <si>
    <t>Total Transmission Expense - Maintenance</t>
  </si>
  <si>
    <t>Purchased Gas Cost - Operation</t>
  </si>
  <si>
    <t>Intercompany Gas Well-head Purchases</t>
  </si>
  <si>
    <t xml:space="preserve">      Natural gas field line purchases</t>
  </si>
  <si>
    <t xml:space="preserve">      Natural Gas City Gate Purchases</t>
  </si>
  <si>
    <t xml:space="preserve">      Transportation to City Gate</t>
  </si>
  <si>
    <t>Transmission-Operation supervision and engineering</t>
  </si>
  <si>
    <t xml:space="preserve">      Other Gas Purchases / Gas Cost Adjustments</t>
  </si>
  <si>
    <t xml:space="preserve">      PGA for Commercial</t>
  </si>
  <si>
    <t xml:space="preserve">      PGA for Industrial</t>
  </si>
  <si>
    <t xml:space="preserve">      PGA for Public Authority</t>
  </si>
  <si>
    <t xml:space="preserve">      PGA for Transportation Sales</t>
  </si>
  <si>
    <t xml:space="preserve">      Unbilled PGA Costs</t>
  </si>
  <si>
    <t xml:space="preserve">      PGA Offset to Unrecovered Gas Cost</t>
  </si>
  <si>
    <t xml:space="preserve">      Exchange Gas</t>
  </si>
  <si>
    <t xml:space="preserve">      Gas Withdrawn From Storage - Debit</t>
  </si>
  <si>
    <t xml:space="preserve">      Gas Delivered to Storage</t>
  </si>
  <si>
    <t xml:space="preserve">      Gas used for products extraction-Credit</t>
  </si>
  <si>
    <t xml:space="preserve">      Gas Used for Other Utility Operations</t>
  </si>
  <si>
    <t xml:space="preserve">      Transmission and compression of gas by others</t>
  </si>
  <si>
    <t>Total Purchased Gas Cost</t>
  </si>
  <si>
    <t>Distribution Expenses - Operation</t>
  </si>
  <si>
    <t>Supervision and Engineering</t>
  </si>
  <si>
    <t>Distribution Load Dispatching</t>
  </si>
  <si>
    <t xml:space="preserve">      Odorization</t>
  </si>
  <si>
    <t>Compressor Station Labor &amp; Expenses</t>
  </si>
  <si>
    <t>Mains &amp; Services</t>
  </si>
  <si>
    <t>Measuring and Regulating Station Exp. - Gen</t>
  </si>
  <si>
    <t>Measuring and Regulating Station Exp. - Ind.</t>
  </si>
  <si>
    <t>Measuring and Regulating Sta. Exp. - City Gate</t>
  </si>
  <si>
    <t>Meters and House Regulator Expense</t>
  </si>
  <si>
    <t>Customer Installations Expense</t>
  </si>
  <si>
    <t>Other Expense</t>
  </si>
  <si>
    <t>Total Distribution Expenses - Operation</t>
  </si>
  <si>
    <t>Distribution Expenses - Maintenance</t>
  </si>
  <si>
    <t>Services</t>
  </si>
  <si>
    <t>Meters and House Regulators</t>
  </si>
  <si>
    <t>Maintenance of Other Plant</t>
  </si>
  <si>
    <t>Total Distribution Expenses - Maintenance</t>
  </si>
  <si>
    <t>Customer Accounts Expenses - Operation</t>
  </si>
  <si>
    <t>Supervision</t>
  </si>
  <si>
    <t>Meter Reading Expenses</t>
  </si>
  <si>
    <t>Customer Records &amp; Collections</t>
  </si>
  <si>
    <t>Uncollectible Accounts</t>
  </si>
  <si>
    <t>Total Customer Accounts Expense</t>
  </si>
  <si>
    <t>Customer Service &amp; Information - Operation</t>
  </si>
  <si>
    <t>Customer Assistance Expenses</t>
  </si>
  <si>
    <t>Informational and Instructional Advertising Expenses</t>
  </si>
  <si>
    <t>Misc Cust Serv &amp; Informational Exp</t>
  </si>
  <si>
    <t>Total Customer Accounts Expenses - Operation</t>
  </si>
  <si>
    <t>Demonstrating and Selling Expenses</t>
  </si>
  <si>
    <t>Advertising Expenses</t>
  </si>
  <si>
    <t>Miscellaneous Sales Expenses</t>
  </si>
  <si>
    <t>Total Sales Expenses</t>
  </si>
  <si>
    <t>Administrative and General Expenses - Operation</t>
  </si>
  <si>
    <t>Administrative and General Salaries</t>
  </si>
  <si>
    <t>Office Supplies and Expenses</t>
  </si>
  <si>
    <t>Administrative Expense Transferred</t>
  </si>
  <si>
    <t>Outside Services Employed</t>
  </si>
  <si>
    <t>Property Insurance</t>
  </si>
  <si>
    <t>Injuries and Damages</t>
  </si>
  <si>
    <t>Employee Pensions and Benefits</t>
  </si>
  <si>
    <t>Franchise Requirements</t>
  </si>
  <si>
    <t>Regulatory Commission Expense</t>
  </si>
  <si>
    <t>Miscellaneous General Expense</t>
  </si>
  <si>
    <t>A&amp;G-Rents</t>
  </si>
  <si>
    <t>Total Administrative and General Exp. - Operation</t>
  </si>
  <si>
    <t>Administrative and General Expense - Maintenance</t>
  </si>
  <si>
    <t>Maintenance of general plant</t>
  </si>
  <si>
    <t>Total Administrative and Gen. Exp. - Maintenance</t>
  </si>
  <si>
    <t>Total Operation and Maintenance Expense</t>
  </si>
  <si>
    <t>403-406</t>
  </si>
  <si>
    <t>Depreciation and Amortization</t>
  </si>
  <si>
    <t>Taxes Other than Income Taxes</t>
  </si>
  <si>
    <t>4091-4101</t>
  </si>
  <si>
    <t>Provision for Federal &amp; State Income Taxes</t>
  </si>
  <si>
    <t>TOTAL OPERATING EXPENSE (incl Gas Cost)</t>
  </si>
  <si>
    <t>NET OPERATING INCOME</t>
  </si>
  <si>
    <t>Monthly Jurisdictional Operating Income by FERC Account</t>
  </si>
  <si>
    <t>FR 16(8)(c)2.2</t>
  </si>
  <si>
    <t>Schedule C-2.2</t>
  </si>
  <si>
    <t>Acct</t>
  </si>
  <si>
    <t>actual</t>
  </si>
  <si>
    <t>Budgeted</t>
  </si>
  <si>
    <t>Account Discription</t>
  </si>
  <si>
    <t>Total</t>
  </si>
  <si>
    <t>$</t>
  </si>
  <si>
    <t>Provision for income taxes</t>
  </si>
  <si>
    <t>Amortization of gas plant acquisition adjustments</t>
  </si>
  <si>
    <t>Taxes other than income taxes, utility operating income</t>
  </si>
  <si>
    <t>Residential sales</t>
  </si>
  <si>
    <t>Unbilled Residential Revenue</t>
  </si>
  <si>
    <t>Commercial Revenue</t>
  </si>
  <si>
    <t>Industrial Revenue</t>
  </si>
  <si>
    <t>Unbilled Comm Revenue</t>
  </si>
  <si>
    <t>Unbilled Industrial Revenue</t>
  </si>
  <si>
    <t>Other Sales to Public Authorities</t>
  </si>
  <si>
    <t>Unbilled Public Authority Revenue</t>
  </si>
  <si>
    <t>Forfeited discounts</t>
  </si>
  <si>
    <t>Miscellaneous service revenues</t>
  </si>
  <si>
    <t>Revenue-Transportation Distribution</t>
  </si>
  <si>
    <t>Field measuring and regulating station expenses</t>
  </si>
  <si>
    <t>Natural gas field line purchases</t>
  </si>
  <si>
    <t>Natural gas city gate purchases</t>
  </si>
  <si>
    <t>Other purchases</t>
  </si>
  <si>
    <t>PGA for Residential</t>
  </si>
  <si>
    <t>PGA for Commercial</t>
  </si>
  <si>
    <t>PGA for Industrial</t>
  </si>
  <si>
    <t>PGA for Public Authorities</t>
  </si>
  <si>
    <t>Unbilled PGA Cost</t>
  </si>
  <si>
    <t>PGA Offset to Unrecovered Gas Cost</t>
  </si>
  <si>
    <t>Exchange gas</t>
  </si>
  <si>
    <t>Gas withdrawn from storage-Debit</t>
  </si>
  <si>
    <t>Gas delivered to storage-Credit</t>
  </si>
  <si>
    <t>Gas used for other utility operations-Credit</t>
  </si>
  <si>
    <t>Transmission and compression of gas by others</t>
  </si>
  <si>
    <t>Storage-Operation supervision and engineering</t>
  </si>
  <si>
    <t>Wells expenses</t>
  </si>
  <si>
    <t>Lines expenses</t>
  </si>
  <si>
    <t>Compressor station expenses</t>
  </si>
  <si>
    <t>Compressor station fuel and power</t>
  </si>
  <si>
    <t>Storage-Measuring and regulating station expenses</t>
  </si>
  <si>
    <t>Storage-Purification expenses</t>
  </si>
  <si>
    <t>Storage-Other expenses</t>
  </si>
  <si>
    <t>Storage well royalties</t>
  </si>
  <si>
    <t>Storage-Maintenance of structures and improvements</t>
  </si>
  <si>
    <t>Maintenance of compressor station equipment</t>
  </si>
  <si>
    <t>Maintenance of measuring and regulating station equipment</t>
  </si>
  <si>
    <t>Processing-Maintenance of purification equipment</t>
  </si>
  <si>
    <t>Other storage expenses-Operation labor and expenses</t>
  </si>
  <si>
    <t>Other fuel and power for Compression</t>
  </si>
  <si>
    <t>Mains expenses</t>
  </si>
  <si>
    <t>Transmission-Measuring and regulating station expenses</t>
  </si>
  <si>
    <t>Transmission-Other expenses</t>
  </si>
  <si>
    <t>Transmission-Maintenance of mains</t>
  </si>
  <si>
    <t>Transmission-Maintenance of compressor sta equipment</t>
  </si>
  <si>
    <t>Transmission-Maintenance of measuring and regulating station equipment</t>
  </si>
  <si>
    <t>Distribution-Operation supervision and engineering</t>
  </si>
  <si>
    <t>Distribution load dispatching</t>
  </si>
  <si>
    <t>Odorization</t>
  </si>
  <si>
    <t>Distribution-Compressor station labor and expenses</t>
  </si>
  <si>
    <t>Mains and Services Expenses</t>
  </si>
  <si>
    <t>Distribution-Measuring and regulating station expenses</t>
  </si>
  <si>
    <t>Distribution-Measuring and regulating station expenses-Industrial</t>
  </si>
  <si>
    <t>Distribution-Measuring and regulating station expenses-City gate check stations</t>
  </si>
  <si>
    <t>Meter and house regulator expenses</t>
  </si>
  <si>
    <t>Customer installations expenses</t>
  </si>
  <si>
    <t>Distribution-Other expenses</t>
  </si>
  <si>
    <t>Distribution-Rents</t>
  </si>
  <si>
    <t>Distribution-Maintenance supervision and engineering</t>
  </si>
  <si>
    <t>Distribution-Maintenance of structures and improvements</t>
  </si>
  <si>
    <t>Distribution-Maint of mains</t>
  </si>
  <si>
    <t>Maintenance of measuring and regulating station equipment-General</t>
  </si>
  <si>
    <t>Maintenance of measuring and regulating station equipment-Industrial</t>
  </si>
  <si>
    <t>Maintenance of measuring and regulating station equipment-City gate check stations</t>
  </si>
  <si>
    <t>Maintenance of services</t>
  </si>
  <si>
    <t>Maintenance of meters and house regulators</t>
  </si>
  <si>
    <t>Distribution-Maintenance of other equipment</t>
  </si>
  <si>
    <t>Customer accounts-Operation supervision</t>
  </si>
  <si>
    <t>Customer accounts-Meter reading expenses</t>
  </si>
  <si>
    <t>Customer accounts-Customer records and collections expenses</t>
  </si>
  <si>
    <t>Customer accounts-Uncollectible accounts</t>
  </si>
  <si>
    <t>Customer service-Operating informational and instructional advertising expense</t>
  </si>
  <si>
    <t>Customer service-Miscellaneous customer service</t>
  </si>
  <si>
    <t>Sales-Supervision</t>
  </si>
  <si>
    <t>Sales-Demonstrating and selling expenses</t>
  </si>
  <si>
    <t>Sales-Advertising expenses</t>
  </si>
  <si>
    <t>A&amp;G-Administrative &amp; general salaries</t>
  </si>
  <si>
    <t>A&amp;G-Office supplies &amp; expense</t>
  </si>
  <si>
    <t>A&amp;G-Administrative expense transferred-Credit</t>
  </si>
  <si>
    <t>A&amp;G-Outside services employed</t>
  </si>
  <si>
    <t>A&amp;G-Property insurance</t>
  </si>
  <si>
    <t>A&amp;G-Injuries &amp; damages</t>
  </si>
  <si>
    <t>A&amp;G-Employee pensions and benefits</t>
  </si>
  <si>
    <t>A&amp;G-Franchise requirements</t>
  </si>
  <si>
    <t>A&amp;G-Regulatory commission expenses</t>
  </si>
  <si>
    <t>Miscellaneous general expenses</t>
  </si>
  <si>
    <t>A&amp;G-Maintenance of general plant</t>
  </si>
  <si>
    <t>Operating (Income)Loss*</t>
  </si>
  <si>
    <t>*Note:  Debits are shown as positive, and credits are shown as negatives.  Includes the  Shared Services allocation.</t>
  </si>
  <si>
    <t>**Note:  Provision for Income Taxes is not a component of Operating Income but is included on this schedule to develop the 12 month total for use elsewhere in the model</t>
  </si>
  <si>
    <t>Data Sources:</t>
  </si>
  <si>
    <t>Income Statement Activity Mar15-Jul15.xlsx</t>
  </si>
  <si>
    <t>OM for KY-Fall 2015.xlsx</t>
  </si>
  <si>
    <r>
      <t xml:space="preserve">Monthly Jurisdictional Operating Income by FERC Account, </t>
    </r>
    <r>
      <rPr>
        <b/>
        <sz val="12"/>
        <rFont val="Helvetica-Narrow"/>
      </rPr>
      <t>Div 002 Only</t>
    </r>
  </si>
  <si>
    <t>A&amp;G-General advertising expense</t>
  </si>
  <si>
    <t>Allocation Factor to Kentucky</t>
  </si>
  <si>
    <t>Total Allocated Amount</t>
  </si>
  <si>
    <t>*Note:  Debits are shown as positive, and credits are shown as negatives.  Includes the Shared Services allocation.</t>
  </si>
  <si>
    <t>index to source file</t>
  </si>
  <si>
    <r>
      <t xml:space="preserve">Monthly Jurisdictional Operating Income by FERC Account, </t>
    </r>
    <r>
      <rPr>
        <b/>
        <sz val="12"/>
        <rFont val="Helvetica-Narrow"/>
      </rPr>
      <t>Div 012 Only</t>
    </r>
  </si>
  <si>
    <t>Jurirep DTB activity-fall 2015.xlsx</t>
  </si>
  <si>
    <t>OM for KY-2015.xlsx</t>
  </si>
  <si>
    <r>
      <t xml:space="preserve">Monthly Jurisdictional Operating Income by FERC Account, </t>
    </r>
    <r>
      <rPr>
        <b/>
        <sz val="12"/>
        <rFont val="Helvetica-Narrow"/>
      </rPr>
      <t>Div 091 Only</t>
    </r>
  </si>
  <si>
    <t>4060</t>
  </si>
  <si>
    <t>Transmission-Maintenance of me - Non-Inventory Supplies 8650-02005</t>
  </si>
  <si>
    <t>Jurirep DTB activity-Fall 2015.xlsx</t>
  </si>
  <si>
    <t>Computation of State &amp; Federal Income Tax</t>
  </si>
  <si>
    <t>FR 16(8)(e)</t>
  </si>
  <si>
    <t>Schedule   E</t>
  </si>
  <si>
    <t>Witness:  Waller</t>
  </si>
  <si>
    <t>Base Period</t>
  </si>
  <si>
    <t>Test Period</t>
  </si>
  <si>
    <t>Sched.</t>
  </si>
  <si>
    <t>Fully Adjusted</t>
  </si>
  <si>
    <t>(2)</t>
  </si>
  <si>
    <t>(3)</t>
  </si>
  <si>
    <t>Operating Income before Income Tax &amp; Interest</t>
  </si>
  <si>
    <t>C-2</t>
  </si>
  <si>
    <t>Interest Deduction</t>
  </si>
  <si>
    <t>Taxable Income</t>
  </si>
  <si>
    <t>Composite Tax Rate (state &amp; federal)</t>
  </si>
  <si>
    <t>* *</t>
  </si>
  <si>
    <t>State &amp; Federal Income Tax</t>
  </si>
  <si>
    <t>* Interest Expense Calculation:</t>
  </si>
  <si>
    <t xml:space="preserve">13 Month Average Rate Base </t>
  </si>
  <si>
    <t>B-1</t>
  </si>
  <si>
    <t>Weighted cost of Debt</t>
  </si>
  <si>
    <t>J-1</t>
  </si>
  <si>
    <t>Interest Expense</t>
  </si>
  <si>
    <t xml:space="preserve"> 2015 * * Composite Tax Rate Calculation:  6.00% + 35%(100% - 6.00%)  =  38.900%</t>
  </si>
  <si>
    <t>State Tax Rate</t>
  </si>
  <si>
    <t>Federal Tax Rate</t>
  </si>
  <si>
    <t>Storage Rents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</si>
</sst>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  <numFmt numFmtId="167" formatCode="0.0000%"/>
    <numFmt numFmtId="168" formatCode="0_);\(0\)"/>
    <numFmt numFmtId="169" formatCode="0.000%"/>
    <numFmt numFmtId="170" formatCode="0000"/>
    <numFmt numFmtId="171" formatCode="000.0"/>
    <numFmt numFmtId="172" formatCode="[$-409]mmm\-yy;@"/>
    <numFmt numFmtId="173" formatCode="#,##0.000_);\(#,##0.000\)"/>
    <numFmt numFmtId="174" formatCode="0.00_)"/>
  </numFmts>
  <fonts count="32">
    <font>
      <sz val="12"/>
      <name val="Helvetica-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etica-Narrow"/>
      <family val="2"/>
    </font>
    <font>
      <sz val="12"/>
      <color theme="0" tint="-0.499984740745262"/>
      <name val="Helvetica-Narrow"/>
      <family val="2"/>
    </font>
    <font>
      <u/>
      <sz val="12"/>
      <name val="Helvetica-Narrow"/>
      <family val="2"/>
    </font>
    <font>
      <sz val="12"/>
      <color theme="0" tint="-0.34998626667073579"/>
      <name val="Helvetica-Narrow"/>
      <family val="2"/>
    </font>
    <font>
      <sz val="12"/>
      <name val="Times New Roman"/>
      <family val="1"/>
    </font>
    <font>
      <sz val="12"/>
      <color theme="0" tint="-0.249977111117893"/>
      <name val="Helvetica-Narrow"/>
    </font>
    <font>
      <sz val="12"/>
      <color theme="0" tint="-0.249977111117893"/>
      <name val="Helvetica-Narrow"/>
      <family val="2"/>
    </font>
    <font>
      <sz val="12"/>
      <color rgb="FF0000FF"/>
      <name val="Helvetica-Narrow"/>
      <family val="2"/>
    </font>
    <font>
      <b/>
      <sz val="9"/>
      <name val="Helvetica-Narrow"/>
      <family val="2"/>
    </font>
    <font>
      <sz val="9"/>
      <name val="Helvetica-Narrow"/>
      <family val="2"/>
    </font>
    <font>
      <sz val="12"/>
      <name val="Helvetica-Narrow"/>
    </font>
    <font>
      <u/>
      <sz val="12"/>
      <name val="Helvetica-Narrow"/>
    </font>
    <font>
      <sz val="12"/>
      <color rgb="FF0000FF"/>
      <name val="Helvetica-Narrow"/>
    </font>
    <font>
      <u val="double"/>
      <sz val="12"/>
      <name val="Helvetica-Narrow"/>
    </font>
    <font>
      <sz val="12"/>
      <color rgb="FFFF0000"/>
      <name val="Helvetica-Narrow"/>
    </font>
    <font>
      <b/>
      <sz val="12"/>
      <color rgb="FF0000FF"/>
      <name val="Helvetica-Narrow"/>
    </font>
    <font>
      <sz val="12"/>
      <color rgb="FFFF0000"/>
      <name val="Helvetica-Narrow"/>
      <family val="2"/>
    </font>
    <font>
      <b/>
      <sz val="10"/>
      <color rgb="FFFF0000"/>
      <name val="Arial"/>
      <family val="2"/>
    </font>
    <font>
      <b/>
      <sz val="12"/>
      <name val="Helvetica-Narrow"/>
    </font>
    <font>
      <sz val="10"/>
      <name val="Arial"/>
      <family val="2"/>
    </font>
    <font>
      <b/>
      <sz val="12"/>
      <color rgb="FFFF0000"/>
      <name val="Helvetica-Narrow"/>
    </font>
    <font>
      <b/>
      <sz val="10"/>
      <name val="Times New Roman"/>
      <family val="1"/>
    </font>
    <font>
      <b/>
      <i/>
      <sz val="16"/>
      <name val="Helv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01">
    <xf numFmtId="37" fontId="0" fillId="0" borderId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2" fillId="0" borderId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2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" fillId="0" borderId="0" applyFont="0" applyFill="0" applyBorder="0" applyAlignment="0" applyProtection="0"/>
    <xf numFmtId="174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3" fillId="0" borderId="0" applyProtection="0"/>
    <xf numFmtId="0" fontId="2" fillId="0" borderId="0"/>
    <xf numFmtId="0" fontId="2" fillId="0" borderId="0"/>
    <xf numFmtId="0" fontId="2" fillId="0" borderId="0"/>
    <xf numFmtId="0" fontId="2" fillId="0" borderId="0"/>
    <xf numFmtId="40" fontId="26" fillId="2" borderId="0">
      <alignment horizontal="right"/>
    </xf>
    <xf numFmtId="0" fontId="27" fillId="3" borderId="0">
      <alignment horizontal="center"/>
    </xf>
    <xf numFmtId="0" fontId="28" fillId="2" borderId="10"/>
    <xf numFmtId="0" fontId="29" fillId="0" borderId="0" applyBorder="0">
      <alignment horizontal="centerContinuous"/>
    </xf>
    <xf numFmtId="0" fontId="30" fillId="0" borderId="0" applyBorder="0">
      <alignment horizontal="centerContinuous"/>
    </xf>
    <xf numFmtId="9" fontId="2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1" fillId="0" borderId="0"/>
    <xf numFmtId="9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1" fillId="0" borderId="0"/>
    <xf numFmtId="0" fontId="31" fillId="0" borderId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31" fillId="0" borderId="0" applyFont="0" applyFill="0" applyBorder="0" applyAlignment="0" applyProtection="0"/>
  </cellStyleXfs>
  <cellXfs count="261">
    <xf numFmtId="37" fontId="0" fillId="0" borderId="0" xfId="0"/>
    <xf numFmtId="37" fontId="3" fillId="0" borderId="0" xfId="0" applyFont="1"/>
    <xf numFmtId="37" fontId="3" fillId="0" borderId="0" xfId="0" applyNumberFormat="1" applyFont="1" applyAlignment="1" applyProtection="1">
      <alignment horizontal="center"/>
      <protection locked="0"/>
    </xf>
    <xf numFmtId="37" fontId="3" fillId="0" borderId="0" xfId="0" applyFont="1" applyAlignment="1" applyProtection="1">
      <alignment horizontal="left"/>
    </xf>
    <xf numFmtId="37" fontId="3" fillId="0" borderId="0" xfId="0" applyFont="1" applyAlignment="1">
      <alignment horizontal="right"/>
    </xf>
    <xf numFmtId="37" fontId="3" fillId="0" borderId="0" xfId="0" applyFont="1" applyAlignment="1" applyProtection="1">
      <alignment horizontal="right"/>
    </xf>
    <xf numFmtId="37" fontId="3" fillId="0" borderId="1" xfId="0" applyFont="1" applyBorder="1" applyAlignment="1" applyProtection="1">
      <alignment horizontal="left"/>
    </xf>
    <xf numFmtId="37" fontId="3" fillId="0" borderId="1" xfId="0" applyFont="1" applyBorder="1"/>
    <xf numFmtId="37" fontId="3" fillId="0" borderId="1" xfId="0" applyFont="1" applyFill="1" applyBorder="1" applyAlignment="1" applyProtection="1">
      <alignment horizontal="right"/>
    </xf>
    <xf numFmtId="37" fontId="3" fillId="0" borderId="0" xfId="0" applyFont="1" applyAlignment="1">
      <alignment horizontal="center"/>
    </xf>
    <xf numFmtId="37" fontId="3" fillId="0" borderId="0" xfId="0" applyFont="1" applyAlignment="1" applyProtection="1">
      <alignment horizontal="center"/>
    </xf>
    <xf numFmtId="37" fontId="4" fillId="0" borderId="0" xfId="0" applyFont="1"/>
    <xf numFmtId="37" fontId="3" fillId="0" borderId="1" xfId="0" applyFont="1" applyBorder="1" applyAlignment="1" applyProtection="1">
      <alignment horizontal="center"/>
    </xf>
    <xf numFmtId="37" fontId="5" fillId="0" borderId="0" xfId="0" applyFont="1" applyAlignment="1">
      <alignment horizontal="center"/>
    </xf>
    <xf numFmtId="37" fontId="6" fillId="0" borderId="0" xfId="0" applyFont="1" applyAlignment="1">
      <alignment horizontal="center"/>
    </xf>
    <xf numFmtId="37" fontId="4" fillId="0" borderId="0" xfId="0" applyFont="1" applyAlignment="1">
      <alignment horizontal="center"/>
    </xf>
    <xf numFmtId="37" fontId="4" fillId="0" borderId="0" xfId="0" applyFont="1" applyAlignment="1">
      <alignment horizontal="left"/>
    </xf>
    <xf numFmtId="37" fontId="3" fillId="0" borderId="0" xfId="0" applyFont="1" applyFill="1"/>
    <xf numFmtId="37" fontId="6" fillId="0" borderId="0" xfId="0" applyFont="1"/>
    <xf numFmtId="164" fontId="3" fillId="0" borderId="0" xfId="2" applyNumberFormat="1" applyFont="1" applyFill="1" applyProtection="1"/>
    <xf numFmtId="37" fontId="3" fillId="0" borderId="0" xfId="0" applyNumberFormat="1" applyFont="1" applyProtection="1"/>
    <xf numFmtId="164" fontId="3" fillId="0" borderId="0" xfId="2" applyNumberFormat="1" applyFont="1" applyProtection="1"/>
    <xf numFmtId="165" fontId="4" fillId="0" borderId="0" xfId="3" applyNumberFormat="1" applyFont="1" applyProtection="1"/>
    <xf numFmtId="166" fontId="6" fillId="0" borderId="0" xfId="1" applyNumberFormat="1" applyFont="1" applyFill="1" applyProtection="1"/>
    <xf numFmtId="37" fontId="6" fillId="0" borderId="0" xfId="0" applyNumberFormat="1" applyFont="1" applyProtection="1"/>
    <xf numFmtId="166" fontId="4" fillId="0" borderId="0" xfId="1" applyNumberFormat="1" applyFont="1" applyFill="1" applyProtection="1"/>
    <xf numFmtId="37" fontId="3" fillId="0" borderId="0" xfId="0" applyNumberFormat="1" applyFont="1" applyFill="1" applyProtection="1"/>
    <xf numFmtId="37" fontId="4" fillId="0" borderId="0" xfId="0" applyNumberFormat="1" applyFont="1" applyProtection="1"/>
    <xf numFmtId="37" fontId="6" fillId="0" borderId="0" xfId="0" applyNumberFormat="1" applyFont="1" applyFill="1" applyProtection="1"/>
    <xf numFmtId="37" fontId="4" fillId="0" borderId="0" xfId="0" applyFont="1" applyFill="1"/>
    <xf numFmtId="37" fontId="4" fillId="0" borderId="0" xfId="0" applyNumberFormat="1" applyFont="1" applyFill="1" applyProtection="1"/>
    <xf numFmtId="37" fontId="3" fillId="0" borderId="0" xfId="0" applyFont="1" applyAlignment="1" applyProtection="1">
      <alignment horizontal="left" indent="1"/>
    </xf>
    <xf numFmtId="166" fontId="3" fillId="0" borderId="0" xfId="1" applyNumberFormat="1" applyFont="1" applyFill="1" applyProtection="1"/>
    <xf numFmtId="166" fontId="3" fillId="0" borderId="0" xfId="1" applyNumberFormat="1" applyFont="1" applyFill="1"/>
    <xf numFmtId="166" fontId="4" fillId="0" borderId="0" xfId="1" applyNumberFormat="1" applyFont="1" applyFill="1"/>
    <xf numFmtId="167" fontId="8" fillId="0" borderId="0" xfId="0" applyNumberFormat="1" applyFont="1" applyFill="1" applyProtection="1"/>
    <xf numFmtId="166" fontId="3" fillId="0" borderId="0" xfId="1" applyNumberFormat="1" applyFont="1" applyProtection="1"/>
    <xf numFmtId="167" fontId="3" fillId="0" borderId="0" xfId="0" applyNumberFormat="1" applyFont="1" applyProtection="1"/>
    <xf numFmtId="166" fontId="3" fillId="0" borderId="0" xfId="1" applyNumberFormat="1" applyFont="1"/>
    <xf numFmtId="166" fontId="4" fillId="0" borderId="0" xfId="1" applyNumberFormat="1" applyFont="1"/>
    <xf numFmtId="166" fontId="4" fillId="0" borderId="0" xfId="1" applyNumberFormat="1" applyFont="1" applyProtection="1"/>
    <xf numFmtId="166" fontId="3" fillId="0" borderId="1" xfId="1" applyNumberFormat="1" applyFont="1" applyFill="1" applyBorder="1" applyProtection="1"/>
    <xf numFmtId="166" fontId="3" fillId="0" borderId="2" xfId="1" applyNumberFormat="1" applyFont="1" applyBorder="1" applyProtection="1"/>
    <xf numFmtId="164" fontId="3" fillId="0" borderId="3" xfId="2" applyNumberFormat="1" applyFont="1" applyBorder="1" applyProtection="1"/>
    <xf numFmtId="164" fontId="3" fillId="0" borderId="3" xfId="2" applyNumberFormat="1" applyFont="1" applyFill="1" applyBorder="1" applyProtection="1"/>
    <xf numFmtId="10" fontId="3" fillId="0" borderId="0" xfId="0" applyNumberFormat="1" applyFont="1" applyBorder="1" applyProtection="1"/>
    <xf numFmtId="10" fontId="3" fillId="0" borderId="0" xfId="0" applyNumberFormat="1" applyFont="1" applyProtection="1"/>
    <xf numFmtId="10" fontId="4" fillId="0" borderId="0" xfId="0" applyNumberFormat="1" applyFont="1" applyBorder="1" applyProtection="1"/>
    <xf numFmtId="37" fontId="9" fillId="0" borderId="0" xfId="0" applyFont="1" applyAlignment="1">
      <alignment horizontal="right"/>
    </xf>
    <xf numFmtId="37" fontId="9" fillId="0" borderId="0" xfId="0" applyFont="1"/>
    <xf numFmtId="37" fontId="3" fillId="0" borderId="0" xfId="0" applyFont="1" applyProtection="1">
      <protection locked="0"/>
    </xf>
    <xf numFmtId="37" fontId="3" fillId="0" borderId="0" xfId="0" applyFont="1" applyAlignment="1" applyProtection="1">
      <alignment horizontal="left"/>
      <protection locked="0"/>
    </xf>
    <xf numFmtId="37" fontId="3" fillId="0" borderId="0" xfId="0" applyFont="1" applyAlignment="1" applyProtection="1">
      <alignment horizontal="right"/>
      <protection locked="0"/>
    </xf>
    <xf numFmtId="37" fontId="3" fillId="0" borderId="2" xfId="0" applyFont="1" applyBorder="1" applyAlignment="1" applyProtection="1">
      <alignment horizontal="left"/>
    </xf>
    <xf numFmtId="37" fontId="3" fillId="0" borderId="1" xfId="0" applyFont="1" applyBorder="1" applyAlignment="1" applyProtection="1">
      <alignment horizontal="left"/>
      <protection locked="0"/>
    </xf>
    <xf numFmtId="37" fontId="3" fillId="0" borderId="2" xfId="0" applyFont="1" applyBorder="1"/>
    <xf numFmtId="37" fontId="3" fillId="0" borderId="1" xfId="0" applyFont="1" applyBorder="1" applyAlignment="1" applyProtection="1">
      <alignment horizontal="right"/>
      <protection locked="0"/>
    </xf>
    <xf numFmtId="37" fontId="5" fillId="0" borderId="0" xfId="0" applyFont="1" applyProtection="1">
      <protection locked="0"/>
    </xf>
    <xf numFmtId="37" fontId="3" fillId="0" borderId="0" xfId="0" applyFont="1" applyAlignment="1" applyProtection="1">
      <alignment horizontal="center"/>
      <protection locked="0"/>
    </xf>
    <xf numFmtId="37" fontId="3" fillId="0" borderId="1" xfId="0" applyFont="1" applyBorder="1" applyAlignment="1" applyProtection="1">
      <alignment horizontal="center"/>
      <protection locked="0"/>
    </xf>
    <xf numFmtId="37" fontId="3" fillId="0" borderId="1" xfId="0" applyFont="1" applyBorder="1" applyAlignment="1">
      <alignment horizontal="center"/>
    </xf>
    <xf numFmtId="37" fontId="0" fillId="0" borderId="0" xfId="0" applyFont="1" applyFill="1" applyBorder="1" applyAlignment="1" applyProtection="1">
      <alignment horizontal="center"/>
    </xf>
    <xf numFmtId="37" fontId="3" fillId="0" borderId="2" xfId="0" applyFont="1" applyBorder="1" applyAlignment="1">
      <alignment horizontal="center"/>
    </xf>
    <xf numFmtId="37" fontId="5" fillId="0" borderId="0" xfId="0" applyFont="1"/>
    <xf numFmtId="37" fontId="3" fillId="0" borderId="0" xfId="0" applyFont="1" applyFill="1" applyAlignment="1" applyProtection="1">
      <alignment horizontal="center"/>
    </xf>
    <xf numFmtId="37" fontId="3" fillId="0" borderId="4" xfId="0" applyFont="1" applyBorder="1" applyAlignment="1" applyProtection="1">
      <alignment horizontal="center"/>
    </xf>
    <xf numFmtId="168" fontId="3" fillId="0" borderId="0" xfId="0" applyNumberFormat="1" applyFont="1" applyAlignment="1" applyProtection="1">
      <alignment horizontal="center"/>
      <protection locked="0"/>
    </xf>
    <xf numFmtId="164" fontId="3" fillId="0" borderId="0" xfId="2" applyNumberFormat="1" applyFont="1" applyFill="1" applyProtection="1">
      <protection locked="0"/>
    </xf>
    <xf numFmtId="37" fontId="3" fillId="0" borderId="0" xfId="0" applyNumberFormat="1" applyFont="1" applyFill="1" applyAlignment="1" applyProtection="1">
      <alignment horizontal="center"/>
      <protection locked="0"/>
    </xf>
    <xf numFmtId="37" fontId="3" fillId="0" borderId="0" xfId="0" applyNumberFormat="1" applyFont="1" applyFill="1" applyProtection="1">
      <protection locked="0"/>
    </xf>
    <xf numFmtId="37" fontId="3" fillId="0" borderId="0" xfId="0" applyNumberFormat="1" applyFont="1" applyProtection="1">
      <protection locked="0"/>
    </xf>
    <xf numFmtId="168" fontId="3" fillId="0" borderId="0" xfId="0" applyNumberFormat="1" applyFont="1" applyAlignment="1">
      <alignment horizontal="center"/>
    </xf>
    <xf numFmtId="37" fontId="3" fillId="0" borderId="0" xfId="0" applyNumberFormat="1" applyFont="1" applyFill="1"/>
    <xf numFmtId="166" fontId="3" fillId="0" borderId="0" xfId="1" applyNumberFormat="1" applyFont="1" applyFill="1" applyProtection="1">
      <protection locked="0"/>
    </xf>
    <xf numFmtId="166" fontId="3" fillId="0" borderId="0" xfId="1" quotePrefix="1" applyNumberFormat="1" applyFont="1" applyFill="1" applyProtection="1"/>
    <xf numFmtId="37" fontId="10" fillId="0" borderId="0" xfId="0" applyFont="1"/>
    <xf numFmtId="37" fontId="3" fillId="0" borderId="0" xfId="0" applyFont="1" applyAlignment="1" applyProtection="1">
      <alignment horizontal="left" indent="1"/>
      <protection locked="0"/>
    </xf>
    <xf numFmtId="37" fontId="3" fillId="0" borderId="0" xfId="0" applyFont="1" applyFill="1" applyAlignment="1">
      <alignment horizontal="center"/>
    </xf>
    <xf numFmtId="166" fontId="3" fillId="0" borderId="0" xfId="1" quotePrefix="1" applyNumberFormat="1" applyFont="1" applyFill="1" applyProtection="1">
      <protection locked="0"/>
    </xf>
    <xf numFmtId="37" fontId="3" fillId="0" borderId="0" xfId="0" applyNumberFormat="1" applyFont="1" applyFill="1" applyAlignment="1" applyProtection="1">
      <alignment horizontal="center"/>
    </xf>
    <xf numFmtId="169" fontId="10" fillId="0" borderId="0" xfId="0" applyNumberFormat="1" applyFont="1" applyProtection="1"/>
    <xf numFmtId="37" fontId="10" fillId="0" borderId="0" xfId="0" applyNumberFormat="1" applyFont="1" applyProtection="1">
      <protection locked="0"/>
    </xf>
    <xf numFmtId="37" fontId="3" fillId="0" borderId="0" xfId="0" applyFont="1" applyFill="1" applyAlignment="1" applyProtection="1">
      <alignment horizontal="left" indent="1"/>
      <protection locked="0"/>
    </xf>
    <xf numFmtId="10" fontId="10" fillId="0" borderId="0" xfId="0" applyNumberFormat="1" applyFont="1" applyProtection="1"/>
    <xf numFmtId="37" fontId="3" fillId="0" borderId="1" xfId="0" applyNumberFormat="1" applyFont="1" applyBorder="1" applyProtection="1"/>
    <xf numFmtId="37" fontId="3" fillId="0" borderId="1" xfId="0" applyNumberFormat="1" applyFont="1" applyBorder="1" applyProtection="1">
      <protection locked="0"/>
    </xf>
    <xf numFmtId="37" fontId="3" fillId="0" borderId="2" xfId="0" applyNumberFormat="1" applyFont="1" applyBorder="1" applyProtection="1">
      <protection locked="0"/>
    </xf>
    <xf numFmtId="37" fontId="3" fillId="0" borderId="2" xfId="0" applyNumberFormat="1" applyFont="1" applyBorder="1" applyProtection="1"/>
    <xf numFmtId="37" fontId="3" fillId="0" borderId="0" xfId="0" applyNumberFormat="1" applyFont="1"/>
    <xf numFmtId="169" fontId="3" fillId="0" borderId="0" xfId="0" applyNumberFormat="1" applyFont="1" applyProtection="1"/>
    <xf numFmtId="37" fontId="3" fillId="0" borderId="0" xfId="0" applyNumberFormat="1" applyFont="1" applyAlignment="1" applyProtection="1">
      <alignment horizontal="center"/>
    </xf>
    <xf numFmtId="37" fontId="3" fillId="0" borderId="0" xfId="0" quotePrefix="1" applyNumberFormat="1" applyFont="1" applyProtection="1"/>
    <xf numFmtId="37" fontId="6" fillId="0" borderId="0" xfId="0" applyFont="1" applyAlignment="1">
      <alignment horizontal="right"/>
    </xf>
    <xf numFmtId="37" fontId="6" fillId="0" borderId="0" xfId="0" quotePrefix="1" applyNumberFormat="1" applyFont="1" applyProtection="1"/>
    <xf numFmtId="37" fontId="11" fillId="0" borderId="0" xfId="0" quotePrefix="1" applyFont="1"/>
    <xf numFmtId="37" fontId="12" fillId="0" borderId="0" xfId="0" quotePrefix="1" applyFont="1"/>
    <xf numFmtId="37" fontId="3" fillId="0" borderId="0" xfId="0" applyFont="1" applyBorder="1"/>
    <xf numFmtId="37" fontId="6" fillId="0" borderId="0" xfId="0" applyNumberFormat="1" applyFont="1" applyBorder="1" applyProtection="1"/>
    <xf numFmtId="37" fontId="13" fillId="0" borderId="0" xfId="0" applyFont="1"/>
    <xf numFmtId="37" fontId="13" fillId="0" borderId="0" xfId="0" applyFont="1" applyAlignment="1" applyProtection="1">
      <alignment horizontal="centerContinuous"/>
      <protection locked="0"/>
    </xf>
    <xf numFmtId="37" fontId="13" fillId="0" borderId="0" xfId="0" applyFont="1" applyAlignment="1">
      <alignment horizontal="centerContinuous"/>
    </xf>
    <xf numFmtId="37" fontId="13" fillId="0" borderId="0" xfId="0" applyFont="1" applyAlignment="1" applyProtection="1">
      <alignment horizontal="left"/>
    </xf>
    <xf numFmtId="37" fontId="13" fillId="0" borderId="0" xfId="0" applyFont="1" applyAlignment="1">
      <alignment horizontal="right"/>
    </xf>
    <xf numFmtId="37" fontId="13" fillId="0" borderId="0" xfId="0" applyFont="1" applyBorder="1" applyAlignment="1" applyProtection="1">
      <alignment horizontal="right"/>
      <protection locked="0"/>
    </xf>
    <xf numFmtId="37" fontId="13" fillId="0" borderId="1" xfId="0" applyFont="1" applyBorder="1" applyAlignment="1" applyProtection="1">
      <alignment horizontal="left"/>
    </xf>
    <xf numFmtId="37" fontId="13" fillId="0" borderId="1" xfId="0" applyFont="1" applyBorder="1"/>
    <xf numFmtId="37" fontId="13" fillId="0" borderId="2" xfId="0" applyFont="1" applyBorder="1" applyAlignment="1">
      <alignment horizontal="right"/>
    </xf>
    <xf numFmtId="37" fontId="13" fillId="0" borderId="0" xfId="0" applyFont="1" applyAlignment="1" applyProtection="1">
      <alignment horizontal="center"/>
      <protection locked="0"/>
    </xf>
    <xf numFmtId="37" fontId="13" fillId="0" borderId="0" xfId="0" applyFont="1" applyAlignment="1" applyProtection="1">
      <alignment horizontal="left"/>
      <protection locked="0"/>
    </xf>
    <xf numFmtId="37" fontId="13" fillId="0" borderId="1" xfId="0" applyFont="1" applyBorder="1" applyAlignment="1" applyProtection="1">
      <alignment horizontal="left"/>
      <protection locked="0"/>
    </xf>
    <xf numFmtId="37" fontId="13" fillId="0" borderId="1" xfId="0" applyFont="1" applyBorder="1" applyAlignment="1" applyProtection="1">
      <alignment horizontal="center"/>
      <protection locked="0"/>
    </xf>
    <xf numFmtId="37" fontId="13" fillId="0" borderId="0" xfId="0" applyFont="1" applyProtection="1">
      <protection locked="0"/>
    </xf>
    <xf numFmtId="37" fontId="14" fillId="0" borderId="0" xfId="0" applyFont="1" applyAlignment="1" applyProtection="1">
      <alignment horizontal="left"/>
      <protection locked="0"/>
    </xf>
    <xf numFmtId="37" fontId="13" fillId="0" borderId="0" xfId="0" applyFont="1" applyFill="1"/>
    <xf numFmtId="170" fontId="13" fillId="0" borderId="0" xfId="0" applyNumberFormat="1" applyFont="1" applyAlignment="1" applyProtection="1">
      <alignment horizontal="center"/>
      <protection locked="0"/>
    </xf>
    <xf numFmtId="37" fontId="13" fillId="0" borderId="0" xfId="0" applyFont="1" applyAlignment="1" applyProtection="1">
      <alignment horizontal="left" indent="2"/>
      <protection locked="0"/>
    </xf>
    <xf numFmtId="164" fontId="13" fillId="0" borderId="0" xfId="2" applyNumberFormat="1" applyFont="1" applyFill="1" applyProtection="1"/>
    <xf numFmtId="10" fontId="13" fillId="0" borderId="0" xfId="3" applyNumberFormat="1" applyFont="1"/>
    <xf numFmtId="170" fontId="13" fillId="0" borderId="0" xfId="0" applyNumberFormat="1" applyFont="1" applyFill="1" applyAlignment="1" applyProtection="1">
      <alignment horizontal="center"/>
      <protection locked="0"/>
    </xf>
    <xf numFmtId="37" fontId="13" fillId="0" borderId="0" xfId="0" applyFont="1" applyFill="1" applyAlignment="1" applyProtection="1">
      <alignment horizontal="left" indent="2"/>
      <protection locked="0"/>
    </xf>
    <xf numFmtId="166" fontId="13" fillId="0" borderId="0" xfId="1" applyNumberFormat="1" applyFont="1" applyFill="1" applyProtection="1"/>
    <xf numFmtId="166" fontId="13" fillId="0" borderId="2" xfId="1" applyNumberFormat="1" applyFont="1" applyFill="1" applyBorder="1" applyProtection="1"/>
    <xf numFmtId="37" fontId="13" fillId="0" borderId="0" xfId="0" applyFont="1" applyAlignment="1">
      <alignment horizontal="center"/>
    </xf>
    <xf numFmtId="166" fontId="13" fillId="0" borderId="0" xfId="1" applyNumberFormat="1" applyFont="1" applyFill="1" applyProtection="1">
      <protection locked="0"/>
    </xf>
    <xf numFmtId="170" fontId="13" fillId="0" borderId="0" xfId="0" applyNumberFormat="1" applyFont="1" applyBorder="1" applyAlignment="1" applyProtection="1">
      <alignment horizontal="center"/>
      <protection locked="0"/>
    </xf>
    <xf numFmtId="37" fontId="13" fillId="0" borderId="0" xfId="0" applyFont="1" applyBorder="1" applyAlignment="1" applyProtection="1">
      <alignment horizontal="left" indent="2"/>
      <protection locked="0"/>
    </xf>
    <xf numFmtId="37" fontId="15" fillId="0" borderId="0" xfId="0" applyFont="1"/>
    <xf numFmtId="164" fontId="13" fillId="0" borderId="4" xfId="2" applyNumberFormat="1" applyFont="1" applyFill="1" applyBorder="1" applyProtection="1"/>
    <xf numFmtId="37" fontId="15" fillId="0" borderId="0" xfId="0" applyFont="1" applyFill="1"/>
    <xf numFmtId="37" fontId="16" fillId="0" borderId="0" xfId="0" applyNumberFormat="1" applyFont="1" applyFill="1" applyProtection="1"/>
    <xf numFmtId="37" fontId="14" fillId="0" borderId="0" xfId="0" applyFont="1" applyAlignment="1" applyProtection="1">
      <alignment horizontal="left" indent="1"/>
      <protection locked="0"/>
    </xf>
    <xf numFmtId="166" fontId="13" fillId="0" borderId="0" xfId="1" applyNumberFormat="1" applyFont="1" applyFill="1"/>
    <xf numFmtId="170" fontId="13" fillId="0" borderId="0" xfId="0" applyNumberFormat="1" applyFont="1" applyAlignment="1" applyProtection="1">
      <alignment horizontal="center"/>
    </xf>
    <xf numFmtId="166" fontId="13" fillId="0" borderId="0" xfId="1" applyNumberFormat="1" applyFont="1" applyFill="1" applyBorder="1" applyProtection="1"/>
    <xf numFmtId="37" fontId="13" fillId="0" borderId="0" xfId="0" applyFont="1" applyAlignment="1" applyProtection="1">
      <alignment horizontal="left" indent="1"/>
      <protection locked="0"/>
    </xf>
    <xf numFmtId="164" fontId="13" fillId="0" borderId="2" xfId="2" applyNumberFormat="1" applyFont="1" applyFill="1" applyBorder="1" applyProtection="1"/>
    <xf numFmtId="164" fontId="13" fillId="0" borderId="0" xfId="2" applyNumberFormat="1" applyFont="1" applyFill="1" applyBorder="1" applyProtection="1"/>
    <xf numFmtId="170" fontId="13" fillId="0" borderId="0" xfId="0" applyNumberFormat="1" applyFont="1" applyAlignment="1">
      <alignment horizontal="center"/>
    </xf>
    <xf numFmtId="37" fontId="13" fillId="0" borderId="0" xfId="0" applyFont="1" applyAlignment="1" applyProtection="1">
      <alignment horizontal="left" indent="2"/>
    </xf>
    <xf numFmtId="37" fontId="13" fillId="0" borderId="0" xfId="0" quotePrefix="1" applyFont="1" applyAlignment="1">
      <alignment horizontal="center"/>
    </xf>
    <xf numFmtId="37" fontId="17" fillId="0" borderId="0" xfId="0" applyFont="1"/>
    <xf numFmtId="0" fontId="3" fillId="0" borderId="0" xfId="0" applyNumberFormat="1" applyFont="1" applyAlignment="1">
      <alignment horizontal="center"/>
    </xf>
    <xf numFmtId="37" fontId="0" fillId="0" borderId="0" xfId="0" applyFont="1"/>
    <xf numFmtId="37" fontId="14" fillId="0" borderId="0" xfId="0" applyFont="1" applyBorder="1" applyAlignment="1" applyProtection="1">
      <alignment horizontal="left" indent="1"/>
      <protection locked="0"/>
    </xf>
    <xf numFmtId="37" fontId="13" fillId="0" borderId="0" xfId="0" applyNumberFormat="1" applyFont="1" applyFill="1" applyProtection="1"/>
    <xf numFmtId="169" fontId="13" fillId="0" borderId="0" xfId="3" applyNumberFormat="1" applyFont="1"/>
    <xf numFmtId="171" fontId="13" fillId="0" borderId="0" xfId="0" applyNumberFormat="1" applyFont="1" applyAlignment="1" applyProtection="1">
      <alignment horizontal="center"/>
      <protection locked="0"/>
    </xf>
    <xf numFmtId="164" fontId="13" fillId="0" borderId="0" xfId="2" applyNumberFormat="1" applyFont="1" applyFill="1" applyProtection="1">
      <protection locked="0"/>
    </xf>
    <xf numFmtId="164" fontId="16" fillId="0" borderId="0" xfId="2" applyNumberFormat="1" applyFont="1" applyFill="1" applyProtection="1"/>
    <xf numFmtId="37" fontId="13" fillId="0" borderId="0" xfId="0" applyFont="1" applyAlignment="1" applyProtection="1">
      <protection locked="0"/>
    </xf>
    <xf numFmtId="37" fontId="13" fillId="0" borderId="0" xfId="0" applyFont="1" applyAlignment="1"/>
    <xf numFmtId="164" fontId="13" fillId="0" borderId="5" xfId="2" applyNumberFormat="1" applyFont="1" applyFill="1" applyBorder="1" applyProtection="1"/>
    <xf numFmtId="37" fontId="13" fillId="0" borderId="0" xfId="0" applyFont="1" applyAlignment="1" applyProtection="1"/>
    <xf numFmtId="37" fontId="18" fillId="0" borderId="0" xfId="0" applyFont="1" applyAlignment="1">
      <alignment horizontal="left"/>
    </xf>
    <xf numFmtId="37" fontId="3" fillId="2" borderId="0" xfId="0" applyFont="1" applyFill="1"/>
    <xf numFmtId="37" fontId="3" fillId="0" borderId="0" xfId="0" applyFont="1" applyFill="1" applyAlignment="1">
      <alignment horizontal="right"/>
    </xf>
    <xf numFmtId="37" fontId="3" fillId="0" borderId="0" xfId="0" applyFont="1" applyFill="1" applyAlignment="1" applyProtection="1">
      <alignment horizontal="right"/>
      <protection locked="0"/>
    </xf>
    <xf numFmtId="37" fontId="3" fillId="2" borderId="2" xfId="0" applyFont="1" applyFill="1" applyBorder="1"/>
    <xf numFmtId="37" fontId="3" fillId="0" borderId="1" xfId="0" applyFont="1" applyFill="1" applyBorder="1" applyAlignment="1" applyProtection="1">
      <alignment horizontal="right"/>
      <protection locked="0"/>
    </xf>
    <xf numFmtId="37" fontId="3" fillId="0" borderId="6" xfId="0" applyFont="1" applyBorder="1" applyAlignment="1">
      <alignment horizontal="center"/>
    </xf>
    <xf numFmtId="37" fontId="3" fillId="0" borderId="4" xfId="0" applyFont="1" applyBorder="1" applyAlignment="1">
      <alignment horizontal="center"/>
    </xf>
    <xf numFmtId="37" fontId="3" fillId="0" borderId="4" xfId="0" applyFont="1" applyBorder="1" applyAlignment="1" applyProtection="1">
      <alignment horizontal="center"/>
      <protection locked="0"/>
    </xf>
    <xf numFmtId="37" fontId="0" fillId="0" borderId="0" xfId="0" applyFont="1" applyAlignment="1">
      <alignment horizontal="center"/>
    </xf>
    <xf numFmtId="37" fontId="0" fillId="0" borderId="0" xfId="0" applyFont="1" applyFill="1" applyAlignment="1">
      <alignment horizontal="center"/>
    </xf>
    <xf numFmtId="37" fontId="0" fillId="0" borderId="0" xfId="0" applyAlignment="1">
      <alignment horizontal="center"/>
    </xf>
    <xf numFmtId="37" fontId="3" fillId="0" borderId="7" xfId="0" applyFont="1" applyBorder="1" applyAlignment="1">
      <alignment horizontal="center"/>
    </xf>
    <xf numFmtId="37" fontId="3" fillId="0" borderId="2" xfId="0" applyFont="1" applyBorder="1" applyAlignment="1" applyProtection="1">
      <alignment horizontal="center"/>
      <protection locked="0"/>
    </xf>
    <xf numFmtId="172" fontId="0" fillId="0" borderId="2" xfId="0" applyNumberFormat="1" applyBorder="1" applyAlignment="1">
      <alignment horizontal="center"/>
    </xf>
    <xf numFmtId="172" fontId="0" fillId="0" borderId="2" xfId="0" applyNumberFormat="1" applyFill="1" applyBorder="1" applyAlignment="1">
      <alignment horizontal="center"/>
    </xf>
    <xf numFmtId="37" fontId="3" fillId="0" borderId="8" xfId="0" applyFont="1" applyBorder="1" applyAlignment="1">
      <alignment horizontal="center"/>
    </xf>
    <xf numFmtId="37" fontId="3" fillId="0" borderId="0" xfId="0" applyFont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37" fontId="0" fillId="0" borderId="0" xfId="0" applyFont="1" applyFill="1"/>
    <xf numFmtId="37" fontId="19" fillId="0" borderId="0" xfId="0" applyFont="1"/>
    <xf numFmtId="37" fontId="13" fillId="0" borderId="0" xfId="0" applyFont="1" applyFill="1" applyAlignment="1">
      <alignment horizontal="right"/>
    </xf>
    <xf numFmtId="37" fontId="19" fillId="0" borderId="0" xfId="0" applyFont="1" applyFill="1"/>
    <xf numFmtId="37" fontId="10" fillId="0" borderId="0" xfId="0" applyFont="1" applyFill="1"/>
    <xf numFmtId="170" fontId="3" fillId="0" borderId="0" xfId="0" applyNumberFormat="1" applyFont="1" applyFill="1" applyAlignment="1">
      <alignment horizontal="left"/>
    </xf>
    <xf numFmtId="37" fontId="20" fillId="0" borderId="0" xfId="0" applyFont="1" applyFill="1"/>
    <xf numFmtId="37" fontId="0" fillId="0" borderId="0" xfId="0" applyFill="1"/>
    <xf numFmtId="37" fontId="20" fillId="0" borderId="0" xfId="0" applyFont="1"/>
    <xf numFmtId="37" fontId="18" fillId="0" borderId="0" xfId="0" applyFont="1"/>
    <xf numFmtId="37" fontId="21" fillId="0" borderId="0" xfId="0" applyFont="1"/>
    <xf numFmtId="170" fontId="18" fillId="0" borderId="0" xfId="0" applyNumberFormat="1" applyFont="1" applyAlignment="1" applyProtection="1">
      <alignment horizontal="left"/>
      <protection locked="0"/>
    </xf>
    <xf numFmtId="0" fontId="18" fillId="0" borderId="0" xfId="0" applyNumberFormat="1" applyFont="1" applyAlignment="1">
      <alignment horizontal="center"/>
    </xf>
    <xf numFmtId="170" fontId="3" fillId="0" borderId="0" xfId="0" applyNumberFormat="1" applyFont="1" applyAlignment="1" applyProtection="1">
      <alignment horizontal="left"/>
      <protection locked="0"/>
    </xf>
    <xf numFmtId="37" fontId="13" fillId="0" borderId="0" xfId="0" applyNumberFormat="1" applyFont="1" applyFill="1" applyBorder="1" applyProtection="1">
      <protection locked="0"/>
    </xf>
    <xf numFmtId="37" fontId="3" fillId="0" borderId="0" xfId="0" quotePrefix="1" applyFont="1" applyFill="1"/>
    <xf numFmtId="37" fontId="17" fillId="0" borderId="0" xfId="0" applyNumberFormat="1" applyFont="1" applyFill="1" applyBorder="1" applyProtection="1">
      <protection locked="0"/>
    </xf>
    <xf numFmtId="43" fontId="22" fillId="0" borderId="0" xfId="1" applyFont="1"/>
    <xf numFmtId="43" fontId="22" fillId="0" borderId="0" xfId="1" applyFont="1" applyFill="1"/>
    <xf numFmtId="5" fontId="3" fillId="0" borderId="3" xfId="0" applyNumberFormat="1" applyFont="1" applyBorder="1"/>
    <xf numFmtId="166" fontId="3" fillId="0" borderId="3" xfId="0" applyNumberFormat="1" applyFont="1" applyBorder="1"/>
    <xf numFmtId="5" fontId="3" fillId="0" borderId="0" xfId="0" applyNumberFormat="1" applyFont="1" applyBorder="1"/>
    <xf numFmtId="10" fontId="3" fillId="0" borderId="0" xfId="3" applyNumberFormat="1" applyFont="1"/>
    <xf numFmtId="37" fontId="10" fillId="0" borderId="0" xfId="0" applyFont="1" applyFill="1" applyBorder="1"/>
    <xf numFmtId="39" fontId="0" fillId="0" borderId="0" xfId="0" applyNumberFormat="1" applyFill="1"/>
    <xf numFmtId="37" fontId="3" fillId="0" borderId="0" xfId="0" applyFont="1" applyAlignment="1">
      <alignment horizontal="centerContinuous"/>
    </xf>
    <xf numFmtId="37" fontId="5" fillId="0" borderId="0" xfId="0" applyFont="1" applyAlignment="1">
      <alignment horizontal="centerContinuous"/>
    </xf>
    <xf numFmtId="37" fontId="23" fillId="0" borderId="0" xfId="0" applyFont="1"/>
    <xf numFmtId="37" fontId="10" fillId="0" borderId="0" xfId="0" applyFont="1" applyAlignment="1">
      <alignment horizontal="left"/>
    </xf>
    <xf numFmtId="37" fontId="3" fillId="0" borderId="9" xfId="0" applyFont="1" applyBorder="1" applyAlignment="1" applyProtection="1">
      <alignment horizontal="center"/>
      <protection locked="0"/>
    </xf>
    <xf numFmtId="17" fontId="3" fillId="0" borderId="8" xfId="0" applyNumberFormat="1" applyFont="1" applyFill="1" applyBorder="1" applyAlignment="1">
      <alignment horizontal="center"/>
    </xf>
    <xf numFmtId="166" fontId="3" fillId="0" borderId="0" xfId="0" applyNumberFormat="1" applyFont="1" applyFill="1"/>
    <xf numFmtId="0" fontId="22" fillId="0" borderId="0" xfId="4" applyFont="1"/>
    <xf numFmtId="166" fontId="3" fillId="0" borderId="0" xfId="1" applyNumberFormat="1" applyFont="1" applyFill="1" applyAlignment="1">
      <alignment horizontal="center"/>
    </xf>
    <xf numFmtId="37" fontId="3" fillId="0" borderId="0" xfId="0" applyFont="1" applyFill="1" applyAlignment="1">
      <alignment horizontal="left" indent="1"/>
    </xf>
    <xf numFmtId="10" fontId="3" fillId="0" borderId="2" xfId="3" applyNumberFormat="1" applyFont="1" applyFill="1" applyBorder="1"/>
    <xf numFmtId="37" fontId="3" fillId="0" borderId="0" xfId="0" applyFont="1" applyFill="1" applyBorder="1"/>
    <xf numFmtId="37" fontId="10" fillId="0" borderId="0" xfId="0" applyFont="1" applyBorder="1"/>
    <xf numFmtId="37" fontId="3" fillId="0" borderId="0" xfId="0" applyFont="1" applyFill="1" applyBorder="1" applyAlignment="1">
      <alignment horizontal="right"/>
    </xf>
    <xf numFmtId="43" fontId="3" fillId="0" borderId="0" xfId="1" applyFont="1"/>
    <xf numFmtId="10" fontId="3" fillId="0" borderId="0" xfId="3" applyNumberFormat="1" applyFont="1" applyFill="1"/>
    <xf numFmtId="37" fontId="3" fillId="0" borderId="0" xfId="0" applyFont="1" applyFill="1" applyAlignment="1">
      <alignment horizontal="centerContinuous"/>
    </xf>
    <xf numFmtId="5" fontId="3" fillId="0" borderId="3" xfId="0" applyNumberFormat="1" applyFont="1" applyFill="1" applyBorder="1"/>
    <xf numFmtId="0" fontId="3" fillId="0" borderId="0" xfId="0" applyNumberFormat="1" applyFont="1" applyFill="1" applyAlignment="1">
      <alignment horizontal="left"/>
    </xf>
    <xf numFmtId="166" fontId="3" fillId="0" borderId="0" xfId="1" applyNumberFormat="1" applyFont="1" applyFill="1" applyAlignment="1">
      <alignment horizontal="left"/>
    </xf>
    <xf numFmtId="5" fontId="24" fillId="0" borderId="0" xfId="1" applyNumberFormat="1" applyFont="1" applyBorder="1"/>
    <xf numFmtId="5" fontId="3" fillId="0" borderId="0" xfId="0" applyNumberFormat="1" applyFont="1" applyFill="1" applyBorder="1"/>
    <xf numFmtId="37" fontId="0" fillId="0" borderId="0" xfId="0" quotePrefix="1" applyFont="1"/>
    <xf numFmtId="0" fontId="3" fillId="0" borderId="0" xfId="0" quotePrefix="1" applyNumberFormat="1" applyFont="1" applyAlignment="1">
      <alignment horizontal="center"/>
    </xf>
    <xf numFmtId="169" fontId="24" fillId="0" borderId="0" xfId="3" applyNumberFormat="1" applyFont="1" applyFill="1"/>
    <xf numFmtId="37" fontId="3" fillId="0" borderId="0" xfId="0" applyFont="1" applyAlignment="1"/>
    <xf numFmtId="37" fontId="3" fillId="0" borderId="0" xfId="0" applyFont="1" applyAlignment="1" applyProtection="1"/>
    <xf numFmtId="37" fontId="3" fillId="0" borderId="0" xfId="0" applyFont="1" applyBorder="1" applyAlignment="1" applyProtection="1"/>
    <xf numFmtId="37" fontId="3" fillId="0" borderId="0" xfId="0" applyFont="1" applyBorder="1" applyAlignment="1"/>
    <xf numFmtId="37" fontId="3" fillId="0" borderId="1" xfId="0" applyFont="1" applyBorder="1" applyAlignment="1"/>
    <xf numFmtId="37" fontId="3" fillId="0" borderId="2" xfId="0" applyFont="1" applyBorder="1" applyAlignment="1"/>
    <xf numFmtId="37" fontId="3" fillId="0" borderId="0" xfId="0" applyFont="1" applyBorder="1" applyAlignment="1" applyProtection="1">
      <alignment horizontal="center"/>
    </xf>
    <xf numFmtId="37" fontId="3" fillId="0" borderId="1" xfId="0" applyFont="1" applyBorder="1" applyAlignment="1" applyProtection="1"/>
    <xf numFmtId="164" fontId="3" fillId="0" borderId="0" xfId="2" applyNumberFormat="1" applyFont="1" applyAlignment="1" applyProtection="1">
      <alignment horizontal="right"/>
    </xf>
    <xf numFmtId="37" fontId="3" fillId="0" borderId="0" xfId="0" applyNumberFormat="1" applyFont="1" applyAlignment="1" applyProtection="1">
      <alignment horizontal="right"/>
    </xf>
    <xf numFmtId="37" fontId="3" fillId="0" borderId="2" xfId="0" applyNumberFormat="1" applyFont="1" applyBorder="1" applyAlignment="1" applyProtection="1">
      <alignment horizontal="right"/>
    </xf>
    <xf numFmtId="169" fontId="3" fillId="0" borderId="2" xfId="3" applyNumberFormat="1" applyFont="1" applyBorder="1" applyAlignment="1" applyProtection="1">
      <alignment horizontal="right"/>
    </xf>
    <xf numFmtId="37" fontId="21" fillId="0" borderId="0" xfId="0" applyFont="1" applyAlignment="1">
      <alignment horizontal="left" indent="1"/>
    </xf>
    <xf numFmtId="164" fontId="3" fillId="0" borderId="5" xfId="2" applyNumberFormat="1" applyFont="1" applyBorder="1" applyAlignment="1" applyProtection="1">
      <alignment horizontal="right"/>
    </xf>
    <xf numFmtId="164" fontId="13" fillId="0" borderId="5" xfId="2" applyNumberFormat="1" applyFont="1" applyBorder="1" applyAlignment="1" applyProtection="1">
      <alignment horizontal="right"/>
    </xf>
    <xf numFmtId="37" fontId="3" fillId="0" borderId="0" xfId="0" applyNumberFormat="1" applyFont="1" applyBorder="1" applyAlignment="1" applyProtection="1">
      <alignment horizontal="right"/>
    </xf>
    <xf numFmtId="37" fontId="21" fillId="0" borderId="0" xfId="0" applyNumberFormat="1" applyFont="1" applyBorder="1" applyAlignment="1" applyProtection="1">
      <alignment horizontal="right"/>
    </xf>
    <xf numFmtId="37" fontId="14" fillId="0" borderId="0" xfId="0" applyFont="1" applyAlignment="1"/>
    <xf numFmtId="37" fontId="3" fillId="0" borderId="0" xfId="0" applyFont="1" applyAlignment="1">
      <alignment horizontal="left" indent="2"/>
    </xf>
    <xf numFmtId="164" fontId="3" fillId="0" borderId="0" xfId="2" applyNumberFormat="1" applyFont="1" applyFill="1" applyAlignment="1">
      <alignment horizontal="right"/>
    </xf>
    <xf numFmtId="37" fontId="3" fillId="0" borderId="0" xfId="0" applyNumberFormat="1" applyFont="1" applyAlignment="1">
      <alignment horizontal="right"/>
    </xf>
    <xf numFmtId="164" fontId="3" fillId="0" borderId="0" xfId="2" applyNumberFormat="1" applyFont="1" applyAlignment="1">
      <alignment horizontal="right"/>
    </xf>
    <xf numFmtId="10" fontId="3" fillId="0" borderId="2" xfId="3" applyNumberFormat="1" applyFont="1" applyBorder="1"/>
    <xf numFmtId="37" fontId="10" fillId="0" borderId="0" xfId="0" applyFont="1" applyAlignment="1"/>
    <xf numFmtId="37" fontId="3" fillId="0" borderId="0" xfId="0" applyFont="1" applyAlignment="1">
      <alignment horizontal="left" indent="3"/>
    </xf>
    <xf numFmtId="164" fontId="3" fillId="0" borderId="5" xfId="2" applyNumberFormat="1" applyFont="1" applyBorder="1"/>
    <xf numFmtId="37" fontId="14" fillId="0" borderId="0" xfId="0" applyFont="1" applyFill="1"/>
    <xf numFmtId="39" fontId="10" fillId="0" borderId="0" xfId="0" applyNumberFormat="1" applyFont="1"/>
    <xf numFmtId="37" fontId="3" fillId="0" borderId="0" xfId="0" applyFont="1" applyFill="1" applyAlignment="1">
      <alignment horizontal="left" indent="2"/>
    </xf>
    <xf numFmtId="37" fontId="3" fillId="0" borderId="0" xfId="0" applyFont="1" applyFill="1" applyAlignment="1"/>
    <xf numFmtId="10" fontId="3" fillId="0" borderId="0" xfId="3" applyNumberFormat="1" applyFont="1" applyFill="1" applyAlignment="1"/>
    <xf numFmtId="10" fontId="3" fillId="0" borderId="0" xfId="3" applyNumberFormat="1" applyFont="1" applyAlignment="1"/>
    <xf numFmtId="173" fontId="3" fillId="0" borderId="0" xfId="0" applyNumberFormat="1" applyFont="1" applyAlignment="1"/>
    <xf numFmtId="37" fontId="3" fillId="0" borderId="0" xfId="0" applyFont="1" applyAlignment="1">
      <alignment horizontal="center"/>
    </xf>
    <xf numFmtId="41" fontId="3" fillId="0" borderId="3" xfId="0" applyNumberFormat="1" applyFont="1" applyBorder="1"/>
    <xf numFmtId="37" fontId="3" fillId="0" borderId="0" xfId="0" applyNumberFormat="1" applyFont="1" applyAlignment="1" applyProtection="1">
      <alignment horizontal="center"/>
      <protection locked="0"/>
    </xf>
    <xf numFmtId="37" fontId="3" fillId="0" borderId="0" xfId="0" applyFont="1" applyAlignment="1">
      <alignment horizontal="center"/>
    </xf>
    <xf numFmtId="37" fontId="13" fillId="0" borderId="0" xfId="0" applyFont="1" applyFill="1" applyAlignment="1" applyProtection="1">
      <alignment horizontal="center"/>
      <protection locked="0"/>
    </xf>
    <xf numFmtId="37" fontId="13" fillId="0" borderId="0" xfId="0" applyFont="1" applyFill="1" applyAlignment="1" applyProtection="1">
      <alignment horizontal="center"/>
    </xf>
  </cellXfs>
  <cellStyles count="401">
    <cellStyle name="Comma" xfId="1" builtinId="3"/>
    <cellStyle name="Comma [0] 2" xfId="5"/>
    <cellStyle name="Comma [0] 3" xfId="36"/>
    <cellStyle name="Comma 10" xfId="53"/>
    <cellStyle name="Comma 100" xfId="327"/>
    <cellStyle name="Comma 101" xfId="330"/>
    <cellStyle name="Comma 102" xfId="333"/>
    <cellStyle name="Comma 103" xfId="336"/>
    <cellStyle name="Comma 104" xfId="339"/>
    <cellStyle name="Comma 105" xfId="342"/>
    <cellStyle name="Comma 106" xfId="344"/>
    <cellStyle name="Comma 107" xfId="347"/>
    <cellStyle name="Comma 108" xfId="351"/>
    <cellStyle name="Comma 109" xfId="354"/>
    <cellStyle name="Comma 11" xfId="56"/>
    <cellStyle name="Comma 110" xfId="357"/>
    <cellStyle name="Comma 111" xfId="360"/>
    <cellStyle name="Comma 112" xfId="363"/>
    <cellStyle name="Comma 113" xfId="366"/>
    <cellStyle name="Comma 114" xfId="369"/>
    <cellStyle name="Comma 115" xfId="372"/>
    <cellStyle name="Comma 116" xfId="375"/>
    <cellStyle name="Comma 117" xfId="378"/>
    <cellStyle name="Comma 118" xfId="381"/>
    <cellStyle name="Comma 119" xfId="384"/>
    <cellStyle name="Comma 12" xfId="59"/>
    <cellStyle name="Comma 120" xfId="387"/>
    <cellStyle name="Comma 121" xfId="390"/>
    <cellStyle name="Comma 122" xfId="393"/>
    <cellStyle name="Comma 123" xfId="396"/>
    <cellStyle name="Comma 124" xfId="398"/>
    <cellStyle name="Comma 125" xfId="400"/>
    <cellStyle name="Comma 13" xfId="62"/>
    <cellStyle name="Comma 14" xfId="65"/>
    <cellStyle name="Comma 15" xfId="68"/>
    <cellStyle name="Comma 16" xfId="71"/>
    <cellStyle name="Comma 17" xfId="74"/>
    <cellStyle name="Comma 18" xfId="77"/>
    <cellStyle name="Comma 19" xfId="80"/>
    <cellStyle name="Comma 2" xfId="6"/>
    <cellStyle name="Comma 20" xfId="83"/>
    <cellStyle name="Comma 21" xfId="86"/>
    <cellStyle name="Comma 22" xfId="89"/>
    <cellStyle name="Comma 23" xfId="92"/>
    <cellStyle name="Comma 24" xfId="95"/>
    <cellStyle name="Comma 25" xfId="98"/>
    <cellStyle name="Comma 26" xfId="101"/>
    <cellStyle name="Comma 27" xfId="104"/>
    <cellStyle name="Comma 28" xfId="107"/>
    <cellStyle name="Comma 29" xfId="110"/>
    <cellStyle name="Comma 3" xfId="7"/>
    <cellStyle name="Comma 30" xfId="113"/>
    <cellStyle name="Comma 31" xfId="116"/>
    <cellStyle name="Comma 32" xfId="119"/>
    <cellStyle name="Comma 33" xfId="122"/>
    <cellStyle name="Comma 34" xfId="125"/>
    <cellStyle name="Comma 35" xfId="128"/>
    <cellStyle name="Comma 36" xfId="131"/>
    <cellStyle name="Comma 37" xfId="134"/>
    <cellStyle name="Comma 38" xfId="137"/>
    <cellStyle name="Comma 39" xfId="139"/>
    <cellStyle name="Comma 4" xfId="8"/>
    <cellStyle name="Comma 40" xfId="142"/>
    <cellStyle name="Comma 41" xfId="146"/>
    <cellStyle name="Comma 42" xfId="149"/>
    <cellStyle name="Comma 43" xfId="152"/>
    <cellStyle name="Comma 44" xfId="155"/>
    <cellStyle name="Comma 45" xfId="158"/>
    <cellStyle name="Comma 46" xfId="161"/>
    <cellStyle name="Comma 47" xfId="163"/>
    <cellStyle name="Comma 48" xfId="165"/>
    <cellStyle name="Comma 49" xfId="174"/>
    <cellStyle name="Comma 5" xfId="35"/>
    <cellStyle name="Comma 50" xfId="177"/>
    <cellStyle name="Comma 51" xfId="180"/>
    <cellStyle name="Comma 52" xfId="183"/>
    <cellStyle name="Comma 53" xfId="186"/>
    <cellStyle name="Comma 54" xfId="189"/>
    <cellStyle name="Comma 55" xfId="192"/>
    <cellStyle name="Comma 56" xfId="195"/>
    <cellStyle name="Comma 57" xfId="198"/>
    <cellStyle name="Comma 58" xfId="201"/>
    <cellStyle name="Comma 59" xfId="204"/>
    <cellStyle name="Comma 6" xfId="41"/>
    <cellStyle name="Comma 60" xfId="207"/>
    <cellStyle name="Comma 61" xfId="210"/>
    <cellStyle name="Comma 62" xfId="213"/>
    <cellStyle name="Comma 63" xfId="216"/>
    <cellStyle name="Comma 64" xfId="219"/>
    <cellStyle name="Comma 65" xfId="222"/>
    <cellStyle name="Comma 66" xfId="225"/>
    <cellStyle name="Comma 67" xfId="228"/>
    <cellStyle name="Comma 68" xfId="231"/>
    <cellStyle name="Comma 69" xfId="234"/>
    <cellStyle name="Comma 7" xfId="44"/>
    <cellStyle name="Comma 70" xfId="237"/>
    <cellStyle name="Comma 71" xfId="240"/>
    <cellStyle name="Comma 72" xfId="243"/>
    <cellStyle name="Comma 73" xfId="246"/>
    <cellStyle name="Comma 74" xfId="249"/>
    <cellStyle name="Comma 75" xfId="252"/>
    <cellStyle name="Comma 76" xfId="255"/>
    <cellStyle name="Comma 77" xfId="258"/>
    <cellStyle name="Comma 78" xfId="261"/>
    <cellStyle name="Comma 79" xfId="264"/>
    <cellStyle name="Comma 8" xfId="47"/>
    <cellStyle name="Comma 80" xfId="267"/>
    <cellStyle name="Comma 81" xfId="270"/>
    <cellStyle name="Comma 82" xfId="273"/>
    <cellStyle name="Comma 83" xfId="276"/>
    <cellStyle name="Comma 84" xfId="279"/>
    <cellStyle name="Comma 85" xfId="282"/>
    <cellStyle name="Comma 86" xfId="284"/>
    <cellStyle name="Comma 87" xfId="286"/>
    <cellStyle name="Comma 88" xfId="291"/>
    <cellStyle name="Comma 89" xfId="294"/>
    <cellStyle name="Comma 9" xfId="50"/>
    <cellStyle name="Comma 90" xfId="297"/>
    <cellStyle name="Comma 91" xfId="300"/>
    <cellStyle name="Comma 92" xfId="303"/>
    <cellStyle name="Comma 93" xfId="306"/>
    <cellStyle name="Comma 94" xfId="309"/>
    <cellStyle name="Comma 95" xfId="312"/>
    <cellStyle name="Comma 96" xfId="315"/>
    <cellStyle name="Comma 97" xfId="318"/>
    <cellStyle name="Comma 98" xfId="321"/>
    <cellStyle name="Comma 99" xfId="324"/>
    <cellStyle name="Currency" xfId="2" builtinId="4"/>
    <cellStyle name="Currency [0] 2" xfId="9"/>
    <cellStyle name="Currency [0] 3" xfId="34"/>
    <cellStyle name="Currency 10" xfId="51"/>
    <cellStyle name="Currency 100" xfId="325"/>
    <cellStyle name="Currency 101" xfId="328"/>
    <cellStyle name="Currency 102" xfId="331"/>
    <cellStyle name="Currency 103" xfId="334"/>
    <cellStyle name="Currency 104" xfId="337"/>
    <cellStyle name="Currency 105" xfId="340"/>
    <cellStyle name="Currency 106" xfId="343"/>
    <cellStyle name="Currency 107" xfId="345"/>
    <cellStyle name="Currency 108" xfId="349"/>
    <cellStyle name="Currency 109" xfId="352"/>
    <cellStyle name="Currency 11" xfId="54"/>
    <cellStyle name="Currency 110" xfId="355"/>
    <cellStyle name="Currency 111" xfId="358"/>
    <cellStyle name="Currency 112" xfId="361"/>
    <cellStyle name="Currency 113" xfId="364"/>
    <cellStyle name="Currency 114" xfId="367"/>
    <cellStyle name="Currency 115" xfId="370"/>
    <cellStyle name="Currency 116" xfId="373"/>
    <cellStyle name="Currency 117" xfId="376"/>
    <cellStyle name="Currency 118" xfId="379"/>
    <cellStyle name="Currency 119" xfId="382"/>
    <cellStyle name="Currency 12" xfId="57"/>
    <cellStyle name="Currency 120" xfId="385"/>
    <cellStyle name="Currency 121" xfId="388"/>
    <cellStyle name="Currency 122" xfId="391"/>
    <cellStyle name="Currency 123" xfId="394"/>
    <cellStyle name="Currency 124" xfId="397"/>
    <cellStyle name="Currency 125" xfId="399"/>
    <cellStyle name="Currency 13" xfId="60"/>
    <cellStyle name="Currency 14" xfId="63"/>
    <cellStyle name="Currency 15" xfId="66"/>
    <cellStyle name="Currency 16" xfId="69"/>
    <cellStyle name="Currency 17" xfId="72"/>
    <cellStyle name="Currency 18" xfId="75"/>
    <cellStyle name="Currency 19" xfId="78"/>
    <cellStyle name="Currency 2" xfId="10"/>
    <cellStyle name="Currency 20" xfId="81"/>
    <cellStyle name="Currency 21" xfId="84"/>
    <cellStyle name="Currency 22" xfId="87"/>
    <cellStyle name="Currency 23" xfId="90"/>
    <cellStyle name="Currency 24" xfId="93"/>
    <cellStyle name="Currency 25" xfId="96"/>
    <cellStyle name="Currency 26" xfId="99"/>
    <cellStyle name="Currency 27" xfId="102"/>
    <cellStyle name="Currency 28" xfId="105"/>
    <cellStyle name="Currency 29" xfId="108"/>
    <cellStyle name="Currency 3" xfId="11"/>
    <cellStyle name="Currency 30" xfId="111"/>
    <cellStyle name="Currency 31" xfId="114"/>
    <cellStyle name="Currency 32" xfId="117"/>
    <cellStyle name="Currency 33" xfId="120"/>
    <cellStyle name="Currency 34" xfId="123"/>
    <cellStyle name="Currency 35" xfId="126"/>
    <cellStyle name="Currency 36" xfId="129"/>
    <cellStyle name="Currency 37" xfId="132"/>
    <cellStyle name="Currency 38" xfId="135"/>
    <cellStyle name="Currency 39" xfId="138"/>
    <cellStyle name="Currency 4" xfId="12"/>
    <cellStyle name="Currency 40" xfId="140"/>
    <cellStyle name="Currency 41" xfId="144"/>
    <cellStyle name="Currency 42" xfId="147"/>
    <cellStyle name="Currency 43" xfId="150"/>
    <cellStyle name="Currency 44" xfId="153"/>
    <cellStyle name="Currency 45" xfId="156"/>
    <cellStyle name="Currency 46" xfId="159"/>
    <cellStyle name="Currency 47" xfId="162"/>
    <cellStyle name="Currency 48" xfId="164"/>
    <cellStyle name="Currency 49" xfId="172"/>
    <cellStyle name="Currency 5" xfId="33"/>
    <cellStyle name="Currency 50" xfId="175"/>
    <cellStyle name="Currency 51" xfId="178"/>
    <cellStyle name="Currency 52" xfId="181"/>
    <cellStyle name="Currency 53" xfId="184"/>
    <cellStyle name="Currency 54" xfId="187"/>
    <cellStyle name="Currency 55" xfId="190"/>
    <cellStyle name="Currency 56" xfId="193"/>
    <cellStyle name="Currency 57" xfId="196"/>
    <cellStyle name="Currency 58" xfId="199"/>
    <cellStyle name="Currency 59" xfId="202"/>
    <cellStyle name="Currency 6" xfId="39"/>
    <cellStyle name="Currency 60" xfId="205"/>
    <cellStyle name="Currency 61" xfId="208"/>
    <cellStyle name="Currency 62" xfId="211"/>
    <cellStyle name="Currency 63" xfId="214"/>
    <cellStyle name="Currency 64" xfId="217"/>
    <cellStyle name="Currency 65" xfId="220"/>
    <cellStyle name="Currency 66" xfId="223"/>
    <cellStyle name="Currency 67" xfId="226"/>
    <cellStyle name="Currency 68" xfId="229"/>
    <cellStyle name="Currency 69" xfId="232"/>
    <cellStyle name="Currency 7" xfId="42"/>
    <cellStyle name="Currency 70" xfId="235"/>
    <cellStyle name="Currency 71" xfId="238"/>
    <cellStyle name="Currency 72" xfId="241"/>
    <cellStyle name="Currency 73" xfId="244"/>
    <cellStyle name="Currency 74" xfId="247"/>
    <cellStyle name="Currency 75" xfId="250"/>
    <cellStyle name="Currency 76" xfId="253"/>
    <cellStyle name="Currency 77" xfId="256"/>
    <cellStyle name="Currency 78" xfId="259"/>
    <cellStyle name="Currency 79" xfId="262"/>
    <cellStyle name="Currency 8" xfId="45"/>
    <cellStyle name="Currency 80" xfId="265"/>
    <cellStyle name="Currency 81" xfId="268"/>
    <cellStyle name="Currency 82" xfId="271"/>
    <cellStyle name="Currency 83" xfId="274"/>
    <cellStyle name="Currency 84" xfId="277"/>
    <cellStyle name="Currency 85" xfId="280"/>
    <cellStyle name="Currency 86" xfId="283"/>
    <cellStyle name="Currency 87" xfId="285"/>
    <cellStyle name="Currency 88" xfId="289"/>
    <cellStyle name="Currency 89" xfId="292"/>
    <cellStyle name="Currency 9" xfId="48"/>
    <cellStyle name="Currency 90" xfId="295"/>
    <cellStyle name="Currency 91" xfId="298"/>
    <cellStyle name="Currency 92" xfId="301"/>
    <cellStyle name="Currency 93" xfId="304"/>
    <cellStyle name="Currency 94" xfId="307"/>
    <cellStyle name="Currency 95" xfId="310"/>
    <cellStyle name="Currency 96" xfId="313"/>
    <cellStyle name="Currency 97" xfId="316"/>
    <cellStyle name="Currency 98" xfId="319"/>
    <cellStyle name="Currency 99" xfId="322"/>
    <cellStyle name="Normal" xfId="0" builtinId="0"/>
    <cellStyle name="Normal - Style1" xfId="13"/>
    <cellStyle name="Normal 10" xfId="40"/>
    <cellStyle name="Normal 100" xfId="302"/>
    <cellStyle name="Normal 101" xfId="305"/>
    <cellStyle name="Normal 102" xfId="308"/>
    <cellStyle name="Normal 103" xfId="311"/>
    <cellStyle name="Normal 104" xfId="314"/>
    <cellStyle name="Normal 105" xfId="317"/>
    <cellStyle name="Normal 106" xfId="320"/>
    <cellStyle name="Normal 107" xfId="323"/>
    <cellStyle name="Normal 108" xfId="326"/>
    <cellStyle name="Normal 109" xfId="329"/>
    <cellStyle name="Normal 11" xfId="43"/>
    <cellStyle name="Normal 110" xfId="332"/>
    <cellStyle name="Normal 111" xfId="335"/>
    <cellStyle name="Normal 112" xfId="338"/>
    <cellStyle name="Normal 113" xfId="341"/>
    <cellStyle name="Normal 114" xfId="346"/>
    <cellStyle name="Normal 115" xfId="348"/>
    <cellStyle name="Normal 116" xfId="350"/>
    <cellStyle name="Normal 117" xfId="353"/>
    <cellStyle name="Normal 118" xfId="356"/>
    <cellStyle name="Normal 119" xfId="359"/>
    <cellStyle name="Normal 12" xfId="46"/>
    <cellStyle name="Normal 120" xfId="362"/>
    <cellStyle name="Normal 121" xfId="365"/>
    <cellStyle name="Normal 122" xfId="368"/>
    <cellStyle name="Normal 123" xfId="371"/>
    <cellStyle name="Normal 124" xfId="374"/>
    <cellStyle name="Normal 125" xfId="377"/>
    <cellStyle name="Normal 126" xfId="380"/>
    <cellStyle name="Normal 127" xfId="383"/>
    <cellStyle name="Normal 128" xfId="386"/>
    <cellStyle name="Normal 129" xfId="389"/>
    <cellStyle name="Normal 13" xfId="49"/>
    <cellStyle name="Normal 130" xfId="392"/>
    <cellStyle name="Normal 131" xfId="395"/>
    <cellStyle name="Normal 14" xfId="52"/>
    <cellStyle name="Normal 15" xfId="55"/>
    <cellStyle name="Normal 16" xfId="58"/>
    <cellStyle name="Normal 17" xfId="61"/>
    <cellStyle name="Normal 18" xfId="64"/>
    <cellStyle name="Normal 19" xfId="67"/>
    <cellStyle name="Normal 2" xfId="14"/>
    <cellStyle name="Normal 2 2" xfId="15"/>
    <cellStyle name="Normal 20" xfId="70"/>
    <cellStyle name="Normal 21" xfId="73"/>
    <cellStyle name="Normal 22" xfId="76"/>
    <cellStyle name="Normal 23" xfId="79"/>
    <cellStyle name="Normal 24" xfId="82"/>
    <cellStyle name="Normal 25" xfId="85"/>
    <cellStyle name="Normal 26" xfId="88"/>
    <cellStyle name="Normal 27" xfId="91"/>
    <cellStyle name="Normal 28" xfId="94"/>
    <cellStyle name="Normal 29" xfId="97"/>
    <cellStyle name="Normal 3" xfId="16"/>
    <cellStyle name="Normal 3 2" xfId="17"/>
    <cellStyle name="Normal 30" xfId="100"/>
    <cellStyle name="Normal 31" xfId="103"/>
    <cellStyle name="Normal 32" xfId="106"/>
    <cellStyle name="Normal 33" xfId="109"/>
    <cellStyle name="Normal 34" xfId="112"/>
    <cellStyle name="Normal 35" xfId="115"/>
    <cellStyle name="Normal 36" xfId="118"/>
    <cellStyle name="Normal 37" xfId="121"/>
    <cellStyle name="Normal 38" xfId="124"/>
    <cellStyle name="Normal 39" xfId="127"/>
    <cellStyle name="Normal 4" xfId="18"/>
    <cellStyle name="Normal 40" xfId="130"/>
    <cellStyle name="Normal 41" xfId="133"/>
    <cellStyle name="Normal 42" xfId="136"/>
    <cellStyle name="Normal 43" xfId="141"/>
    <cellStyle name="Normal 44" xfId="143"/>
    <cellStyle name="Normal 45" xfId="145"/>
    <cellStyle name="Normal 46" xfId="148"/>
    <cellStyle name="Normal 47" xfId="151"/>
    <cellStyle name="Normal 48" xfId="154"/>
    <cellStyle name="Normal 49" xfId="157"/>
    <cellStyle name="Normal 5" xfId="19"/>
    <cellStyle name="Normal 5 2" xfId="20"/>
    <cellStyle name="Normal 50" xfId="160"/>
    <cellStyle name="Normal 51" xfId="166"/>
    <cellStyle name="Normal 52" xfId="167"/>
    <cellStyle name="Normal 53" xfId="168"/>
    <cellStyle name="Normal 54" xfId="169"/>
    <cellStyle name="Normal 55" xfId="170"/>
    <cellStyle name="Normal 56" xfId="171"/>
    <cellStyle name="Normal 57" xfId="173"/>
    <cellStyle name="Normal 58" xfId="176"/>
    <cellStyle name="Normal 59" xfId="179"/>
    <cellStyle name="Normal 6" xfId="21"/>
    <cellStyle name="Normal 6 2" xfId="22"/>
    <cellStyle name="Normal 60" xfId="182"/>
    <cellStyle name="Normal 61" xfId="185"/>
    <cellStyle name="Normal 62" xfId="188"/>
    <cellStyle name="Normal 63" xfId="191"/>
    <cellStyle name="Normal 64" xfId="194"/>
    <cellStyle name="Normal 65" xfId="197"/>
    <cellStyle name="Normal 66" xfId="200"/>
    <cellStyle name="Normal 67" xfId="203"/>
    <cellStyle name="Normal 68" xfId="206"/>
    <cellStyle name="Normal 69" xfId="209"/>
    <cellStyle name="Normal 7" xfId="31"/>
    <cellStyle name="Normal 70" xfId="212"/>
    <cellStyle name="Normal 71" xfId="215"/>
    <cellStyle name="Normal 72" xfId="218"/>
    <cellStyle name="Normal 73" xfId="221"/>
    <cellStyle name="Normal 74" xfId="224"/>
    <cellStyle name="Normal 75" xfId="227"/>
    <cellStyle name="Normal 76" xfId="230"/>
    <cellStyle name="Normal 77" xfId="233"/>
    <cellStyle name="Normal 78" xfId="236"/>
    <cellStyle name="Normal 79" xfId="239"/>
    <cellStyle name="Normal 8" xfId="37"/>
    <cellStyle name="Normal 80" xfId="242"/>
    <cellStyle name="Normal 81" xfId="245"/>
    <cellStyle name="Normal 82" xfId="248"/>
    <cellStyle name="Normal 83" xfId="251"/>
    <cellStyle name="Normal 84" xfId="254"/>
    <cellStyle name="Normal 85" xfId="257"/>
    <cellStyle name="Normal 86" xfId="260"/>
    <cellStyle name="Normal 87" xfId="263"/>
    <cellStyle name="Normal 88" xfId="266"/>
    <cellStyle name="Normal 89" xfId="269"/>
    <cellStyle name="Normal 9" xfId="38"/>
    <cellStyle name="Normal 90" xfId="272"/>
    <cellStyle name="Normal 91" xfId="275"/>
    <cellStyle name="Normal 92" xfId="278"/>
    <cellStyle name="Normal 93" xfId="281"/>
    <cellStyle name="Normal 94" xfId="287"/>
    <cellStyle name="Normal 95" xfId="288"/>
    <cellStyle name="Normal 96" xfId="290"/>
    <cellStyle name="Normal 97" xfId="293"/>
    <cellStyle name="Normal 98" xfId="296"/>
    <cellStyle name="Normal 99" xfId="299"/>
    <cellStyle name="Normal_C.2.2 B" xfId="4"/>
    <cellStyle name="Output Amounts" xfId="23"/>
    <cellStyle name="Output Column Headings" xfId="24"/>
    <cellStyle name="Output Line Items" xfId="25"/>
    <cellStyle name="Output Report Heading" xfId="26"/>
    <cellStyle name="Output Report Title" xfId="27"/>
    <cellStyle name="Percent" xfId="3" builtinId="5"/>
    <cellStyle name="Percent 2" xfId="28"/>
    <cellStyle name="Percent 3" xfId="29"/>
    <cellStyle name="Percent 4" xfId="32"/>
    <cellStyle name="Percent 7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5"/>
  <sheetViews>
    <sheetView tabSelected="1" view="pageBreakPreview" zoomScale="70" zoomScaleNormal="90" zoomScaleSheetLayoutView="70" workbookViewId="0">
      <selection sqref="A1:J1"/>
    </sheetView>
  </sheetViews>
  <sheetFormatPr defaultColWidth="10.109375" defaultRowHeight="15"/>
  <cols>
    <col min="1" max="1" width="5.21875" style="1" customWidth="1"/>
    <col min="2" max="2" width="2.21875" style="1" customWidth="1"/>
    <col min="3" max="3" width="26.109375" style="1" customWidth="1"/>
    <col min="4" max="4" width="14.109375" style="1" customWidth="1"/>
    <col min="5" max="5" width="2.33203125" style="1" customWidth="1"/>
    <col min="6" max="6" width="14" style="1" customWidth="1"/>
    <col min="7" max="7" width="2.109375" style="1" customWidth="1"/>
    <col min="8" max="8" width="12.88671875" style="1" customWidth="1"/>
    <col min="9" max="9" width="2.109375" style="1" customWidth="1"/>
    <col min="10" max="10" width="13.88671875" style="1" customWidth="1"/>
    <col min="11" max="11" width="4.88671875" style="1" customWidth="1"/>
    <col min="12" max="12" width="6.5546875" style="1" bestFit="1" customWidth="1"/>
    <col min="13" max="13" width="11.109375" style="1" customWidth="1"/>
    <col min="14" max="14" width="8" style="1" bestFit="1" customWidth="1"/>
    <col min="15" max="15" width="12" style="1" customWidth="1"/>
    <col min="16" max="16" width="10.109375" style="1" customWidth="1"/>
    <col min="17" max="17" width="3.21875" style="1" customWidth="1"/>
    <col min="18" max="18" width="11.88671875" style="1" customWidth="1"/>
    <col min="19" max="19" width="1.33203125" style="1" customWidth="1"/>
    <col min="20" max="20" width="12.33203125" style="1" customWidth="1"/>
    <col min="21" max="21" width="1.6640625" style="1" customWidth="1"/>
    <col min="22" max="22" width="10.5546875" style="1" bestFit="1" customWidth="1"/>
    <col min="23" max="23" width="0.88671875" style="1" customWidth="1"/>
    <col min="24" max="24" width="10.44140625" style="1" bestFit="1" customWidth="1"/>
    <col min="25" max="16384" width="10.109375" style="1"/>
  </cols>
  <sheetData>
    <row r="1" spans="1:24">
      <c r="A1" s="257" t="s">
        <v>0</v>
      </c>
      <c r="B1" s="257"/>
      <c r="C1" s="257"/>
      <c r="D1" s="257"/>
      <c r="E1" s="257"/>
      <c r="F1" s="257"/>
      <c r="G1" s="257"/>
      <c r="H1" s="257"/>
      <c r="I1" s="257"/>
      <c r="J1" s="257"/>
    </row>
    <row r="2" spans="1:24">
      <c r="A2" s="257" t="s">
        <v>1</v>
      </c>
      <c r="B2" s="257"/>
      <c r="C2" s="257"/>
      <c r="D2" s="257"/>
      <c r="E2" s="257"/>
      <c r="F2" s="257"/>
      <c r="G2" s="257"/>
      <c r="H2" s="257"/>
      <c r="I2" s="257"/>
      <c r="J2" s="257"/>
    </row>
    <row r="3" spans="1:24">
      <c r="A3" s="257" t="s">
        <v>2</v>
      </c>
      <c r="B3" s="257"/>
      <c r="C3" s="257"/>
      <c r="D3" s="257"/>
      <c r="E3" s="257"/>
      <c r="F3" s="257"/>
      <c r="G3" s="257"/>
      <c r="H3" s="257"/>
      <c r="I3" s="257"/>
      <c r="J3" s="257"/>
    </row>
    <row r="4" spans="1:24">
      <c r="A4" s="257" t="s">
        <v>3</v>
      </c>
      <c r="B4" s="257"/>
      <c r="C4" s="257"/>
      <c r="D4" s="257"/>
      <c r="E4" s="257"/>
      <c r="F4" s="257"/>
      <c r="G4" s="257"/>
      <c r="H4" s="257"/>
      <c r="I4" s="257"/>
      <c r="J4" s="257"/>
    </row>
    <row r="5" spans="1:24">
      <c r="A5" s="2"/>
      <c r="B5" s="2"/>
      <c r="C5" s="2"/>
      <c r="D5" s="2"/>
      <c r="E5" s="2"/>
      <c r="F5" s="2"/>
      <c r="G5" s="2"/>
      <c r="H5" s="2"/>
      <c r="I5" s="2"/>
      <c r="J5" s="2"/>
    </row>
    <row r="7" spans="1:24">
      <c r="A7" s="3" t="s">
        <v>4</v>
      </c>
      <c r="I7" s="3"/>
      <c r="J7" s="4" t="s">
        <v>5</v>
      </c>
    </row>
    <row r="8" spans="1:24">
      <c r="A8" s="3" t="s">
        <v>6</v>
      </c>
      <c r="H8" s="3"/>
      <c r="I8" s="3"/>
      <c r="J8" s="5" t="s">
        <v>7</v>
      </c>
    </row>
    <row r="9" spans="1:24">
      <c r="A9" s="6" t="s">
        <v>8</v>
      </c>
      <c r="B9" s="7"/>
      <c r="C9" s="7"/>
      <c r="D9" s="7"/>
      <c r="E9" s="7"/>
      <c r="F9" s="7"/>
      <c r="G9" s="7"/>
      <c r="H9" s="6"/>
      <c r="I9" s="6"/>
      <c r="J9" s="8" t="s">
        <v>9</v>
      </c>
    </row>
    <row r="10" spans="1:24">
      <c r="D10" s="9" t="s">
        <v>10</v>
      </c>
      <c r="F10" s="10" t="s">
        <v>11</v>
      </c>
      <c r="J10" s="10" t="s">
        <v>11</v>
      </c>
      <c r="R10" s="11"/>
      <c r="S10" s="11"/>
      <c r="T10" s="11"/>
      <c r="U10" s="11"/>
      <c r="V10" s="11"/>
      <c r="W10" s="11"/>
      <c r="X10" s="11"/>
    </row>
    <row r="11" spans="1:24">
      <c r="A11" s="10" t="s">
        <v>12</v>
      </c>
      <c r="D11" s="10" t="s">
        <v>13</v>
      </c>
      <c r="F11" s="10" t="s">
        <v>13</v>
      </c>
      <c r="H11" s="10" t="s">
        <v>14</v>
      </c>
      <c r="J11" s="10" t="s">
        <v>13</v>
      </c>
      <c r="R11" s="11"/>
      <c r="S11" s="11"/>
      <c r="T11" s="11"/>
      <c r="U11" s="11"/>
      <c r="V11" s="11"/>
      <c r="W11" s="11"/>
      <c r="X11" s="11"/>
    </row>
    <row r="12" spans="1:24">
      <c r="A12" s="12" t="s">
        <v>15</v>
      </c>
      <c r="B12" s="7"/>
      <c r="C12" s="6" t="s">
        <v>16</v>
      </c>
      <c r="D12" s="12" t="s">
        <v>17</v>
      </c>
      <c r="E12" s="7"/>
      <c r="F12" s="12" t="s">
        <v>17</v>
      </c>
      <c r="G12" s="7"/>
      <c r="H12" s="12" t="s">
        <v>18</v>
      </c>
      <c r="I12" s="7"/>
      <c r="J12" s="12" t="s">
        <v>19</v>
      </c>
      <c r="L12" s="11"/>
      <c r="O12" s="13"/>
      <c r="P12" s="14"/>
      <c r="R12" s="11"/>
      <c r="S12" s="11"/>
      <c r="T12" s="11"/>
      <c r="U12" s="11"/>
      <c r="V12" s="15"/>
      <c r="W12" s="15"/>
      <c r="X12" s="11"/>
    </row>
    <row r="13" spans="1:24">
      <c r="D13" s="10"/>
      <c r="F13" s="10"/>
      <c r="H13" s="10"/>
      <c r="J13" s="10"/>
      <c r="L13" s="11"/>
      <c r="O13" s="14"/>
      <c r="P13" s="14"/>
      <c r="R13" s="16"/>
      <c r="S13" s="11"/>
      <c r="T13" s="11"/>
      <c r="U13" s="11"/>
      <c r="V13" s="16"/>
      <c r="W13" s="16"/>
      <c r="X13" s="11"/>
    </row>
    <row r="14" spans="1:24">
      <c r="F14" s="17"/>
      <c r="L14" s="11"/>
      <c r="O14" s="18"/>
      <c r="P14" s="18"/>
      <c r="R14" s="11"/>
      <c r="S14" s="11"/>
      <c r="T14" s="11"/>
      <c r="U14" s="11"/>
      <c r="V14" s="11"/>
      <c r="W14" s="11"/>
      <c r="X14" s="11"/>
    </row>
    <row r="15" spans="1:24">
      <c r="A15" s="10">
        <v>1</v>
      </c>
      <c r="C15" s="3" t="s">
        <v>20</v>
      </c>
      <c r="D15" s="19">
        <f>+C.2!D14</f>
        <v>157118117.7739681</v>
      </c>
      <c r="E15" s="17"/>
      <c r="F15" s="19">
        <f>C.2!O14</f>
        <v>166804655.47242033</v>
      </c>
      <c r="G15" s="20"/>
      <c r="H15" s="21">
        <v>3307688</v>
      </c>
      <c r="I15" s="20"/>
      <c r="J15" s="21">
        <f>+F15+H15</f>
        <v>170112343.47242033</v>
      </c>
      <c r="K15" s="20"/>
      <c r="L15" s="22"/>
      <c r="M15" s="21"/>
      <c r="N15" s="20"/>
      <c r="O15" s="23"/>
      <c r="P15" s="24"/>
      <c r="Q15" s="20"/>
      <c r="R15" s="25"/>
      <c r="S15" s="25"/>
      <c r="T15" s="25"/>
      <c r="U15" s="11"/>
      <c r="V15" s="11"/>
      <c r="W15" s="11"/>
      <c r="X15" s="11"/>
    </row>
    <row r="16" spans="1:24">
      <c r="D16" s="17"/>
      <c r="E16" s="17"/>
      <c r="F16" s="26"/>
      <c r="G16" s="20"/>
      <c r="H16" s="20"/>
      <c r="I16" s="20"/>
      <c r="J16" s="20"/>
      <c r="K16" s="20"/>
      <c r="L16" s="27"/>
      <c r="M16" s="20"/>
      <c r="N16" s="20"/>
      <c r="O16" s="28"/>
      <c r="P16" s="24"/>
      <c r="Q16" s="20"/>
      <c r="R16" s="29"/>
      <c r="S16" s="29"/>
      <c r="T16" s="30"/>
      <c r="U16" s="11"/>
      <c r="V16" s="11"/>
      <c r="W16" s="11"/>
      <c r="X16" s="11"/>
    </row>
    <row r="17" spans="1:24">
      <c r="A17" s="10">
        <v>2</v>
      </c>
      <c r="C17" s="3" t="s">
        <v>21</v>
      </c>
      <c r="D17" s="17"/>
      <c r="E17" s="17"/>
      <c r="F17" s="26"/>
      <c r="G17" s="20"/>
      <c r="H17" s="20"/>
      <c r="I17" s="20"/>
      <c r="J17" s="20"/>
      <c r="K17" s="20"/>
      <c r="L17" s="27"/>
      <c r="M17" s="20"/>
      <c r="N17" s="20"/>
      <c r="O17" s="28"/>
      <c r="P17" s="24"/>
      <c r="Q17" s="20"/>
      <c r="R17" s="29"/>
      <c r="S17" s="29"/>
      <c r="T17" s="30"/>
      <c r="U17" s="11"/>
      <c r="V17" s="11"/>
      <c r="W17" s="11"/>
      <c r="X17" s="11"/>
    </row>
    <row r="18" spans="1:24">
      <c r="A18" s="10">
        <v>3</v>
      </c>
      <c r="C18" s="31" t="s">
        <v>22</v>
      </c>
      <c r="D18" s="32">
        <f>+C.2!D17</f>
        <v>73614458.476385504</v>
      </c>
      <c r="E18" s="33"/>
      <c r="F18" s="32">
        <f>C.2!O17</f>
        <v>79378176.690454662</v>
      </c>
      <c r="G18" s="32"/>
      <c r="H18" s="32"/>
      <c r="I18" s="32"/>
      <c r="J18" s="32">
        <f>+F18+H18</f>
        <v>79378176.690454662</v>
      </c>
      <c r="K18" s="20"/>
      <c r="L18" s="22"/>
      <c r="M18" s="20"/>
      <c r="O18" s="23"/>
      <c r="P18" s="24"/>
      <c r="Q18" s="20"/>
      <c r="R18" s="25"/>
      <c r="S18" s="34"/>
      <c r="T18" s="25"/>
      <c r="U18" s="11"/>
      <c r="V18" s="11"/>
      <c r="W18" s="11"/>
      <c r="X18" s="11"/>
    </row>
    <row r="19" spans="1:24">
      <c r="A19" s="10">
        <v>4</v>
      </c>
      <c r="C19" s="31" t="s">
        <v>23</v>
      </c>
      <c r="D19" s="32">
        <f>SUM(C.2!D18:D25)</f>
        <v>27537892.56263857</v>
      </c>
      <c r="E19" s="33"/>
      <c r="F19" s="32">
        <f>SUM(C.2!O18:O25)</f>
        <v>25474588.783307165</v>
      </c>
      <c r="G19" s="32"/>
      <c r="H19" s="32">
        <v>16538.439999999999</v>
      </c>
      <c r="I19" s="32"/>
      <c r="J19" s="32">
        <f>+F19+H19</f>
        <v>25491127.223307166</v>
      </c>
      <c r="K19" s="20"/>
      <c r="L19" s="22"/>
      <c r="M19" s="24"/>
      <c r="N19" s="35"/>
      <c r="O19" s="23"/>
      <c r="P19" s="24"/>
      <c r="Q19" s="20"/>
      <c r="R19" s="25"/>
      <c r="S19" s="34"/>
      <c r="T19" s="25"/>
      <c r="U19" s="11"/>
      <c r="V19" s="11"/>
      <c r="W19" s="11"/>
      <c r="X19" s="11"/>
    </row>
    <row r="20" spans="1:24">
      <c r="A20" s="10">
        <v>5</v>
      </c>
      <c r="C20" s="3" t="s">
        <v>24</v>
      </c>
      <c r="D20" s="32">
        <f>+C.2!D26</f>
        <v>18751056.283948101</v>
      </c>
      <c r="E20" s="33"/>
      <c r="F20" s="32">
        <f>+C.2!O26</f>
        <v>19444465.926407062</v>
      </c>
      <c r="G20" s="36"/>
      <c r="H20" s="32"/>
      <c r="I20" s="36"/>
      <c r="J20" s="36">
        <f>+F20+H20</f>
        <v>19444465.926407062</v>
      </c>
      <c r="K20" s="20"/>
      <c r="L20" s="22"/>
      <c r="M20" s="20"/>
      <c r="N20" s="37"/>
      <c r="O20" s="23"/>
      <c r="P20" s="24"/>
      <c r="Q20" s="20"/>
      <c r="R20" s="25"/>
      <c r="S20" s="34"/>
      <c r="T20" s="25"/>
      <c r="U20" s="11"/>
      <c r="V20" s="11"/>
      <c r="W20" s="11"/>
      <c r="X20" s="11"/>
    </row>
    <row r="21" spans="1:24">
      <c r="A21" s="10">
        <v>6</v>
      </c>
      <c r="C21" s="3" t="s">
        <v>25</v>
      </c>
      <c r="D21" s="32">
        <f>+C.2!D27</f>
        <v>7424977.870862633</v>
      </c>
      <c r="E21" s="33"/>
      <c r="F21" s="32">
        <f>+C.2!O27</f>
        <v>6100220.1526932763</v>
      </c>
      <c r="G21" s="36"/>
      <c r="H21" s="32">
        <v>6287.9148879999993</v>
      </c>
      <c r="I21" s="36"/>
      <c r="J21" s="36">
        <f>+F21+H21</f>
        <v>6106508.0675812764</v>
      </c>
      <c r="K21" s="20"/>
      <c r="L21" s="22"/>
      <c r="M21" s="24"/>
      <c r="N21" s="35"/>
      <c r="O21" s="23"/>
      <c r="P21" s="24"/>
      <c r="Q21" s="20"/>
      <c r="R21" s="25"/>
      <c r="S21" s="34"/>
      <c r="T21" s="25"/>
      <c r="U21" s="11"/>
      <c r="V21" s="11"/>
      <c r="W21" s="11"/>
      <c r="X21" s="11"/>
    </row>
    <row r="22" spans="1:24">
      <c r="A22" s="10">
        <v>7</v>
      </c>
      <c r="C22" s="3"/>
      <c r="D22" s="38"/>
      <c r="E22" s="38"/>
      <c r="F22" s="36"/>
      <c r="G22" s="36"/>
      <c r="H22" s="32"/>
      <c r="I22" s="36"/>
      <c r="J22" s="36"/>
      <c r="K22" s="20"/>
      <c r="L22" s="27"/>
      <c r="M22" s="20"/>
      <c r="O22" s="23"/>
      <c r="P22" s="24"/>
      <c r="Q22" s="20"/>
      <c r="R22" s="39"/>
      <c r="S22" s="39"/>
      <c r="T22" s="40"/>
      <c r="U22" s="11"/>
      <c r="V22" s="11"/>
      <c r="W22" s="11"/>
      <c r="X22" s="11"/>
    </row>
    <row r="23" spans="1:24">
      <c r="A23" s="10">
        <v>8</v>
      </c>
      <c r="C23" s="3" t="s">
        <v>26</v>
      </c>
      <c r="D23" s="41">
        <f>+E!E23</f>
        <v>8775825.4101572093</v>
      </c>
      <c r="E23" s="38"/>
      <c r="F23" s="41">
        <f>E!G23</f>
        <v>11144643.809522655</v>
      </c>
      <c r="G23" s="36"/>
      <c r="H23" s="41">
        <v>1277811.1799485679</v>
      </c>
      <c r="I23" s="36"/>
      <c r="J23" s="42">
        <f>+F23+H23</f>
        <v>12422454.989471223</v>
      </c>
      <c r="K23" s="20"/>
      <c r="L23" s="22"/>
      <c r="M23" s="20"/>
      <c r="N23" s="20"/>
      <c r="O23" s="23"/>
      <c r="P23" s="24"/>
      <c r="Q23" s="20"/>
      <c r="R23" s="25"/>
      <c r="S23" s="34"/>
      <c r="T23" s="25"/>
      <c r="U23" s="11"/>
      <c r="V23" s="11"/>
      <c r="W23" s="11"/>
      <c r="X23" s="11"/>
    </row>
    <row r="24" spans="1:24">
      <c r="A24" s="10">
        <v>9</v>
      </c>
      <c r="C24" s="3" t="s">
        <v>27</v>
      </c>
      <c r="D24" s="21">
        <f>SUM(D18:D23)</f>
        <v>136104210.60399202</v>
      </c>
      <c r="F24" s="19">
        <f>SUM(F18:F23)</f>
        <v>141542095.36238483</v>
      </c>
      <c r="G24" s="20"/>
      <c r="H24" s="21">
        <f>SUM(H18:H23)</f>
        <v>1300637.5348365679</v>
      </c>
      <c r="I24" s="20"/>
      <c r="J24" s="21">
        <f>SUM(J18:J23)</f>
        <v>142842732.89722139</v>
      </c>
      <c r="K24" s="20"/>
      <c r="L24" s="22"/>
      <c r="M24" s="20"/>
      <c r="N24" s="20"/>
      <c r="O24" s="23"/>
      <c r="P24" s="24"/>
      <c r="Q24" s="20"/>
      <c r="R24" s="25"/>
      <c r="S24" s="34"/>
      <c r="T24" s="25"/>
      <c r="U24" s="11"/>
      <c r="V24" s="11"/>
      <c r="W24" s="11"/>
      <c r="X24" s="11"/>
    </row>
    <row r="25" spans="1:24">
      <c r="D25" s="20"/>
      <c r="F25" s="26"/>
      <c r="G25" s="20"/>
      <c r="H25" s="20"/>
      <c r="I25" s="20"/>
      <c r="J25" s="20"/>
      <c r="K25" s="20"/>
      <c r="L25" s="27"/>
      <c r="M25" s="20"/>
      <c r="N25" s="20"/>
      <c r="O25" s="28"/>
      <c r="P25" s="24"/>
      <c r="Q25" s="20"/>
      <c r="R25" s="25"/>
      <c r="S25" s="34"/>
      <c r="T25" s="25"/>
      <c r="U25" s="11"/>
      <c r="V25" s="11"/>
      <c r="W25" s="11"/>
      <c r="X25" s="11"/>
    </row>
    <row r="26" spans="1:24" ht="15.75" thickBot="1">
      <c r="A26" s="10">
        <v>10</v>
      </c>
      <c r="C26" s="3" t="s">
        <v>28</v>
      </c>
      <c r="D26" s="43">
        <f>D15-D24</f>
        <v>21013907.169976085</v>
      </c>
      <c r="F26" s="44">
        <f>F15-F24</f>
        <v>25262560.110035509</v>
      </c>
      <c r="G26" s="20"/>
      <c r="H26" s="44">
        <f>H15-H24</f>
        <v>2007050.4651634321</v>
      </c>
      <c r="I26" s="20"/>
      <c r="J26" s="43">
        <f>J15-J24</f>
        <v>27269610.575198948</v>
      </c>
      <c r="K26" s="20"/>
      <c r="L26" s="22"/>
      <c r="M26" s="20"/>
      <c r="N26" s="20"/>
      <c r="O26" s="23"/>
      <c r="P26" s="24"/>
      <c r="Q26" s="20"/>
      <c r="R26" s="25"/>
      <c r="S26" s="34"/>
      <c r="T26" s="25"/>
      <c r="U26" s="11"/>
      <c r="V26" s="11"/>
      <c r="W26" s="11"/>
      <c r="X26" s="11"/>
    </row>
    <row r="27" spans="1:24" ht="15.75" thickTop="1">
      <c r="F27" s="26"/>
      <c r="G27" s="20"/>
      <c r="H27" s="20"/>
      <c r="I27" s="20"/>
      <c r="J27" s="20"/>
      <c r="K27" s="20"/>
      <c r="L27" s="27"/>
      <c r="M27" s="20"/>
      <c r="N27" s="20"/>
      <c r="O27" s="20"/>
      <c r="P27" s="20"/>
      <c r="Q27" s="20"/>
      <c r="R27" s="11"/>
      <c r="S27" s="39"/>
      <c r="T27" s="30"/>
      <c r="U27" s="11"/>
      <c r="V27" s="11"/>
      <c r="W27" s="11"/>
      <c r="X27" s="11"/>
    </row>
    <row r="28" spans="1:24">
      <c r="A28" s="10">
        <v>11</v>
      </c>
      <c r="C28" s="3" t="s">
        <v>29</v>
      </c>
      <c r="D28" s="32">
        <v>296786302.03144002</v>
      </c>
      <c r="E28" s="38"/>
      <c r="F28" s="32">
        <v>335832639.48914093</v>
      </c>
      <c r="G28" s="36"/>
      <c r="H28" s="36"/>
      <c r="I28" s="36"/>
      <c r="J28" s="36">
        <v>335832639.48914093</v>
      </c>
      <c r="K28" s="20"/>
      <c r="L28" s="27"/>
      <c r="M28" s="20"/>
      <c r="N28" s="20"/>
      <c r="O28" s="20"/>
      <c r="P28" s="20"/>
      <c r="Q28" s="20"/>
      <c r="R28" s="25"/>
      <c r="S28" s="39"/>
      <c r="T28" s="25"/>
      <c r="U28" s="11"/>
      <c r="V28" s="11"/>
      <c r="W28" s="11"/>
      <c r="X28" s="11"/>
    </row>
    <row r="29" spans="1:24"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11"/>
      <c r="S29" s="11"/>
      <c r="T29" s="27"/>
      <c r="U29" s="11"/>
      <c r="V29" s="11"/>
      <c r="W29" s="11"/>
      <c r="X29" s="11"/>
    </row>
    <row r="30" spans="1:24">
      <c r="A30" s="10">
        <v>12</v>
      </c>
      <c r="C30" s="3" t="s">
        <v>30</v>
      </c>
      <c r="D30" s="45">
        <f>(D26/D28)</f>
        <v>7.0804841821001496E-2</v>
      </c>
      <c r="F30" s="45">
        <f>(F26/F28)</f>
        <v>7.5223659464619633E-2</v>
      </c>
      <c r="H30" s="46"/>
      <c r="J30" s="45">
        <f>(J26/J28)</f>
        <v>8.1200000740489983E-2</v>
      </c>
      <c r="K30" s="20"/>
      <c r="L30" s="20"/>
      <c r="M30" s="20"/>
      <c r="R30" s="47"/>
      <c r="S30" s="11"/>
      <c r="T30" s="47"/>
      <c r="U30" s="11"/>
      <c r="V30" s="47"/>
      <c r="W30" s="47"/>
      <c r="X30" s="47"/>
    </row>
    <row r="31" spans="1:24">
      <c r="F31" s="20"/>
      <c r="H31" s="46"/>
      <c r="J31" s="20"/>
      <c r="K31" s="20"/>
      <c r="L31" s="20"/>
      <c r="M31" s="20"/>
      <c r="R31" s="11"/>
      <c r="S31" s="11"/>
      <c r="T31" s="11"/>
      <c r="U31" s="11"/>
      <c r="V31" s="11"/>
      <c r="W31" s="11"/>
      <c r="X31" s="11"/>
    </row>
    <row r="32" spans="1:24">
      <c r="F32" s="20"/>
      <c r="H32" s="20"/>
      <c r="J32" s="20"/>
      <c r="K32" s="20"/>
      <c r="L32" s="20"/>
      <c r="M32" s="20"/>
      <c r="R32" s="11"/>
      <c r="S32" s="11"/>
      <c r="T32" s="11"/>
      <c r="U32" s="11"/>
      <c r="V32" s="11"/>
      <c r="W32" s="11"/>
      <c r="X32" s="11"/>
    </row>
    <row r="33" spans="3:24">
      <c r="C33" s="48"/>
      <c r="D33" s="49"/>
      <c r="E33" s="49"/>
      <c r="F33" s="49"/>
      <c r="G33" s="49"/>
      <c r="H33" s="49"/>
      <c r="I33" s="49"/>
      <c r="J33" s="49"/>
      <c r="K33" s="20"/>
      <c r="L33" s="20"/>
      <c r="M33" s="20"/>
      <c r="R33" s="11"/>
      <c r="S33" s="11"/>
      <c r="T33" s="11"/>
      <c r="U33" s="11"/>
      <c r="V33" s="11"/>
      <c r="W33" s="11"/>
      <c r="X33" s="11"/>
    </row>
    <row r="34" spans="3:24">
      <c r="F34" s="20"/>
      <c r="K34" s="20"/>
      <c r="L34" s="20"/>
      <c r="M34" s="20"/>
    </row>
    <row r="35" spans="3:24">
      <c r="F35" s="20"/>
      <c r="K35" s="20"/>
      <c r="L35" s="20"/>
      <c r="M35" s="20"/>
    </row>
  </sheetData>
  <mergeCells count="4">
    <mergeCell ref="A1:J1"/>
    <mergeCell ref="A2:J2"/>
    <mergeCell ref="A3:J3"/>
    <mergeCell ref="A4:J4"/>
  </mergeCells>
  <printOptions horizontalCentered="1"/>
  <pageMargins left="0.75" right="0.69" top="0.8" bottom="0.5" header="0.25" footer="0.5"/>
  <pageSetup orientation="landscape" verticalDpi="300" r:id="rId1"/>
  <headerFooter alignWithMargins="0">
    <oddHeader>&amp;R&amp;9CASE NO. 2015-00343
ATTACHMENT 1
TO STAFF DR NO. 1-45
(SUPPLEMENT 02-18-16)</oddHeader>
    <oddFooter>&amp;RSchedule &amp;A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5"/>
  <sheetViews>
    <sheetView view="pageBreakPreview" zoomScale="80" zoomScaleNormal="90" zoomScaleSheetLayoutView="80" workbookViewId="0">
      <selection sqref="A1:O1"/>
    </sheetView>
  </sheetViews>
  <sheetFormatPr defaultColWidth="7.109375" defaultRowHeight="15"/>
  <cols>
    <col min="1" max="1" width="3.5546875" style="1" customWidth="1"/>
    <col min="2" max="2" width="2.21875" style="1" customWidth="1"/>
    <col min="3" max="3" width="27.5546875" style="1" customWidth="1"/>
    <col min="4" max="4" width="14.21875" style="1" customWidth="1"/>
    <col min="5" max="5" width="1.33203125" style="1" customWidth="1"/>
    <col min="6" max="6" width="12.6640625" style="1" customWidth="1"/>
    <col min="7" max="7" width="6.21875" style="1" bestFit="1" customWidth="1"/>
    <col min="8" max="8" width="7.33203125" style="1" customWidth="1"/>
    <col min="9" max="9" width="6" style="1" customWidth="1"/>
    <col min="10" max="10" width="1.44140625" style="1" customWidth="1"/>
    <col min="11" max="11" width="14.21875" style="1" customWidth="1"/>
    <col min="12" max="12" width="1.44140625" style="1" customWidth="1"/>
    <col min="13" max="13" width="12.33203125" style="1" customWidth="1"/>
    <col min="14" max="14" width="14.5546875" style="1" customWidth="1"/>
    <col min="15" max="15" width="14.77734375" style="1" customWidth="1"/>
    <col min="16" max="16" width="11.77734375" style="1" bestFit="1" customWidth="1"/>
    <col min="17" max="17" width="2.109375" style="1" customWidth="1"/>
    <col min="18" max="18" width="8.5546875" style="1" customWidth="1"/>
    <col min="19" max="21" width="7.109375" style="1"/>
    <col min="22" max="22" width="8" style="1" bestFit="1" customWidth="1"/>
    <col min="23" max="23" width="9.21875" style="1" customWidth="1"/>
    <col min="24" max="16384" width="7.109375" style="1"/>
  </cols>
  <sheetData>
    <row r="1" spans="1:20">
      <c r="A1" s="258" t="s">
        <v>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</row>
    <row r="2" spans="1:20">
      <c r="A2" s="258" t="s">
        <v>1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</row>
    <row r="3" spans="1:20">
      <c r="A3" s="258" t="s">
        <v>31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</row>
    <row r="4" spans="1:20">
      <c r="A4" s="258" t="s">
        <v>32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</row>
    <row r="5" spans="1:20">
      <c r="A5" s="258" t="s">
        <v>3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</row>
    <row r="6" spans="1:20">
      <c r="C6" s="50"/>
    </row>
    <row r="7" spans="1:20">
      <c r="A7" s="3" t="str">
        <f>C.1!A7</f>
        <v>Data:__X____Base Period___X___Forecasted Period</v>
      </c>
      <c r="K7" s="51"/>
      <c r="O7" s="4" t="s">
        <v>33</v>
      </c>
    </row>
    <row r="8" spans="1:20">
      <c r="A8" s="3" t="str">
        <f>C.1!A8</f>
        <v>Type of Filing:___X____Original________Updated ________Revised</v>
      </c>
      <c r="K8" s="51"/>
      <c r="O8" s="52" t="s">
        <v>34</v>
      </c>
    </row>
    <row r="9" spans="1:20">
      <c r="A9" s="53" t="str">
        <f>C.1!A9</f>
        <v>Workpaper Reference No(s).____________________</v>
      </c>
      <c r="B9" s="7"/>
      <c r="C9" s="7"/>
      <c r="D9" s="7"/>
      <c r="E9" s="7"/>
      <c r="F9" s="7"/>
      <c r="G9" s="7"/>
      <c r="H9" s="7"/>
      <c r="I9" s="7"/>
      <c r="J9" s="7"/>
      <c r="K9" s="54"/>
      <c r="L9" s="7"/>
      <c r="M9" s="55"/>
      <c r="N9" s="55"/>
      <c r="O9" s="56" t="str">
        <f>C.1!J9</f>
        <v>Witness: Waller, Smith</v>
      </c>
    </row>
    <row r="10" spans="1:20">
      <c r="D10" s="10" t="s">
        <v>35</v>
      </c>
      <c r="G10" s="57"/>
      <c r="H10" s="9" t="s">
        <v>36</v>
      </c>
      <c r="K10" s="10" t="s">
        <v>11</v>
      </c>
      <c r="O10" s="9" t="s">
        <v>37</v>
      </c>
    </row>
    <row r="11" spans="1:20">
      <c r="A11" s="58" t="s">
        <v>12</v>
      </c>
      <c r="C11" s="10" t="s">
        <v>38</v>
      </c>
      <c r="D11" s="58" t="s">
        <v>39</v>
      </c>
      <c r="F11" s="9" t="s">
        <v>40</v>
      </c>
      <c r="G11" s="9" t="s">
        <v>41</v>
      </c>
      <c r="H11" s="10" t="s">
        <v>42</v>
      </c>
      <c r="I11" s="9" t="s">
        <v>41</v>
      </c>
      <c r="K11" s="58" t="s">
        <v>39</v>
      </c>
      <c r="M11" s="9" t="s">
        <v>43</v>
      </c>
      <c r="N11" s="9" t="s">
        <v>41</v>
      </c>
      <c r="O11" s="9" t="s">
        <v>44</v>
      </c>
    </row>
    <row r="12" spans="1:20">
      <c r="A12" s="59" t="s">
        <v>15</v>
      </c>
      <c r="B12" s="7"/>
      <c r="C12" s="59" t="s">
        <v>45</v>
      </c>
      <c r="D12" s="12" t="s">
        <v>46</v>
      </c>
      <c r="E12" s="7"/>
      <c r="F12" s="12" t="s">
        <v>47</v>
      </c>
      <c r="G12" s="60" t="s">
        <v>48</v>
      </c>
      <c r="H12" s="12" t="s">
        <v>49</v>
      </c>
      <c r="I12" s="60" t="s">
        <v>48</v>
      </c>
      <c r="J12" s="7"/>
      <c r="K12" s="12" t="s">
        <v>46</v>
      </c>
      <c r="L12" s="7"/>
      <c r="M12" s="61" t="s">
        <v>47</v>
      </c>
      <c r="N12" s="60" t="s">
        <v>48</v>
      </c>
      <c r="O12" s="62" t="s">
        <v>50</v>
      </c>
    </row>
    <row r="13" spans="1:20">
      <c r="C13" s="63"/>
      <c r="D13" s="10"/>
      <c r="F13" s="10"/>
      <c r="H13" s="10"/>
      <c r="K13" s="64"/>
      <c r="M13" s="65"/>
      <c r="O13" s="10"/>
    </row>
    <row r="14" spans="1:20">
      <c r="A14" s="66">
        <v>1</v>
      </c>
      <c r="C14" s="3" t="s">
        <v>20</v>
      </c>
      <c r="D14" s="67">
        <f>+'C.2.1 B'!D32</f>
        <v>157118117.7739681</v>
      </c>
      <c r="E14" s="17"/>
      <c r="F14" s="19">
        <f>+K14-D14</f>
        <v>9686537.6984522343</v>
      </c>
      <c r="G14" s="68" t="s">
        <v>51</v>
      </c>
      <c r="H14" s="26"/>
      <c r="I14" s="17"/>
      <c r="J14" s="17"/>
      <c r="K14" s="67">
        <v>166804655.47242033</v>
      </c>
      <c r="L14" s="69"/>
      <c r="M14" s="19">
        <v>0</v>
      </c>
      <c r="N14" s="69"/>
      <c r="O14" s="19">
        <f>+K14+M14</f>
        <v>166804655.47242033</v>
      </c>
      <c r="P14" s="70"/>
    </row>
    <row r="15" spans="1:20">
      <c r="A15" s="71">
        <v>2</v>
      </c>
      <c r="C15" s="57"/>
      <c r="D15" s="69"/>
      <c r="E15" s="17"/>
      <c r="F15" s="69"/>
      <c r="G15" s="69"/>
      <c r="H15" s="69"/>
      <c r="I15" s="17"/>
      <c r="J15" s="17"/>
      <c r="K15" s="69"/>
      <c r="L15" s="69"/>
      <c r="M15" s="72"/>
      <c r="N15" s="69"/>
      <c r="O15" s="72"/>
      <c r="P15" s="70"/>
    </row>
    <row r="16" spans="1:20">
      <c r="A16" s="66">
        <v>3</v>
      </c>
      <c r="C16" s="3" t="s">
        <v>21</v>
      </c>
      <c r="D16" s="17"/>
      <c r="E16" s="17"/>
      <c r="F16" s="17"/>
      <c r="G16" s="17"/>
      <c r="H16" s="17"/>
      <c r="I16" s="17"/>
      <c r="J16" s="17"/>
      <c r="K16" s="17"/>
      <c r="L16" s="17"/>
      <c r="M16" s="72"/>
      <c r="N16" s="17"/>
      <c r="O16" s="72"/>
      <c r="P16" s="70"/>
      <c r="Q16" s="46"/>
      <c r="S16" s="46"/>
      <c r="T16" s="70"/>
    </row>
    <row r="17" spans="1:23">
      <c r="A17" s="71">
        <v>4</v>
      </c>
      <c r="C17" s="31" t="s">
        <v>22</v>
      </c>
      <c r="D17" s="73">
        <f>+'C.2.1 B'!D105</f>
        <v>73614458.476385504</v>
      </c>
      <c r="E17" s="17"/>
      <c r="F17" s="32">
        <f t="shared" ref="F17:F28" si="0">+K17-D17-H17</f>
        <v>5763718.2140691578</v>
      </c>
      <c r="G17" s="68" t="s">
        <v>51</v>
      </c>
      <c r="H17" s="26"/>
      <c r="I17" s="17"/>
      <c r="J17" s="17"/>
      <c r="K17" s="73">
        <v>79378176.690454662</v>
      </c>
      <c r="L17" s="69"/>
      <c r="M17" s="32">
        <v>0</v>
      </c>
      <c r="N17" s="69"/>
      <c r="O17" s="32">
        <v>79378176.690454662</v>
      </c>
      <c r="P17" s="70"/>
      <c r="Q17" s="46"/>
      <c r="S17" s="46"/>
      <c r="T17" s="70"/>
    </row>
    <row r="18" spans="1:23">
      <c r="A18" s="66">
        <v>5</v>
      </c>
      <c r="C18" s="31" t="s">
        <v>52</v>
      </c>
      <c r="D18" s="74">
        <f>+'C.2.1 B'!D38+'C.2.1 B'!D42</f>
        <v>54.839808545107068</v>
      </c>
      <c r="E18" s="17"/>
      <c r="F18" s="32">
        <f t="shared" si="0"/>
        <v>48.881321969248795</v>
      </c>
      <c r="G18" s="68" t="s">
        <v>51</v>
      </c>
      <c r="H18" s="26"/>
      <c r="I18" s="17"/>
      <c r="J18" s="17"/>
      <c r="K18" s="73">
        <v>103.72113051435586</v>
      </c>
      <c r="L18" s="26"/>
      <c r="M18" s="32">
        <v>0</v>
      </c>
      <c r="N18" s="26"/>
      <c r="O18" s="32">
        <v>103.72113051435586</v>
      </c>
      <c r="P18" s="70"/>
    </row>
    <row r="19" spans="1:23">
      <c r="A19" s="71">
        <v>6</v>
      </c>
      <c r="C19" s="31" t="s">
        <v>53</v>
      </c>
      <c r="D19" s="74">
        <f>+'C.2.1 B'!D55+'C.2.1 B'!D65</f>
        <v>366717.50427577028</v>
      </c>
      <c r="E19" s="17"/>
      <c r="F19" s="32">
        <f t="shared" si="0"/>
        <v>-14511.368299516034</v>
      </c>
      <c r="G19" s="68" t="s">
        <v>51</v>
      </c>
      <c r="H19" s="26"/>
      <c r="I19" s="17"/>
      <c r="J19" s="17"/>
      <c r="K19" s="73">
        <v>352206.13597625424</v>
      </c>
      <c r="L19" s="26"/>
      <c r="M19" s="32">
        <v>0</v>
      </c>
      <c r="N19" s="26"/>
      <c r="O19" s="32">
        <v>352206.13597625424</v>
      </c>
      <c r="P19" s="70"/>
    </row>
    <row r="20" spans="1:23">
      <c r="A20" s="66">
        <v>7</v>
      </c>
      <c r="C20" s="31" t="s">
        <v>54</v>
      </c>
      <c r="D20" s="74">
        <f>+'C.2.1 B'!D75+'C.2.1 B'!D83</f>
        <v>376854.00660489913</v>
      </c>
      <c r="E20" s="17"/>
      <c r="F20" s="32">
        <f t="shared" si="0"/>
        <v>-23699.321199784696</v>
      </c>
      <c r="G20" s="68" t="s">
        <v>51</v>
      </c>
      <c r="H20" s="26"/>
      <c r="I20" s="17"/>
      <c r="J20" s="17"/>
      <c r="K20" s="73">
        <v>353154.68540511443</v>
      </c>
      <c r="L20" s="26"/>
      <c r="M20" s="32">
        <v>0</v>
      </c>
      <c r="N20" s="26"/>
      <c r="O20" s="32">
        <v>353154.68540511443</v>
      </c>
      <c r="P20" s="70"/>
      <c r="R20" s="75"/>
      <c r="S20" s="75"/>
      <c r="T20" s="75"/>
      <c r="U20" s="75"/>
      <c r="V20" s="75"/>
      <c r="W20" s="75"/>
    </row>
    <row r="21" spans="1:23">
      <c r="A21" s="71">
        <v>8</v>
      </c>
      <c r="C21" s="76" t="s">
        <v>55</v>
      </c>
      <c r="D21" s="74">
        <f>+'C.2.1 B'!D120+'C.2.1 B'!D133</f>
        <v>7468558.8367763655</v>
      </c>
      <c r="E21" s="17"/>
      <c r="F21" s="32">
        <f t="shared" si="0"/>
        <v>-414827.92420745548</v>
      </c>
      <c r="G21" s="68" t="s">
        <v>51</v>
      </c>
      <c r="H21" s="26"/>
      <c r="I21" s="77" t="s">
        <v>56</v>
      </c>
      <c r="J21" s="17"/>
      <c r="K21" s="78">
        <v>7053730.91256891</v>
      </c>
      <c r="L21" s="26"/>
      <c r="M21" s="32">
        <v>0</v>
      </c>
      <c r="N21" s="79"/>
      <c r="O21" s="32">
        <v>7053730.91256891</v>
      </c>
      <c r="P21" s="70"/>
      <c r="R21" s="75"/>
      <c r="S21" s="75"/>
      <c r="T21" s="75"/>
      <c r="U21" s="75"/>
      <c r="V21" s="75"/>
      <c r="W21" s="75"/>
    </row>
    <row r="22" spans="1:23">
      <c r="A22" s="66">
        <v>9</v>
      </c>
      <c r="C22" s="76" t="s">
        <v>57</v>
      </c>
      <c r="D22" s="74">
        <f>+'C.2.1 B'!D140</f>
        <v>2778804.5877359547</v>
      </c>
      <c r="E22" s="17"/>
      <c r="F22" s="32">
        <f t="shared" si="0"/>
        <v>-958339.1764626191</v>
      </c>
      <c r="G22" s="68" t="s">
        <v>51</v>
      </c>
      <c r="H22" s="26"/>
      <c r="I22" s="77" t="s">
        <v>56</v>
      </c>
      <c r="J22" s="17"/>
      <c r="K22" s="73">
        <v>1820465.4112733356</v>
      </c>
      <c r="L22" s="26"/>
      <c r="M22" s="32">
        <v>0</v>
      </c>
      <c r="N22" s="26"/>
      <c r="O22" s="32">
        <v>1820465.4112733356</v>
      </c>
      <c r="P22" s="70"/>
      <c r="R22" s="75"/>
      <c r="S22" s="75"/>
      <c r="T22" s="80"/>
      <c r="U22" s="75"/>
      <c r="V22" s="75"/>
      <c r="W22" s="75"/>
    </row>
    <row r="23" spans="1:23">
      <c r="A23" s="71">
        <v>10</v>
      </c>
      <c r="C23" s="31" t="s">
        <v>58</v>
      </c>
      <c r="D23" s="73">
        <f>+'C.2.1 B'!D147</f>
        <v>128090.71592411987</v>
      </c>
      <c r="E23" s="17"/>
      <c r="F23" s="32">
        <f t="shared" si="0"/>
        <v>-4934.0887274201232</v>
      </c>
      <c r="G23" s="68" t="s">
        <v>51</v>
      </c>
      <c r="H23" s="26"/>
      <c r="I23" s="77" t="s">
        <v>56</v>
      </c>
      <c r="J23" s="17"/>
      <c r="K23" s="73">
        <v>123156.62719669974</v>
      </c>
      <c r="L23" s="69"/>
      <c r="M23" s="32">
        <v>0</v>
      </c>
      <c r="N23" s="79"/>
      <c r="O23" s="32">
        <v>123156.62719669974</v>
      </c>
      <c r="P23" s="70"/>
      <c r="R23" s="75"/>
      <c r="S23" s="75"/>
      <c r="T23" s="81"/>
      <c r="U23" s="75"/>
      <c r="V23" s="75"/>
      <c r="W23" s="75"/>
    </row>
    <row r="24" spans="1:23">
      <c r="A24" s="66">
        <v>11</v>
      </c>
      <c r="C24" s="76" t="s">
        <v>59</v>
      </c>
      <c r="D24" s="73">
        <f>+'C.2.1 B'!D154</f>
        <v>351797.41926671081</v>
      </c>
      <c r="E24" s="17"/>
      <c r="F24" s="32">
        <f t="shared" si="0"/>
        <v>-22444.604257822561</v>
      </c>
      <c r="G24" s="68" t="s">
        <v>51</v>
      </c>
      <c r="H24" s="26"/>
      <c r="I24" s="77" t="s">
        <v>56</v>
      </c>
      <c r="J24" s="17"/>
      <c r="K24" s="73">
        <v>329352.81500888825</v>
      </c>
      <c r="L24" s="69"/>
      <c r="M24" s="32">
        <v>-45795.870909826925</v>
      </c>
      <c r="N24" s="79" t="s">
        <v>60</v>
      </c>
      <c r="O24" s="32">
        <v>283556.94409906131</v>
      </c>
      <c r="P24" s="70"/>
      <c r="R24" s="75"/>
      <c r="S24" s="75"/>
      <c r="T24" s="81"/>
      <c r="U24" s="75"/>
      <c r="V24" s="75"/>
      <c r="W24" s="75"/>
    </row>
    <row r="25" spans="1:23">
      <c r="A25" s="71">
        <v>12</v>
      </c>
      <c r="C25" s="76" t="s">
        <v>61</v>
      </c>
      <c r="D25" s="73">
        <f>+'C.2.1 B'!D168+'C.2.1 B'!D172</f>
        <v>16067014.652246205</v>
      </c>
      <c r="E25" s="17"/>
      <c r="F25" s="32">
        <f t="shared" si="0"/>
        <v>752100.86770632304</v>
      </c>
      <c r="G25" s="68" t="s">
        <v>51</v>
      </c>
      <c r="H25" s="26"/>
      <c r="I25" s="77" t="s">
        <v>56</v>
      </c>
      <c r="J25" s="17"/>
      <c r="K25" s="73">
        <v>16819115.519952528</v>
      </c>
      <c r="L25" s="69"/>
      <c r="M25" s="32">
        <v>-1330901.1742952522</v>
      </c>
      <c r="N25" s="79" t="s">
        <v>62</v>
      </c>
      <c r="O25" s="32">
        <v>15488214.345657276</v>
      </c>
      <c r="P25" s="70"/>
      <c r="Q25" s="46"/>
      <c r="R25" s="75"/>
      <c r="S25" s="75"/>
      <c r="T25" s="81"/>
      <c r="U25" s="75"/>
      <c r="V25" s="75"/>
      <c r="W25" s="75"/>
    </row>
    <row r="26" spans="1:23">
      <c r="A26" s="66">
        <v>13</v>
      </c>
      <c r="C26" s="82" t="s">
        <v>63</v>
      </c>
      <c r="D26" s="73">
        <f>+'C.2.1 B'!D176</f>
        <v>18751056.283948101</v>
      </c>
      <c r="E26" s="17"/>
      <c r="F26" s="32">
        <f t="shared" si="0"/>
        <v>693409.64245896041</v>
      </c>
      <c r="G26" s="68" t="s">
        <v>51</v>
      </c>
      <c r="H26" s="26"/>
      <c r="I26" s="17"/>
      <c r="J26" s="17"/>
      <c r="K26" s="73">
        <v>19444465.926407062</v>
      </c>
      <c r="L26" s="69"/>
      <c r="M26" s="32">
        <v>0</v>
      </c>
      <c r="N26" s="69"/>
      <c r="O26" s="73">
        <v>19444465.926407062</v>
      </c>
      <c r="P26" s="70"/>
      <c r="Q26" s="46"/>
      <c r="R26" s="75"/>
      <c r="S26" s="83"/>
      <c r="T26" s="81"/>
      <c r="U26" s="75"/>
      <c r="V26" s="75"/>
      <c r="W26" s="75"/>
    </row>
    <row r="27" spans="1:23">
      <c r="A27" s="71">
        <v>14</v>
      </c>
      <c r="C27" s="76" t="s">
        <v>64</v>
      </c>
      <c r="D27" s="73">
        <f>+'C.2.1 B'!D177</f>
        <v>7424977.870862633</v>
      </c>
      <c r="F27" s="36">
        <f t="shared" si="0"/>
        <v>-1324757.7181693567</v>
      </c>
      <c r="G27" s="2" t="s">
        <v>51</v>
      </c>
      <c r="H27" s="20"/>
      <c r="K27" s="73">
        <v>6100220.1526932763</v>
      </c>
      <c r="L27" s="26"/>
      <c r="M27" s="32">
        <v>0</v>
      </c>
      <c r="N27" s="79"/>
      <c r="O27" s="36">
        <v>6100220.1526932763</v>
      </c>
      <c r="P27" s="70"/>
      <c r="Q27" s="46"/>
      <c r="S27" s="46"/>
      <c r="T27" s="20"/>
    </row>
    <row r="28" spans="1:23">
      <c r="A28" s="66">
        <v>15</v>
      </c>
      <c r="C28" s="82" t="s">
        <v>65</v>
      </c>
      <c r="D28" s="73">
        <f>+'C.2.1 B'!D178</f>
        <v>8775825.4101572093</v>
      </c>
      <c r="F28" s="36">
        <f t="shared" si="0"/>
        <v>2368818.3993654456</v>
      </c>
      <c r="H28" s="20"/>
      <c r="K28" s="73">
        <v>11144643.809522655</v>
      </c>
      <c r="L28" s="69"/>
      <c r="M28" s="73">
        <v>0</v>
      </c>
      <c r="N28" s="68"/>
      <c r="O28" s="73">
        <v>11144643.809522655</v>
      </c>
      <c r="P28" s="70"/>
      <c r="Q28" s="46"/>
      <c r="S28" s="46"/>
      <c r="T28" s="70"/>
    </row>
    <row r="29" spans="1:23">
      <c r="A29" s="71">
        <v>16</v>
      </c>
      <c r="C29" s="51"/>
      <c r="D29" s="84"/>
      <c r="F29" s="85"/>
      <c r="H29" s="86"/>
      <c r="K29" s="84"/>
      <c r="L29" s="20"/>
      <c r="M29" s="87"/>
      <c r="N29" s="20"/>
      <c r="O29" s="87"/>
      <c r="P29" s="70"/>
    </row>
    <row r="30" spans="1:23">
      <c r="A30" s="66">
        <v>17</v>
      </c>
      <c r="C30" s="50"/>
      <c r="D30" s="20"/>
      <c r="F30" s="20"/>
      <c r="H30" s="20"/>
      <c r="K30" s="20"/>
      <c r="L30" s="20"/>
      <c r="M30" s="88"/>
      <c r="N30" s="20"/>
      <c r="O30" s="88"/>
      <c r="P30" s="70"/>
      <c r="T30" s="89"/>
    </row>
    <row r="31" spans="1:23">
      <c r="A31" s="71">
        <v>18</v>
      </c>
      <c r="C31" s="3" t="s">
        <v>27</v>
      </c>
      <c r="D31" s="21">
        <f>SUM(D17:D29)</f>
        <v>136104210.60399199</v>
      </c>
      <c r="F31" s="21">
        <f>SUM(F17:F29)</f>
        <v>6814581.8035978805</v>
      </c>
      <c r="H31" s="21">
        <f>SUM(H21:H29)</f>
        <v>0</v>
      </c>
      <c r="K31" s="21">
        <v>142918792.40758991</v>
      </c>
      <c r="L31" s="20"/>
      <c r="M31" s="21">
        <v>-1376697.045205079</v>
      </c>
      <c r="N31" s="20"/>
      <c r="O31" s="21">
        <f>SUM(O17:O29)</f>
        <v>141542095.36238483</v>
      </c>
      <c r="P31" s="70"/>
    </row>
    <row r="32" spans="1:23">
      <c r="A32" s="66">
        <v>19</v>
      </c>
      <c r="D32" s="70"/>
      <c r="F32" s="70"/>
      <c r="H32" s="70"/>
      <c r="K32" s="70"/>
      <c r="L32" s="70"/>
      <c r="M32" s="70"/>
      <c r="N32" s="70"/>
      <c r="O32" s="70"/>
      <c r="P32" s="70"/>
    </row>
    <row r="33" spans="1:21" ht="15.75" thickBot="1">
      <c r="A33" s="71">
        <v>20</v>
      </c>
      <c r="C33" s="3" t="s">
        <v>66</v>
      </c>
      <c r="D33" s="43">
        <f>D14-D31</f>
        <v>21013907.169976115</v>
      </c>
      <c r="F33" s="43">
        <f>F14-F31</f>
        <v>2871955.8948543537</v>
      </c>
      <c r="H33" s="43">
        <f>H14-H31</f>
        <v>0</v>
      </c>
      <c r="K33" s="43">
        <v>23885863.064830422</v>
      </c>
      <c r="L33" s="20"/>
      <c r="M33" s="43">
        <v>1376697.045205079</v>
      </c>
      <c r="N33" s="20"/>
      <c r="O33" s="43">
        <f>O14-O31</f>
        <v>25262560.110035509</v>
      </c>
      <c r="P33" s="70"/>
      <c r="Q33" s="46"/>
      <c r="S33" s="46"/>
      <c r="T33" s="20"/>
      <c r="U33" s="20"/>
    </row>
    <row r="34" spans="1:21" ht="15.75" thickTop="1">
      <c r="A34" s="71"/>
      <c r="D34" s="20"/>
      <c r="F34" s="20"/>
      <c r="G34" s="20"/>
      <c r="H34" s="20"/>
      <c r="K34" s="90"/>
      <c r="L34" s="20"/>
      <c r="M34" s="90"/>
      <c r="N34" s="20"/>
      <c r="O34" s="20"/>
      <c r="P34" s="20"/>
      <c r="Q34" s="46"/>
      <c r="S34" s="46"/>
      <c r="T34" s="20"/>
      <c r="U34" s="20"/>
    </row>
    <row r="35" spans="1:21">
      <c r="A35" s="66"/>
      <c r="D35" s="91"/>
      <c r="F35" s="20"/>
      <c r="G35" s="20"/>
      <c r="H35" s="20"/>
      <c r="K35" s="91"/>
      <c r="L35" s="20"/>
      <c r="M35" s="46"/>
      <c r="N35" s="20"/>
      <c r="O35" s="91"/>
      <c r="P35" s="20"/>
    </row>
    <row r="36" spans="1:21">
      <c r="A36" s="66"/>
      <c r="C36" s="92"/>
      <c r="D36" s="24"/>
      <c r="E36" s="18"/>
      <c r="F36" s="24"/>
      <c r="G36" s="24"/>
      <c r="H36" s="24"/>
      <c r="I36" s="18"/>
      <c r="J36" s="18"/>
      <c r="K36" s="24"/>
      <c r="L36" s="20"/>
      <c r="M36" s="32"/>
      <c r="N36" s="20"/>
      <c r="O36" s="91"/>
      <c r="P36" s="20"/>
    </row>
    <row r="37" spans="1:21">
      <c r="A37" s="66"/>
      <c r="C37" s="18"/>
      <c r="D37" s="93"/>
      <c r="E37" s="18"/>
      <c r="F37" s="24"/>
      <c r="G37" s="24"/>
      <c r="H37" s="24"/>
      <c r="I37" s="18"/>
      <c r="J37" s="18"/>
      <c r="K37" s="93"/>
      <c r="L37" s="20"/>
      <c r="M37" s="46"/>
      <c r="N37" s="20"/>
      <c r="O37" s="91"/>
      <c r="P37" s="20"/>
    </row>
    <row r="38" spans="1:21">
      <c r="A38" s="71"/>
      <c r="B38" s="94"/>
      <c r="C38" s="92"/>
      <c r="D38" s="24"/>
      <c r="E38" s="18"/>
      <c r="F38" s="24"/>
      <c r="G38" s="24"/>
      <c r="H38" s="24"/>
      <c r="I38" s="18"/>
      <c r="J38" s="18"/>
      <c r="K38" s="24"/>
      <c r="L38" s="20"/>
      <c r="N38" s="20"/>
      <c r="P38" s="20"/>
    </row>
    <row r="39" spans="1:21">
      <c r="A39" s="66"/>
      <c r="B39" s="95"/>
      <c r="C39" s="92"/>
      <c r="D39" s="24"/>
      <c r="E39" s="18"/>
      <c r="F39" s="24"/>
      <c r="G39" s="24"/>
      <c r="H39" s="24"/>
      <c r="I39" s="18"/>
      <c r="J39" s="18"/>
      <c r="K39" s="24"/>
      <c r="L39" s="20"/>
      <c r="M39" s="46"/>
      <c r="N39" s="20"/>
      <c r="O39" s="46"/>
      <c r="P39" s="20"/>
      <c r="T39" s="89"/>
    </row>
    <row r="40" spans="1:21">
      <c r="D40" s="20"/>
      <c r="F40" s="20"/>
      <c r="G40" s="20"/>
      <c r="K40" s="20"/>
      <c r="L40" s="20"/>
      <c r="M40" s="24"/>
      <c r="N40" s="18"/>
    </row>
    <row r="41" spans="1:21">
      <c r="D41" s="20"/>
      <c r="F41" s="20"/>
      <c r="G41" s="20"/>
      <c r="H41" s="46"/>
      <c r="K41" s="20"/>
      <c r="L41" s="20"/>
      <c r="M41" s="24"/>
      <c r="N41" s="24"/>
      <c r="O41" s="46"/>
      <c r="P41" s="20"/>
    </row>
    <row r="42" spans="1:21">
      <c r="A42" s="50"/>
      <c r="D42" s="20"/>
      <c r="F42" s="20"/>
      <c r="G42" s="20"/>
      <c r="K42" s="20"/>
      <c r="L42" s="20"/>
      <c r="M42" s="24"/>
      <c r="N42" s="24"/>
      <c r="P42" s="20"/>
      <c r="Q42" s="46"/>
      <c r="S42" s="46"/>
      <c r="T42" s="20"/>
      <c r="U42" s="20"/>
    </row>
    <row r="43" spans="1:21">
      <c r="A43" s="50"/>
      <c r="D43" s="20"/>
      <c r="F43" s="20"/>
      <c r="G43" s="20"/>
      <c r="H43" s="46"/>
      <c r="K43" s="20"/>
      <c r="L43" s="20"/>
      <c r="M43" s="96"/>
      <c r="N43" s="24"/>
      <c r="O43" s="46"/>
      <c r="P43" s="20"/>
      <c r="Q43" s="46"/>
      <c r="S43" s="46"/>
      <c r="T43" s="20"/>
      <c r="U43" s="20"/>
    </row>
    <row r="44" spans="1:21">
      <c r="A44" s="50"/>
      <c r="C44" s="50"/>
      <c r="D44" s="20"/>
      <c r="F44" s="20"/>
      <c r="G44" s="20"/>
      <c r="M44" s="97"/>
      <c r="N44" s="18"/>
    </row>
    <row r="45" spans="1:21">
      <c r="A45" s="50"/>
      <c r="C45" s="50"/>
      <c r="D45" s="20"/>
      <c r="F45" s="20"/>
      <c r="G45" s="20"/>
    </row>
    <row r="46" spans="1:21">
      <c r="D46" s="20"/>
      <c r="F46" s="20"/>
      <c r="G46" s="20"/>
      <c r="K46" s="89"/>
      <c r="L46" s="89"/>
      <c r="N46" s="89"/>
      <c r="P46" s="89"/>
      <c r="T46" s="89"/>
    </row>
    <row r="47" spans="1:21">
      <c r="A47" s="50"/>
      <c r="D47" s="20"/>
      <c r="F47" s="20"/>
      <c r="G47" s="20"/>
    </row>
    <row r="48" spans="1:21">
      <c r="C48" s="57"/>
      <c r="E48" s="20"/>
      <c r="G48" s="20"/>
    </row>
    <row r="49" spans="1:23">
      <c r="A49" s="50"/>
      <c r="C49" s="50"/>
      <c r="E49" s="20"/>
      <c r="F49" s="46"/>
      <c r="G49" s="20"/>
      <c r="H49" s="46"/>
      <c r="K49" s="46"/>
      <c r="L49" s="70"/>
      <c r="M49" s="46"/>
      <c r="N49" s="70"/>
      <c r="O49" s="46"/>
      <c r="P49" s="70"/>
      <c r="Q49" s="46"/>
      <c r="S49" s="46"/>
      <c r="T49" s="20"/>
      <c r="V49" s="50"/>
    </row>
    <row r="50" spans="1:23">
      <c r="C50" s="50"/>
      <c r="D50" s="46"/>
      <c r="E50" s="20"/>
      <c r="F50" s="46"/>
      <c r="G50" s="20"/>
      <c r="H50" s="46"/>
      <c r="K50" s="46"/>
      <c r="L50" s="70"/>
      <c r="M50" s="46"/>
      <c r="N50" s="70"/>
      <c r="O50" s="46"/>
      <c r="P50" s="70"/>
      <c r="Q50" s="46"/>
      <c r="S50" s="46"/>
      <c r="T50" s="20"/>
    </row>
    <row r="51" spans="1:23">
      <c r="D51" s="46"/>
      <c r="V51" s="50"/>
    </row>
    <row r="52" spans="1:23">
      <c r="V52" s="70"/>
      <c r="W52" s="20"/>
    </row>
    <row r="53" spans="1:23">
      <c r="V53" s="70"/>
      <c r="W53" s="20"/>
    </row>
    <row r="56" spans="1:23">
      <c r="V56" s="89"/>
    </row>
    <row r="58" spans="1:23">
      <c r="S58" s="20"/>
      <c r="T58" s="20"/>
    </row>
    <row r="59" spans="1:23">
      <c r="E59" s="70"/>
      <c r="R59" s="70"/>
      <c r="S59" s="20"/>
      <c r="T59" s="20"/>
    </row>
    <row r="62" spans="1:23">
      <c r="R62" s="89"/>
    </row>
    <row r="63" spans="1:23">
      <c r="R63" s="70"/>
    </row>
    <row r="64" spans="1:23">
      <c r="R64" s="70"/>
    </row>
    <row r="65" spans="1:18">
      <c r="R65" s="70"/>
    </row>
    <row r="67" spans="1:18">
      <c r="A67" s="50"/>
    </row>
    <row r="68" spans="1:18">
      <c r="A68" s="50"/>
      <c r="C68" s="50"/>
      <c r="G68" s="89"/>
      <c r="I68" s="89"/>
      <c r="J68" s="89"/>
      <c r="L68" s="89"/>
      <c r="N68" s="89"/>
      <c r="P68" s="89"/>
      <c r="R68" s="89"/>
    </row>
    <row r="69" spans="1:18">
      <c r="G69" s="70"/>
      <c r="R69" s="70"/>
    </row>
    <row r="70" spans="1:18">
      <c r="A70" s="50"/>
    </row>
    <row r="71" spans="1:18">
      <c r="A71" s="50"/>
    </row>
    <row r="72" spans="1:18">
      <c r="A72" s="50"/>
    </row>
    <row r="73" spans="1:18">
      <c r="A73" s="50"/>
    </row>
    <row r="75" spans="1:18">
      <c r="A75" s="50"/>
    </row>
    <row r="76" spans="1:18">
      <c r="A76" s="50"/>
    </row>
    <row r="79" spans="1:18">
      <c r="A79" s="50"/>
    </row>
    <row r="80" spans="1:18">
      <c r="C80" s="50"/>
    </row>
    <row r="86" spans="7:18">
      <c r="G86" s="70"/>
      <c r="I86" s="70"/>
      <c r="J86" s="70"/>
      <c r="L86" s="70"/>
      <c r="N86" s="70"/>
      <c r="P86" s="70"/>
      <c r="R86" s="70"/>
    </row>
    <row r="87" spans="7:18">
      <c r="G87" s="70"/>
      <c r="I87" s="70"/>
      <c r="J87" s="70"/>
      <c r="L87" s="70"/>
      <c r="N87" s="70"/>
      <c r="P87" s="70"/>
      <c r="R87" s="70"/>
    </row>
    <row r="88" spans="7:18">
      <c r="G88" s="70"/>
      <c r="I88" s="70"/>
      <c r="J88" s="70"/>
      <c r="L88" s="70"/>
      <c r="N88" s="70"/>
      <c r="P88" s="70"/>
      <c r="R88" s="70"/>
    </row>
    <row r="89" spans="7:18">
      <c r="G89" s="70"/>
      <c r="I89" s="70"/>
      <c r="J89" s="70"/>
      <c r="L89" s="70"/>
      <c r="N89" s="70"/>
      <c r="P89" s="70"/>
      <c r="R89" s="70"/>
    </row>
    <row r="90" spans="7:18">
      <c r="G90" s="70"/>
      <c r="I90" s="70"/>
      <c r="J90" s="70"/>
      <c r="L90" s="70"/>
      <c r="N90" s="70"/>
      <c r="P90" s="70"/>
      <c r="R90" s="70"/>
    </row>
    <row r="91" spans="7:18">
      <c r="G91" s="70"/>
      <c r="I91" s="70"/>
      <c r="J91" s="70"/>
      <c r="L91" s="70"/>
      <c r="N91" s="70"/>
      <c r="P91" s="70"/>
      <c r="R91" s="70"/>
    </row>
    <row r="92" spans="7:18">
      <c r="G92" s="70"/>
      <c r="I92" s="70"/>
      <c r="J92" s="70"/>
      <c r="L92" s="70"/>
      <c r="N92" s="70"/>
      <c r="P92" s="70"/>
      <c r="R92" s="70"/>
    </row>
    <row r="93" spans="7:18">
      <c r="G93" s="70"/>
      <c r="I93" s="70"/>
      <c r="J93" s="70"/>
      <c r="L93" s="70"/>
      <c r="N93" s="70"/>
      <c r="P93" s="70"/>
      <c r="R93" s="70"/>
    </row>
    <row r="94" spans="7:18">
      <c r="G94" s="70"/>
      <c r="I94" s="70"/>
      <c r="J94" s="70"/>
      <c r="L94" s="70"/>
      <c r="N94" s="70"/>
      <c r="P94" s="70"/>
      <c r="R94" s="70"/>
    </row>
    <row r="95" spans="7:18">
      <c r="G95" s="70"/>
      <c r="I95" s="70"/>
      <c r="J95" s="70"/>
      <c r="L95" s="70"/>
      <c r="N95" s="70"/>
      <c r="P95" s="70"/>
      <c r="R95" s="70"/>
    </row>
  </sheetData>
  <mergeCells count="5">
    <mergeCell ref="A1:O1"/>
    <mergeCell ref="A2:O2"/>
    <mergeCell ref="A3:O3"/>
    <mergeCell ref="A4:O4"/>
    <mergeCell ref="A5:O5"/>
  </mergeCells>
  <printOptions horizontalCentered="1"/>
  <pageMargins left="0.38" right="0.5" top="0.75" bottom="0.5" header="0.25" footer="0.5"/>
  <pageSetup scale="77" orientation="landscape" verticalDpi="300" r:id="rId1"/>
  <headerFooter alignWithMargins="0">
    <oddHeader>&amp;R&amp;10CASE NO. 2015-00343
ATTACHMENT 1
TO STAFF DR NO. 1-45
(SUPPLEMENT 02-18-16)</oddHeader>
    <oddFooter>&amp;RSchedule &amp;A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6"/>
  <sheetViews>
    <sheetView view="pageBreakPreview" zoomScale="60" zoomScaleNormal="80" workbookViewId="0">
      <pane ySplit="11" topLeftCell="A12" activePane="bottomLeft" state="frozen"/>
      <selection activeCell="E45" sqref="E45"/>
      <selection pane="bottomLeft" activeCell="A12" sqref="A12"/>
    </sheetView>
  </sheetViews>
  <sheetFormatPr defaultColWidth="8.44140625" defaultRowHeight="15.75" customHeight="1"/>
  <cols>
    <col min="1" max="1" width="4.77734375" style="98" customWidth="1"/>
    <col min="2" max="2" width="11.88671875" style="98" customWidth="1"/>
    <col min="3" max="3" width="49.109375" style="98" customWidth="1"/>
    <col min="4" max="4" width="14.44140625" style="98" customWidth="1"/>
    <col min="5" max="5" width="7.21875" style="98" customWidth="1"/>
    <col min="6" max="6" width="11.44140625" style="98" bestFit="1" customWidth="1"/>
    <col min="7" max="7" width="10" style="98" bestFit="1" customWidth="1"/>
    <col min="8" max="8" width="10.21875" style="98" customWidth="1"/>
    <col min="9" max="16384" width="8.44140625" style="98"/>
  </cols>
  <sheetData>
    <row r="1" spans="1:7" ht="15.75" customHeight="1">
      <c r="A1" s="259" t="s">
        <v>0</v>
      </c>
      <c r="B1" s="259"/>
      <c r="C1" s="259"/>
      <c r="D1" s="259"/>
    </row>
    <row r="2" spans="1:7" ht="15.75" customHeight="1">
      <c r="A2" s="259" t="s">
        <v>1</v>
      </c>
      <c r="B2" s="259"/>
      <c r="C2" s="259"/>
      <c r="D2" s="259"/>
    </row>
    <row r="3" spans="1:7" ht="15.75" customHeight="1">
      <c r="A3" s="259" t="s">
        <v>67</v>
      </c>
      <c r="B3" s="259"/>
      <c r="C3" s="259"/>
      <c r="D3" s="259"/>
    </row>
    <row r="4" spans="1:7" ht="15.75" customHeight="1">
      <c r="A4" s="259" t="s">
        <v>32</v>
      </c>
      <c r="B4" s="259"/>
      <c r="C4" s="259"/>
      <c r="D4" s="259"/>
    </row>
    <row r="5" spans="1:7" ht="15.75" customHeight="1">
      <c r="A5" s="99"/>
      <c r="B5" s="99"/>
      <c r="C5" s="100"/>
      <c r="D5" s="100"/>
    </row>
    <row r="6" spans="1:7" ht="15.75" customHeight="1">
      <c r="A6" s="101" t="s">
        <v>68</v>
      </c>
      <c r="D6" s="102" t="s">
        <v>69</v>
      </c>
    </row>
    <row r="7" spans="1:7" ht="15.75" customHeight="1">
      <c r="A7" s="3" t="s">
        <v>6</v>
      </c>
      <c r="D7" s="103" t="s">
        <v>70</v>
      </c>
    </row>
    <row r="8" spans="1:7" ht="15.75" customHeight="1">
      <c r="A8" s="104" t="s">
        <v>8</v>
      </c>
      <c r="B8" s="105"/>
      <c r="C8" s="105"/>
      <c r="D8" s="106" t="str">
        <f>C.1!J9</f>
        <v>Witness: Waller, Smith</v>
      </c>
    </row>
    <row r="9" spans="1:7" ht="15.75" customHeight="1">
      <c r="D9" s="107"/>
    </row>
    <row r="10" spans="1:7" ht="15.75" customHeight="1">
      <c r="A10" s="108" t="s">
        <v>12</v>
      </c>
      <c r="B10" s="107" t="s">
        <v>71</v>
      </c>
      <c r="C10" s="108" t="s">
        <v>71</v>
      </c>
      <c r="D10" s="107" t="s">
        <v>72</v>
      </c>
    </row>
    <row r="11" spans="1:7" ht="15.75" customHeight="1">
      <c r="A11" s="109" t="s">
        <v>15</v>
      </c>
      <c r="B11" s="110" t="s">
        <v>73</v>
      </c>
      <c r="C11" s="109" t="s">
        <v>74</v>
      </c>
      <c r="D11" s="110" t="s">
        <v>75</v>
      </c>
    </row>
    <row r="12" spans="1:7" ht="15.75" customHeight="1">
      <c r="D12" s="107" t="s">
        <v>76</v>
      </c>
    </row>
    <row r="13" spans="1:7" ht="15.75" customHeight="1">
      <c r="A13" s="107">
        <v>1</v>
      </c>
      <c r="B13" s="111"/>
      <c r="C13" s="112" t="s">
        <v>77</v>
      </c>
    </row>
    <row r="14" spans="1:7" ht="15.75" customHeight="1">
      <c r="A14" s="107">
        <f>A13+1</f>
        <v>2</v>
      </c>
      <c r="B14" s="111"/>
      <c r="C14" s="112" t="s">
        <v>78</v>
      </c>
      <c r="D14" s="113"/>
    </row>
    <row r="15" spans="1:7" ht="15.75" customHeight="1">
      <c r="A15" s="107">
        <f t="shared" ref="A15:A79" si="0">A14+1</f>
        <v>3</v>
      </c>
      <c r="B15" s="114">
        <v>4800</v>
      </c>
      <c r="C15" s="115" t="s">
        <v>79</v>
      </c>
      <c r="D15" s="116">
        <f>-'C.2.2 B 09'!P17</f>
        <v>91668142.037079662</v>
      </c>
      <c r="F15" s="117"/>
      <c r="G15" s="117"/>
    </row>
    <row r="16" spans="1:7" ht="15.75" customHeight="1">
      <c r="A16" s="107">
        <f t="shared" si="0"/>
        <v>4</v>
      </c>
      <c r="B16" s="118">
        <v>4805</v>
      </c>
      <c r="C16" s="119" t="s">
        <v>80</v>
      </c>
      <c r="D16" s="120">
        <f>-'C.2.2 B 09'!P18</f>
        <v>-894380.58999999985</v>
      </c>
      <c r="F16" s="117"/>
      <c r="G16" s="117"/>
    </row>
    <row r="17" spans="1:8" ht="15.75" customHeight="1">
      <c r="A17" s="107">
        <f t="shared" si="0"/>
        <v>5</v>
      </c>
      <c r="B17" s="118">
        <v>4811</v>
      </c>
      <c r="C17" s="119" t="s">
        <v>81</v>
      </c>
      <c r="D17" s="120">
        <f>-'C.2.2 B 09'!P19</f>
        <v>38083269.802749932</v>
      </c>
      <c r="F17" s="117"/>
      <c r="G17" s="117"/>
    </row>
    <row r="18" spans="1:8" ht="15.75" customHeight="1">
      <c r="A18" s="107">
        <f t="shared" si="0"/>
        <v>6</v>
      </c>
      <c r="B18" s="118">
        <v>4812</v>
      </c>
      <c r="C18" s="119" t="s">
        <v>82</v>
      </c>
      <c r="D18" s="120">
        <f>-'C.2.2 B 09'!P20</f>
        <v>4785028.6408619694</v>
      </c>
      <c r="F18" s="117"/>
      <c r="G18" s="117"/>
    </row>
    <row r="19" spans="1:8" ht="15.75" customHeight="1">
      <c r="A19" s="107">
        <f t="shared" si="0"/>
        <v>7</v>
      </c>
      <c r="B19" s="118">
        <v>4815</v>
      </c>
      <c r="C19" s="119" t="s">
        <v>83</v>
      </c>
      <c r="D19" s="120">
        <f>-'C.2.2 B 09'!P21</f>
        <v>-621214.00999999978</v>
      </c>
      <c r="F19" s="117"/>
      <c r="G19" s="117"/>
    </row>
    <row r="20" spans="1:8" ht="15.75" customHeight="1">
      <c r="A20" s="107">
        <f t="shared" si="0"/>
        <v>8</v>
      </c>
      <c r="B20" s="118">
        <v>4816</v>
      </c>
      <c r="C20" s="119" t="s">
        <v>84</v>
      </c>
      <c r="D20" s="120">
        <f>-'C.2.2 B 09'!P22</f>
        <v>-13890.750000000007</v>
      </c>
      <c r="F20" s="117"/>
      <c r="G20" s="117"/>
    </row>
    <row r="21" spans="1:8" ht="15.75" customHeight="1">
      <c r="A21" s="107">
        <f t="shared" si="0"/>
        <v>9</v>
      </c>
      <c r="B21" s="118">
        <v>4820</v>
      </c>
      <c r="C21" s="119" t="s">
        <v>85</v>
      </c>
      <c r="D21" s="120">
        <f>-'C.2.2 B 09'!P23</f>
        <v>6824572.2862504534</v>
      </c>
      <c r="F21" s="117"/>
      <c r="G21" s="117"/>
    </row>
    <row r="22" spans="1:8" ht="15.75" customHeight="1">
      <c r="A22" s="107">
        <f t="shared" si="0"/>
        <v>10</v>
      </c>
      <c r="B22" s="118">
        <v>4825</v>
      </c>
      <c r="C22" s="119" t="s">
        <v>86</v>
      </c>
      <c r="D22" s="121">
        <f>-'C.2.2 B 09'!P24</f>
        <v>-128372.38</v>
      </c>
      <c r="F22" s="117"/>
      <c r="G22" s="117"/>
    </row>
    <row r="23" spans="1:8" ht="15.75" customHeight="1">
      <c r="A23" s="107">
        <f t="shared" si="0"/>
        <v>11</v>
      </c>
      <c r="B23" s="107"/>
      <c r="C23" s="108" t="s">
        <v>87</v>
      </c>
      <c r="D23" s="116">
        <f>SUM(D15:D22)</f>
        <v>139703155.03694201</v>
      </c>
    </row>
    <row r="24" spans="1:8" ht="15.75" customHeight="1">
      <c r="A24" s="107">
        <f t="shared" si="0"/>
        <v>12</v>
      </c>
      <c r="B24" s="107"/>
      <c r="D24" s="113"/>
    </row>
    <row r="25" spans="1:8" ht="15.75" customHeight="1">
      <c r="A25" s="107">
        <f t="shared" si="0"/>
        <v>13</v>
      </c>
      <c r="B25" s="122"/>
      <c r="C25" s="112" t="s">
        <v>88</v>
      </c>
      <c r="D25" s="123"/>
    </row>
    <row r="26" spans="1:8" ht="15.75" customHeight="1">
      <c r="A26" s="107">
        <f t="shared" si="0"/>
        <v>14</v>
      </c>
      <c r="B26" s="114">
        <v>4870</v>
      </c>
      <c r="C26" s="115" t="s">
        <v>89</v>
      </c>
      <c r="D26" s="116">
        <f>-'C.2.2 B 09'!P25</f>
        <v>1215756.6307260967</v>
      </c>
    </row>
    <row r="27" spans="1:8" ht="15.75" customHeight="1">
      <c r="A27" s="107">
        <f t="shared" si="0"/>
        <v>15</v>
      </c>
      <c r="B27" s="114">
        <v>4880</v>
      </c>
      <c r="C27" s="115" t="s">
        <v>90</v>
      </c>
      <c r="D27" s="120">
        <f>-'C.2.2 B 09'!P26</f>
        <v>785524.59000000008</v>
      </c>
    </row>
    <row r="28" spans="1:8" ht="15.75" customHeight="1">
      <c r="A28" s="107">
        <f t="shared" si="0"/>
        <v>16</v>
      </c>
      <c r="B28" s="124">
        <v>4893</v>
      </c>
      <c r="C28" s="125" t="s">
        <v>91</v>
      </c>
      <c r="D28" s="120">
        <f>-'C.2.2 B 09'!P27</f>
        <v>15171870.883800002</v>
      </c>
      <c r="F28" s="126"/>
    </row>
    <row r="29" spans="1:8" ht="15.75" customHeight="1">
      <c r="A29" s="107">
        <f t="shared" si="0"/>
        <v>17</v>
      </c>
      <c r="B29" s="114">
        <v>4950</v>
      </c>
      <c r="C29" s="115" t="s">
        <v>92</v>
      </c>
      <c r="D29" s="120">
        <f>-'C.2.2 B 09'!P28</f>
        <v>241810.63249999995</v>
      </c>
      <c r="F29" s="113"/>
      <c r="G29" s="113"/>
      <c r="H29" s="126"/>
    </row>
    <row r="30" spans="1:8" ht="15.75" customHeight="1">
      <c r="A30" s="107">
        <f t="shared" si="0"/>
        <v>18</v>
      </c>
      <c r="B30" s="122"/>
      <c r="C30" s="108" t="s">
        <v>93</v>
      </c>
      <c r="D30" s="127">
        <f>SUM(D26:D29)</f>
        <v>17414962.737026099</v>
      </c>
    </row>
    <row r="31" spans="1:8" ht="15.75" customHeight="1">
      <c r="A31" s="107">
        <f t="shared" si="0"/>
        <v>19</v>
      </c>
      <c r="B31" s="122"/>
      <c r="D31" s="123"/>
      <c r="F31" s="128"/>
      <c r="G31" s="113"/>
    </row>
    <row r="32" spans="1:8" ht="15.75" customHeight="1">
      <c r="A32" s="107">
        <f t="shared" si="0"/>
        <v>20</v>
      </c>
      <c r="B32" s="107"/>
      <c r="C32" s="108" t="s">
        <v>94</v>
      </c>
      <c r="D32" s="116">
        <f>D23+D30</f>
        <v>157118117.7739681</v>
      </c>
      <c r="E32" s="129"/>
      <c r="F32" s="113"/>
      <c r="G32" s="113"/>
      <c r="H32" s="126"/>
    </row>
    <row r="33" spans="1:7" ht="15.75" customHeight="1">
      <c r="A33" s="107">
        <f t="shared" si="0"/>
        <v>21</v>
      </c>
      <c r="B33" s="122"/>
      <c r="D33" s="123"/>
      <c r="F33" s="113"/>
      <c r="G33" s="113"/>
    </row>
    <row r="34" spans="1:7" ht="15.75" customHeight="1">
      <c r="A34" s="107">
        <f t="shared" si="0"/>
        <v>22</v>
      </c>
      <c r="B34" s="122"/>
      <c r="C34" s="112" t="s">
        <v>95</v>
      </c>
      <c r="D34" s="123"/>
    </row>
    <row r="35" spans="1:7" ht="15.75" customHeight="1">
      <c r="A35" s="107">
        <f t="shared" si="0"/>
        <v>23</v>
      </c>
      <c r="B35" s="122"/>
      <c r="C35" s="130" t="s">
        <v>96</v>
      </c>
      <c r="D35" s="131"/>
    </row>
    <row r="36" spans="1:7" ht="15.75" customHeight="1">
      <c r="A36" s="107">
        <f t="shared" si="0"/>
        <v>24</v>
      </c>
      <c r="B36" s="132">
        <v>7560</v>
      </c>
      <c r="C36" s="115" t="s">
        <v>97</v>
      </c>
      <c r="D36" s="133">
        <f>'C.2.2 B 09'!P29</f>
        <v>54.839808545107068</v>
      </c>
    </row>
    <row r="37" spans="1:7" ht="15.75" customHeight="1">
      <c r="A37" s="107">
        <f t="shared" si="0"/>
        <v>25</v>
      </c>
      <c r="B37" s="132">
        <v>7590</v>
      </c>
      <c r="C37" s="115" t="s">
        <v>98</v>
      </c>
      <c r="D37" s="121">
        <f>'C.2.2 B 09'!P30</f>
        <v>0</v>
      </c>
    </row>
    <row r="38" spans="1:7" ht="15.75" customHeight="1">
      <c r="A38" s="107">
        <f t="shared" si="0"/>
        <v>26</v>
      </c>
      <c r="B38" s="122"/>
      <c r="C38" s="134" t="s">
        <v>99</v>
      </c>
      <c r="D38" s="116">
        <f>SUM(D36:D37)</f>
        <v>54.839808545107068</v>
      </c>
    </row>
    <row r="39" spans="1:7" ht="15.75" customHeight="1">
      <c r="A39" s="107">
        <f t="shared" si="0"/>
        <v>27</v>
      </c>
      <c r="B39" s="122"/>
      <c r="C39" s="134"/>
      <c r="D39" s="116"/>
    </row>
    <row r="40" spans="1:7" ht="15.75" customHeight="1">
      <c r="A40" s="107">
        <f t="shared" si="0"/>
        <v>28</v>
      </c>
      <c r="B40" s="122"/>
      <c r="C40" s="130" t="s">
        <v>100</v>
      </c>
      <c r="D40" s="120"/>
    </row>
    <row r="41" spans="1:7" ht="15.75" customHeight="1">
      <c r="A41" s="107">
        <f t="shared" si="0"/>
        <v>29</v>
      </c>
      <c r="B41" s="132">
        <v>7610</v>
      </c>
      <c r="C41" s="115" t="s">
        <v>101</v>
      </c>
      <c r="D41" s="135">
        <v>0</v>
      </c>
    </row>
    <row r="42" spans="1:7" ht="15.75" customHeight="1">
      <c r="A42" s="107">
        <f t="shared" si="0"/>
        <v>30</v>
      </c>
      <c r="B42" s="122"/>
      <c r="C42" s="101"/>
      <c r="D42" s="116">
        <f>SUM(D41)</f>
        <v>0</v>
      </c>
    </row>
    <row r="43" spans="1:7" ht="15.75" customHeight="1">
      <c r="A43" s="107">
        <f t="shared" si="0"/>
        <v>31</v>
      </c>
      <c r="B43" s="122"/>
      <c r="C43" s="130" t="s">
        <v>102</v>
      </c>
      <c r="D43" s="131"/>
    </row>
    <row r="44" spans="1:7" ht="15.75" customHeight="1">
      <c r="A44" s="107">
        <f t="shared" si="0"/>
        <v>32</v>
      </c>
      <c r="B44" s="132">
        <v>8140</v>
      </c>
      <c r="C44" s="115" t="s">
        <v>103</v>
      </c>
      <c r="D44" s="136">
        <f>'C.2.2 B 09'!P46</f>
        <v>-207.36320194460316</v>
      </c>
    </row>
    <row r="45" spans="1:7" ht="15.75" customHeight="1">
      <c r="A45" s="107">
        <f t="shared" si="0"/>
        <v>33</v>
      </c>
      <c r="B45" s="132">
        <v>8150</v>
      </c>
      <c r="C45" s="115" t="s">
        <v>104</v>
      </c>
      <c r="D45" s="133">
        <v>0</v>
      </c>
    </row>
    <row r="46" spans="1:7" ht="15.75" customHeight="1">
      <c r="A46" s="107">
        <f t="shared" si="0"/>
        <v>34</v>
      </c>
      <c r="B46" s="132">
        <v>8160</v>
      </c>
      <c r="C46" s="115" t="s">
        <v>105</v>
      </c>
      <c r="D46" s="133">
        <f>'C.2.2 B 09'!P47</f>
        <v>102506.97269337741</v>
      </c>
    </row>
    <row r="47" spans="1:7" ht="15.75" customHeight="1">
      <c r="A47" s="107">
        <f t="shared" si="0"/>
        <v>35</v>
      </c>
      <c r="B47" s="132">
        <v>8170</v>
      </c>
      <c r="C47" s="115" t="s">
        <v>106</v>
      </c>
      <c r="D47" s="133">
        <f>'C.2.2 B 09'!P48</f>
        <v>36976.093841140304</v>
      </c>
    </row>
    <row r="48" spans="1:7" ht="15.75" customHeight="1">
      <c r="A48" s="107">
        <f t="shared" si="0"/>
        <v>36</v>
      </c>
      <c r="B48" s="132">
        <v>8180</v>
      </c>
      <c r="C48" s="115" t="s">
        <v>107</v>
      </c>
      <c r="D48" s="133">
        <f>'C.2.2 B 09'!P49</f>
        <v>31884.908039536291</v>
      </c>
    </row>
    <row r="49" spans="1:4" ht="15.75" customHeight="1">
      <c r="A49" s="107">
        <f t="shared" si="0"/>
        <v>37</v>
      </c>
      <c r="B49" s="137">
        <v>8190</v>
      </c>
      <c r="C49" s="138" t="s">
        <v>108</v>
      </c>
      <c r="D49" s="133">
        <f>'C.2.2 B 09'!P50</f>
        <v>822.29288216636178</v>
      </c>
    </row>
    <row r="50" spans="1:4" ht="15.75" customHeight="1">
      <c r="A50" s="107">
        <f t="shared" si="0"/>
        <v>38</v>
      </c>
      <c r="B50" s="137">
        <v>8200</v>
      </c>
      <c r="C50" s="138" t="s">
        <v>109</v>
      </c>
      <c r="D50" s="133">
        <f>'C.2.2 B 09'!P51</f>
        <v>3045.7542138121553</v>
      </c>
    </row>
    <row r="51" spans="1:4" ht="15.75" customHeight="1">
      <c r="A51" s="107">
        <f t="shared" si="0"/>
        <v>39</v>
      </c>
      <c r="B51" s="137">
        <v>8210</v>
      </c>
      <c r="C51" s="138" t="s">
        <v>110</v>
      </c>
      <c r="D51" s="133">
        <f>'C.2.2 B 09'!P52</f>
        <v>44865.262784405575</v>
      </c>
    </row>
    <row r="52" spans="1:4" ht="15.75" customHeight="1">
      <c r="A52" s="107">
        <f t="shared" si="0"/>
        <v>40</v>
      </c>
      <c r="B52" s="137">
        <v>8240</v>
      </c>
      <c r="C52" s="138" t="s">
        <v>111</v>
      </c>
      <c r="D52" s="133">
        <f>'C.2.2 B 09'!P53</f>
        <v>893.58917920073236</v>
      </c>
    </row>
    <row r="53" spans="1:4" ht="15.75" customHeight="1">
      <c r="A53" s="107">
        <f t="shared" si="0"/>
        <v>41</v>
      </c>
      <c r="B53" s="137">
        <v>8250</v>
      </c>
      <c r="C53" s="138" t="s">
        <v>112</v>
      </c>
      <c r="D53" s="133">
        <f>'C.2.2 B 09'!P54</f>
        <v>8444.5830978028425</v>
      </c>
    </row>
    <row r="54" spans="1:4" ht="15.75" customHeight="1">
      <c r="A54" s="107">
        <f t="shared" si="0"/>
        <v>42</v>
      </c>
      <c r="B54" s="137">
        <v>8260</v>
      </c>
      <c r="C54" s="138" t="s">
        <v>361</v>
      </c>
      <c r="D54" s="121">
        <f>'C.2.2 B 09'!P55</f>
        <v>400</v>
      </c>
    </row>
    <row r="55" spans="1:4" ht="15.75" customHeight="1">
      <c r="A55" s="107">
        <f t="shared" si="0"/>
        <v>43</v>
      </c>
      <c r="B55" s="122"/>
      <c r="C55" s="134" t="s">
        <v>113</v>
      </c>
      <c r="D55" s="116">
        <f>SUM(D44:D54)</f>
        <v>229632.0935294971</v>
      </c>
    </row>
    <row r="56" spans="1:4" ht="15.75" customHeight="1">
      <c r="A56" s="107">
        <f t="shared" si="0"/>
        <v>44</v>
      </c>
      <c r="B56" s="122"/>
      <c r="C56" s="101"/>
      <c r="D56" s="120"/>
    </row>
    <row r="57" spans="1:4" ht="15.75" customHeight="1">
      <c r="A57" s="107">
        <f t="shared" si="0"/>
        <v>45</v>
      </c>
      <c r="B57" s="122"/>
      <c r="C57" s="130" t="s">
        <v>114</v>
      </c>
      <c r="D57" s="120"/>
    </row>
    <row r="58" spans="1:4" ht="15.75" customHeight="1">
      <c r="A58" s="107">
        <f t="shared" si="0"/>
        <v>46</v>
      </c>
      <c r="B58" s="137">
        <v>8310</v>
      </c>
      <c r="C58" s="138" t="s">
        <v>115</v>
      </c>
      <c r="D58" s="136">
        <f>'C.2.2 B 09'!P56</f>
        <v>10801.086268453559</v>
      </c>
    </row>
    <row r="59" spans="1:4" ht="15.75" customHeight="1">
      <c r="A59" s="107">
        <f t="shared" si="0"/>
        <v>47</v>
      </c>
      <c r="B59" s="137">
        <v>8320</v>
      </c>
      <c r="C59" s="138" t="s">
        <v>116</v>
      </c>
      <c r="D59" s="133">
        <v>0</v>
      </c>
    </row>
    <row r="60" spans="1:4" ht="15.75" customHeight="1">
      <c r="A60" s="107">
        <f t="shared" si="0"/>
        <v>48</v>
      </c>
      <c r="B60" s="137">
        <v>8340</v>
      </c>
      <c r="C60" s="138" t="s">
        <v>117</v>
      </c>
      <c r="D60" s="133">
        <f>'C.2.2 B 09'!P57</f>
        <v>2828.4917387110299</v>
      </c>
    </row>
    <row r="61" spans="1:4" ht="15.75" customHeight="1">
      <c r="A61" s="107">
        <f t="shared" si="0"/>
        <v>49</v>
      </c>
      <c r="B61" s="137">
        <v>8350</v>
      </c>
      <c r="C61" s="138" t="s">
        <v>118</v>
      </c>
      <c r="D61" s="133">
        <f>'C.2.2 B 09'!P58</f>
        <v>1371.2288769645941</v>
      </c>
    </row>
    <row r="62" spans="1:4" ht="15.75" customHeight="1">
      <c r="A62" s="107">
        <f t="shared" si="0"/>
        <v>50</v>
      </c>
      <c r="B62" s="137">
        <v>8360</v>
      </c>
      <c r="C62" s="138" t="s">
        <v>119</v>
      </c>
      <c r="D62" s="133">
        <f>'C.2.2 B 09'!P59</f>
        <v>146.0581822378756</v>
      </c>
    </row>
    <row r="63" spans="1:4" ht="15.75" customHeight="1">
      <c r="A63" s="107">
        <f t="shared" si="0"/>
        <v>51</v>
      </c>
      <c r="B63" s="137">
        <v>8370</v>
      </c>
      <c r="C63" s="138" t="s">
        <v>120</v>
      </c>
      <c r="D63" s="133">
        <f>'C.2.2 B 09'!P60</f>
        <v>0</v>
      </c>
    </row>
    <row r="64" spans="1:4" ht="15.75" customHeight="1">
      <c r="A64" s="107">
        <f t="shared" si="0"/>
        <v>52</v>
      </c>
      <c r="B64" s="139" t="s">
        <v>121</v>
      </c>
      <c r="C64" s="138" t="s">
        <v>122</v>
      </c>
      <c r="D64" s="133">
        <f>'C.2.2 B 09'!P61</f>
        <v>121938.54567990615</v>
      </c>
    </row>
    <row r="65" spans="1:7" ht="15.75" customHeight="1">
      <c r="A65" s="107">
        <f t="shared" si="0"/>
        <v>53</v>
      </c>
      <c r="B65" s="122"/>
      <c r="C65" s="134" t="s">
        <v>123</v>
      </c>
      <c r="D65" s="127">
        <f>SUM(D58:D64)</f>
        <v>137085.41074627321</v>
      </c>
    </row>
    <row r="66" spans="1:7" ht="15.75" customHeight="1">
      <c r="A66" s="107">
        <f t="shared" si="0"/>
        <v>54</v>
      </c>
      <c r="B66" s="122"/>
      <c r="C66" s="101"/>
      <c r="D66" s="120"/>
    </row>
    <row r="67" spans="1:7" ht="15.75" customHeight="1">
      <c r="A67" s="107">
        <f t="shared" si="0"/>
        <v>55</v>
      </c>
      <c r="B67" s="122"/>
      <c r="C67" s="130" t="s">
        <v>124</v>
      </c>
      <c r="D67" s="120"/>
    </row>
    <row r="68" spans="1:7" ht="15.75" customHeight="1">
      <c r="A68" s="107">
        <f t="shared" si="0"/>
        <v>56</v>
      </c>
      <c r="B68" s="137">
        <v>8500</v>
      </c>
      <c r="C68" s="138" t="s">
        <v>103</v>
      </c>
      <c r="D68" s="136">
        <v>0</v>
      </c>
    </row>
    <row r="69" spans="1:7" ht="15.75" customHeight="1">
      <c r="A69" s="107">
        <f t="shared" si="0"/>
        <v>57</v>
      </c>
      <c r="B69" s="137">
        <v>8520</v>
      </c>
      <c r="C69" s="138" t="s">
        <v>125</v>
      </c>
      <c r="D69" s="133">
        <f>'C.2.2 B 09'!P62</f>
        <v>0</v>
      </c>
      <c r="G69" s="140"/>
    </row>
    <row r="70" spans="1:7" ht="15.75" customHeight="1">
      <c r="A70" s="107">
        <f t="shared" si="0"/>
        <v>58</v>
      </c>
      <c r="B70" s="137">
        <v>8550</v>
      </c>
      <c r="C70" s="138" t="s">
        <v>126</v>
      </c>
      <c r="D70" s="133">
        <f>'C.2.2 B 09'!P63</f>
        <v>189.88693746526786</v>
      </c>
      <c r="G70" s="140"/>
    </row>
    <row r="71" spans="1:7" ht="15.75" customHeight="1">
      <c r="A71" s="107">
        <f t="shared" si="0"/>
        <v>59</v>
      </c>
      <c r="B71" s="137">
        <v>8560</v>
      </c>
      <c r="C71" s="138" t="s">
        <v>127</v>
      </c>
      <c r="D71" s="133">
        <f>'C.2.2 B 09'!P64</f>
        <v>325421.02731891064</v>
      </c>
    </row>
    <row r="72" spans="1:7" ht="15.75" customHeight="1">
      <c r="A72" s="107">
        <f t="shared" si="0"/>
        <v>60</v>
      </c>
      <c r="B72" s="137">
        <v>8570</v>
      </c>
      <c r="C72" s="138" t="s">
        <v>128</v>
      </c>
      <c r="D72" s="133">
        <f>'C.2.2 B 09'!P65</f>
        <v>38881.010619177861</v>
      </c>
    </row>
    <row r="73" spans="1:7" ht="15.75" customHeight="1">
      <c r="A73" s="107">
        <f t="shared" si="0"/>
        <v>61</v>
      </c>
      <c r="B73" s="137">
        <v>8590</v>
      </c>
      <c r="C73" s="138" t="s">
        <v>129</v>
      </c>
      <c r="D73" s="133">
        <f>'C.2.2 B 09'!P66</f>
        <v>924.03</v>
      </c>
    </row>
    <row r="74" spans="1:7" ht="15.75" customHeight="1">
      <c r="A74" s="107">
        <f t="shared" si="0"/>
        <v>62</v>
      </c>
      <c r="B74" s="137">
        <v>8600</v>
      </c>
      <c r="C74" s="138" t="s">
        <v>130</v>
      </c>
      <c r="D74" s="121">
        <v>0</v>
      </c>
    </row>
    <row r="75" spans="1:7" ht="15.75" customHeight="1">
      <c r="A75" s="107">
        <f t="shared" si="0"/>
        <v>63</v>
      </c>
      <c r="B75" s="122"/>
      <c r="C75" s="134" t="s">
        <v>131</v>
      </c>
      <c r="D75" s="116">
        <f>SUM(D68:D74)</f>
        <v>365415.95487555384</v>
      </c>
    </row>
    <row r="76" spans="1:7" ht="15.75" customHeight="1">
      <c r="A76" s="107">
        <f t="shared" si="0"/>
        <v>64</v>
      </c>
      <c r="B76" s="122"/>
      <c r="C76" s="101"/>
      <c r="D76" s="120"/>
    </row>
    <row r="77" spans="1:7" ht="15.75" customHeight="1">
      <c r="A77" s="107">
        <f t="shared" si="0"/>
        <v>65</v>
      </c>
      <c r="B77" s="122"/>
      <c r="C77" s="130" t="s">
        <v>132</v>
      </c>
      <c r="D77" s="120"/>
    </row>
    <row r="78" spans="1:7" ht="15.75" customHeight="1">
      <c r="A78" s="107">
        <f t="shared" si="0"/>
        <v>66</v>
      </c>
      <c r="B78" s="137">
        <v>8620</v>
      </c>
      <c r="C78" s="138" t="s">
        <v>133</v>
      </c>
      <c r="D78" s="136">
        <v>0</v>
      </c>
    </row>
    <row r="79" spans="1:7" ht="15.75" customHeight="1">
      <c r="A79" s="107">
        <f t="shared" si="0"/>
        <v>67</v>
      </c>
      <c r="B79" s="137">
        <v>8630</v>
      </c>
      <c r="C79" s="138" t="s">
        <v>134</v>
      </c>
      <c r="D79" s="133">
        <f>'C.2.2 B 09'!P67</f>
        <v>7994.4441147513644</v>
      </c>
    </row>
    <row r="80" spans="1:7" ht="15.75" customHeight="1">
      <c r="A80" s="107">
        <f t="shared" ref="A80:A143" si="1">A79+1</f>
        <v>68</v>
      </c>
      <c r="B80" s="137">
        <v>8640</v>
      </c>
      <c r="C80" s="138" t="s">
        <v>135</v>
      </c>
      <c r="D80" s="133">
        <f>'C.2.2 B 09'!P68</f>
        <v>0</v>
      </c>
    </row>
    <row r="81" spans="1:5" ht="15.75" customHeight="1">
      <c r="A81" s="107">
        <f t="shared" si="1"/>
        <v>69</v>
      </c>
      <c r="B81" s="137">
        <v>8650</v>
      </c>
      <c r="C81" s="138" t="s">
        <v>136</v>
      </c>
      <c r="D81" s="133">
        <f>'C.2.2 B 09'!P69</f>
        <v>3443.6076145939119</v>
      </c>
    </row>
    <row r="82" spans="1:5" ht="15.75" customHeight="1">
      <c r="A82" s="107">
        <f t="shared" si="1"/>
        <v>70</v>
      </c>
      <c r="B82" s="137">
        <v>8670</v>
      </c>
      <c r="C82" s="138" t="s">
        <v>137</v>
      </c>
      <c r="D82" s="121">
        <v>0</v>
      </c>
    </row>
    <row r="83" spans="1:5" ht="15.75" customHeight="1">
      <c r="A83" s="107">
        <f t="shared" si="1"/>
        <v>71</v>
      </c>
      <c r="B83" s="122"/>
      <c r="C83" s="134" t="s">
        <v>138</v>
      </c>
      <c r="D83" s="116">
        <f>SUM(D78:D82)</f>
        <v>11438.051729345276</v>
      </c>
    </row>
    <row r="84" spans="1:5" ht="15.75" customHeight="1">
      <c r="A84" s="107">
        <f t="shared" si="1"/>
        <v>72</v>
      </c>
      <c r="B84" s="122"/>
      <c r="C84" s="101"/>
      <c r="D84" s="120"/>
    </row>
    <row r="85" spans="1:5" ht="15.75" customHeight="1">
      <c r="A85" s="107">
        <f t="shared" si="1"/>
        <v>73</v>
      </c>
      <c r="B85" s="122"/>
      <c r="C85" s="130" t="s">
        <v>139</v>
      </c>
      <c r="D85" s="123"/>
    </row>
    <row r="86" spans="1:5" ht="15.75" customHeight="1">
      <c r="A86" s="107">
        <f t="shared" si="1"/>
        <v>74</v>
      </c>
      <c r="B86" s="114">
        <v>8001</v>
      </c>
      <c r="C86" s="115" t="s">
        <v>140</v>
      </c>
      <c r="D86" s="136">
        <f>'C.2.2 B 09'!P31</f>
        <v>1561360.8075360099</v>
      </c>
      <c r="E86" s="141"/>
    </row>
    <row r="87" spans="1:5" ht="15.75" customHeight="1">
      <c r="A87" s="107">
        <f t="shared" si="1"/>
        <v>75</v>
      </c>
      <c r="B87" s="114">
        <v>8010</v>
      </c>
      <c r="C87" s="142" t="s">
        <v>141</v>
      </c>
      <c r="D87" s="133">
        <f>'C.2.2 B 09'!P32</f>
        <v>68230.46718718698</v>
      </c>
      <c r="E87" s="141"/>
    </row>
    <row r="88" spans="1:5" ht="15.75" customHeight="1">
      <c r="A88" s="107">
        <f t="shared" si="1"/>
        <v>76</v>
      </c>
      <c r="B88" s="114">
        <v>8040</v>
      </c>
      <c r="C88" s="108" t="s">
        <v>142</v>
      </c>
      <c r="D88" s="133">
        <f>'C.2.2 B 09'!P33</f>
        <v>45106590.626363546</v>
      </c>
      <c r="E88" s="141"/>
    </row>
    <row r="89" spans="1:5" ht="15.75" customHeight="1">
      <c r="A89" s="107">
        <f t="shared" si="1"/>
        <v>77</v>
      </c>
      <c r="B89" s="114">
        <v>8045</v>
      </c>
      <c r="C89" s="108" t="s">
        <v>143</v>
      </c>
      <c r="D89" s="133">
        <v>0</v>
      </c>
      <c r="E89" s="141"/>
    </row>
    <row r="90" spans="1:5" ht="15.75" customHeight="1">
      <c r="A90" s="107">
        <f t="shared" si="1"/>
        <v>78</v>
      </c>
      <c r="B90" s="114">
        <v>8050</v>
      </c>
      <c r="C90" s="115" t="s">
        <v>144</v>
      </c>
      <c r="D90" s="133">
        <f>'C.2.2 B 09'!P34</f>
        <v>15432.602843579178</v>
      </c>
      <c r="E90" s="141"/>
    </row>
    <row r="91" spans="1:5" ht="15.75" customHeight="1">
      <c r="A91" s="107">
        <f t="shared" si="1"/>
        <v>79</v>
      </c>
      <c r="B91" s="114">
        <v>8051</v>
      </c>
      <c r="C91" s="108" t="s">
        <v>145</v>
      </c>
      <c r="D91" s="133">
        <f>'C.2.2 B 09'!P35</f>
        <v>44974882.294034071</v>
      </c>
      <c r="E91" s="141"/>
    </row>
    <row r="92" spans="1:5" ht="15.75" customHeight="1">
      <c r="A92" s="107">
        <f t="shared" si="1"/>
        <v>80</v>
      </c>
      <c r="B92" s="114">
        <v>8052</v>
      </c>
      <c r="C92" s="108" t="s">
        <v>146</v>
      </c>
      <c r="D92" s="133">
        <f>'C.2.2 B 09'!P36</f>
        <v>22166265.395189252</v>
      </c>
      <c r="E92" s="141"/>
    </row>
    <row r="93" spans="1:5" ht="15.75" customHeight="1">
      <c r="A93" s="107">
        <f t="shared" si="1"/>
        <v>81</v>
      </c>
      <c r="B93" s="114">
        <v>8053</v>
      </c>
      <c r="C93" s="108" t="s">
        <v>147</v>
      </c>
      <c r="D93" s="133">
        <f>'C.2.2 B 09'!P37</f>
        <v>3982522.3617021395</v>
      </c>
      <c r="E93" s="141"/>
    </row>
    <row r="94" spans="1:5" ht="15.75" customHeight="1">
      <c r="A94" s="107">
        <f t="shared" si="1"/>
        <v>82</v>
      </c>
      <c r="B94" s="114">
        <v>8054</v>
      </c>
      <c r="C94" s="108" t="s">
        <v>148</v>
      </c>
      <c r="D94" s="133">
        <f>'C.2.2 B 09'!P38</f>
        <v>4691620.3647564696</v>
      </c>
      <c r="E94" s="141"/>
    </row>
    <row r="95" spans="1:5" ht="15.75" customHeight="1">
      <c r="A95" s="107">
        <f t="shared" si="1"/>
        <v>83</v>
      </c>
      <c r="B95" s="114">
        <v>8057</v>
      </c>
      <c r="C95" s="108" t="s">
        <v>149</v>
      </c>
      <c r="D95" s="133">
        <v>0</v>
      </c>
      <c r="E95" s="141"/>
    </row>
    <row r="96" spans="1:5" ht="15.75" customHeight="1">
      <c r="A96" s="107">
        <f t="shared" si="1"/>
        <v>84</v>
      </c>
      <c r="B96" s="114">
        <v>8058</v>
      </c>
      <c r="C96" s="108" t="s">
        <v>150</v>
      </c>
      <c r="D96" s="133">
        <f>'C.2.2 B 09'!P39</f>
        <v>-2186893.3968058443</v>
      </c>
      <c r="E96" s="141"/>
    </row>
    <row r="97" spans="1:6" ht="15.75" customHeight="1">
      <c r="A97" s="107">
        <f t="shared" si="1"/>
        <v>85</v>
      </c>
      <c r="B97" s="114">
        <v>8059</v>
      </c>
      <c r="C97" s="108" t="s">
        <v>151</v>
      </c>
      <c r="D97" s="133">
        <f>'C.2.2 B 09'!P40</f>
        <v>-72677716.739183843</v>
      </c>
      <c r="E97" s="141"/>
    </row>
    <row r="98" spans="1:6" ht="15.75" customHeight="1">
      <c r="A98" s="107">
        <f t="shared" si="1"/>
        <v>86</v>
      </c>
      <c r="B98" s="114">
        <v>8060</v>
      </c>
      <c r="C98" s="108" t="s">
        <v>152</v>
      </c>
      <c r="D98" s="133">
        <f>'C.2.2 B 09'!P41</f>
        <v>-1417050.2554435816</v>
      </c>
      <c r="E98" s="141"/>
    </row>
    <row r="99" spans="1:6" ht="15.75" customHeight="1">
      <c r="A99" s="107">
        <f t="shared" si="1"/>
        <v>87</v>
      </c>
      <c r="B99" s="114">
        <v>8081</v>
      </c>
      <c r="C99" s="108" t="s">
        <v>153</v>
      </c>
      <c r="D99" s="133">
        <f>'C.2.2 B 09'!P42</f>
        <v>19310607.80861377</v>
      </c>
      <c r="E99" s="141"/>
    </row>
    <row r="100" spans="1:6" ht="15.75" customHeight="1">
      <c r="A100" s="107">
        <f t="shared" si="1"/>
        <v>88</v>
      </c>
      <c r="B100" s="114">
        <v>8082</v>
      </c>
      <c r="C100" s="108" t="s">
        <v>154</v>
      </c>
      <c r="D100" s="133">
        <f>'C.2.2 B 09'!P43</f>
        <v>-14991042.689889101</v>
      </c>
      <c r="E100" s="141"/>
    </row>
    <row r="101" spans="1:6" ht="15.75" customHeight="1">
      <c r="A101" s="107">
        <f t="shared" si="1"/>
        <v>89</v>
      </c>
      <c r="B101" s="114">
        <v>8110</v>
      </c>
      <c r="C101" s="108" t="s">
        <v>155</v>
      </c>
      <c r="D101" s="133">
        <v>0</v>
      </c>
      <c r="E101" s="141"/>
    </row>
    <row r="102" spans="1:6" ht="15.75" customHeight="1">
      <c r="A102" s="107">
        <f t="shared" si="1"/>
        <v>90</v>
      </c>
      <c r="B102" s="114">
        <v>8120</v>
      </c>
      <c r="C102" s="108" t="s">
        <v>156</v>
      </c>
      <c r="D102" s="133">
        <f>'C.2.2 B 09'!P44</f>
        <v>-13938.54249059201</v>
      </c>
      <c r="E102" s="141"/>
    </row>
    <row r="103" spans="1:6" ht="15.75" customHeight="1">
      <c r="A103" s="107">
        <f t="shared" si="1"/>
        <v>91</v>
      </c>
      <c r="B103" s="114">
        <v>8130</v>
      </c>
      <c r="C103" s="108" t="s">
        <v>156</v>
      </c>
      <c r="D103" s="133">
        <v>0</v>
      </c>
      <c r="E103" s="141"/>
    </row>
    <row r="104" spans="1:6" ht="15.75" customHeight="1">
      <c r="A104" s="107">
        <f t="shared" si="1"/>
        <v>92</v>
      </c>
      <c r="B104" s="114">
        <v>8580</v>
      </c>
      <c r="C104" s="108" t="s">
        <v>157</v>
      </c>
      <c r="D104" s="121">
        <f>'C.2.2 B 09'!P45</f>
        <v>23023587.371972438</v>
      </c>
      <c r="E104" s="141"/>
      <c r="F104" s="75"/>
    </row>
    <row r="105" spans="1:6" ht="15.75" customHeight="1">
      <c r="A105" s="107">
        <f t="shared" si="1"/>
        <v>93</v>
      </c>
      <c r="B105" s="122"/>
      <c r="C105" s="143" t="s">
        <v>158</v>
      </c>
      <c r="D105" s="116">
        <f>SUM(D86:D104)</f>
        <v>73614458.476385504</v>
      </c>
      <c r="F105" s="144"/>
    </row>
    <row r="106" spans="1:6" ht="15.75" customHeight="1">
      <c r="A106" s="107">
        <f t="shared" si="1"/>
        <v>94</v>
      </c>
      <c r="B106" s="122"/>
      <c r="D106" s="131"/>
    </row>
    <row r="107" spans="1:6" ht="15.75" customHeight="1">
      <c r="A107" s="107">
        <f t="shared" si="1"/>
        <v>95</v>
      </c>
      <c r="B107" s="122"/>
      <c r="C107" s="130" t="s">
        <v>159</v>
      </c>
      <c r="D107" s="131"/>
    </row>
    <row r="108" spans="1:6" ht="15.75" customHeight="1">
      <c r="A108" s="107">
        <f t="shared" si="1"/>
        <v>96</v>
      </c>
      <c r="B108" s="114">
        <v>8700</v>
      </c>
      <c r="C108" s="115" t="s">
        <v>160</v>
      </c>
      <c r="D108" s="136">
        <f>'C.2.2 B 09'!P70</f>
        <v>1275232.3110796788</v>
      </c>
    </row>
    <row r="109" spans="1:6" ht="15.75" customHeight="1">
      <c r="A109" s="107">
        <f t="shared" si="1"/>
        <v>97</v>
      </c>
      <c r="B109" s="114">
        <v>8710</v>
      </c>
      <c r="C109" s="115" t="s">
        <v>161</v>
      </c>
      <c r="D109" s="133">
        <f>'C.2.2 B 09'!P71</f>
        <v>4677.5161504569805</v>
      </c>
    </row>
    <row r="110" spans="1:6" ht="15.75" customHeight="1">
      <c r="A110" s="107">
        <f t="shared" si="1"/>
        <v>98</v>
      </c>
      <c r="B110" s="114">
        <v>8711</v>
      </c>
      <c r="C110" s="108" t="s">
        <v>162</v>
      </c>
      <c r="D110" s="133">
        <f>'C.2.2 B 09'!P72</f>
        <v>13022.067919847217</v>
      </c>
    </row>
    <row r="111" spans="1:6" ht="15.75" customHeight="1">
      <c r="A111" s="107">
        <f t="shared" si="1"/>
        <v>99</v>
      </c>
      <c r="B111" s="114">
        <v>8720</v>
      </c>
      <c r="C111" s="115" t="s">
        <v>163</v>
      </c>
      <c r="D111" s="133">
        <f>'C.2.2 B 09'!P73</f>
        <v>0</v>
      </c>
    </row>
    <row r="112" spans="1:6" ht="15.75" customHeight="1">
      <c r="A112" s="107">
        <f t="shared" si="1"/>
        <v>100</v>
      </c>
      <c r="B112" s="114">
        <v>8740</v>
      </c>
      <c r="C112" s="115" t="s">
        <v>164</v>
      </c>
      <c r="D112" s="133">
        <f>'C.2.2 B 09'!P74</f>
        <v>3726693.4578849263</v>
      </c>
    </row>
    <row r="113" spans="1:4" ht="15.75" customHeight="1">
      <c r="A113" s="107">
        <f t="shared" si="1"/>
        <v>101</v>
      </c>
      <c r="B113" s="114">
        <v>8750</v>
      </c>
      <c r="C113" s="115" t="s">
        <v>165</v>
      </c>
      <c r="D113" s="133">
        <f>'C.2.2 B 09'!P75</f>
        <v>420266.82753847376</v>
      </c>
    </row>
    <row r="114" spans="1:4" ht="15.75" customHeight="1">
      <c r="A114" s="107">
        <f t="shared" si="1"/>
        <v>102</v>
      </c>
      <c r="B114" s="114">
        <v>8760</v>
      </c>
      <c r="C114" s="115" t="s">
        <v>166</v>
      </c>
      <c r="D114" s="133">
        <f>'C.2.2 B 09'!P76</f>
        <v>23821.345516171499</v>
      </c>
    </row>
    <row r="115" spans="1:4" ht="15.75" customHeight="1">
      <c r="A115" s="107">
        <f t="shared" si="1"/>
        <v>103</v>
      </c>
      <c r="B115" s="114">
        <v>8770</v>
      </c>
      <c r="C115" s="115" t="s">
        <v>167</v>
      </c>
      <c r="D115" s="133">
        <f>'C.2.2 B 09'!P77</f>
        <v>100928.89484900836</v>
      </c>
    </row>
    <row r="116" spans="1:4" ht="15.75" customHeight="1">
      <c r="A116" s="107">
        <f t="shared" si="1"/>
        <v>104</v>
      </c>
      <c r="B116" s="114">
        <v>8780</v>
      </c>
      <c r="C116" s="115" t="s">
        <v>168</v>
      </c>
      <c r="D116" s="133">
        <f>'C.2.2 B 09'!P78</f>
        <v>1010258.2746537827</v>
      </c>
    </row>
    <row r="117" spans="1:4" ht="15.75" customHeight="1">
      <c r="A117" s="107">
        <f t="shared" si="1"/>
        <v>105</v>
      </c>
      <c r="B117" s="114">
        <v>8790</v>
      </c>
      <c r="C117" s="115" t="s">
        <v>169</v>
      </c>
      <c r="D117" s="133">
        <f>'C.2.2 B 09'!P79</f>
        <v>738.16920058019787</v>
      </c>
    </row>
    <row r="118" spans="1:4" ht="15.75" customHeight="1">
      <c r="A118" s="107">
        <f t="shared" si="1"/>
        <v>106</v>
      </c>
      <c r="B118" s="114">
        <v>8800</v>
      </c>
      <c r="C118" s="115" t="s">
        <v>170</v>
      </c>
      <c r="D118" s="133">
        <f>'C.2.2 B 09'!P80</f>
        <v>176927.88890370019</v>
      </c>
    </row>
    <row r="119" spans="1:4" ht="15.75" customHeight="1">
      <c r="A119" s="107">
        <f t="shared" si="1"/>
        <v>107</v>
      </c>
      <c r="B119" s="114">
        <v>8810</v>
      </c>
      <c r="C119" s="115" t="s">
        <v>130</v>
      </c>
      <c r="D119" s="121">
        <f>'C.2.2 B 09'!P81</f>
        <v>473854.50559384783</v>
      </c>
    </row>
    <row r="120" spans="1:4" ht="15.75" customHeight="1">
      <c r="A120" s="107">
        <f t="shared" si="1"/>
        <v>108</v>
      </c>
      <c r="B120" s="122"/>
      <c r="C120" s="134" t="s">
        <v>171</v>
      </c>
      <c r="D120" s="116">
        <f>SUM(D108:D119)</f>
        <v>7226421.2592904735</v>
      </c>
    </row>
    <row r="121" spans="1:4" ht="15.75" customHeight="1">
      <c r="A121" s="107">
        <f t="shared" si="1"/>
        <v>109</v>
      </c>
      <c r="B121" s="122"/>
      <c r="C121" s="101"/>
      <c r="D121" s="120"/>
    </row>
    <row r="122" spans="1:4" ht="15.75" customHeight="1">
      <c r="A122" s="107">
        <f t="shared" si="1"/>
        <v>110</v>
      </c>
      <c r="B122" s="107"/>
      <c r="C122" s="130" t="s">
        <v>172</v>
      </c>
      <c r="D122" s="123"/>
    </row>
    <row r="123" spans="1:4" ht="15.75" customHeight="1">
      <c r="A123" s="107">
        <f t="shared" si="1"/>
        <v>111</v>
      </c>
      <c r="B123" s="114">
        <v>8850</v>
      </c>
      <c r="C123" s="115" t="s">
        <v>160</v>
      </c>
      <c r="D123" s="136">
        <f>'C.2.2 B 09'!P82</f>
        <v>2043.6372222464349</v>
      </c>
    </row>
    <row r="124" spans="1:4" ht="15.75" customHeight="1">
      <c r="A124" s="107">
        <f t="shared" si="1"/>
        <v>112</v>
      </c>
      <c r="B124" s="114">
        <v>8860</v>
      </c>
      <c r="C124" s="115" t="s">
        <v>133</v>
      </c>
      <c r="D124" s="133">
        <f>'C.2.2 B 09'!P83</f>
        <v>16502.554661098973</v>
      </c>
    </row>
    <row r="125" spans="1:4" ht="15.75" customHeight="1">
      <c r="A125" s="107">
        <f t="shared" si="1"/>
        <v>113</v>
      </c>
      <c r="B125" s="114">
        <v>8870</v>
      </c>
      <c r="C125" s="115" t="s">
        <v>134</v>
      </c>
      <c r="D125" s="133">
        <f>'C.2.2 B 09'!P84</f>
        <v>43845.158142176886</v>
      </c>
    </row>
    <row r="126" spans="1:4" ht="15.75" customHeight="1">
      <c r="A126" s="107">
        <f t="shared" si="1"/>
        <v>114</v>
      </c>
      <c r="B126" s="114">
        <v>8890</v>
      </c>
      <c r="C126" s="115" t="s">
        <v>165</v>
      </c>
      <c r="D126" s="133">
        <f>'C.2.2 B 09'!P85</f>
        <v>7854.1868143442371</v>
      </c>
    </row>
    <row r="127" spans="1:4" ht="15.75" customHeight="1">
      <c r="A127" s="107">
        <f t="shared" si="1"/>
        <v>115</v>
      </c>
      <c r="B127" s="114">
        <v>8900</v>
      </c>
      <c r="C127" s="115" t="s">
        <v>166</v>
      </c>
      <c r="D127" s="133">
        <f>'C.2.2 B 09'!P86</f>
        <v>4573.9141278804354</v>
      </c>
    </row>
    <row r="128" spans="1:4" ht="15.75" customHeight="1">
      <c r="A128" s="107">
        <f t="shared" si="1"/>
        <v>116</v>
      </c>
      <c r="B128" s="114">
        <v>8910</v>
      </c>
      <c r="C128" s="115" t="s">
        <v>167</v>
      </c>
      <c r="D128" s="133">
        <f>'C.2.2 B 09'!P87</f>
        <v>18970.219002606027</v>
      </c>
    </row>
    <row r="129" spans="1:5" ht="15.75" customHeight="1">
      <c r="A129" s="107">
        <f t="shared" si="1"/>
        <v>117</v>
      </c>
      <c r="B129" s="114">
        <v>8920</v>
      </c>
      <c r="C129" s="115" t="s">
        <v>173</v>
      </c>
      <c r="D129" s="133">
        <f>'C.2.2 B 09'!P88</f>
        <v>4000.5288454498223</v>
      </c>
    </row>
    <row r="130" spans="1:5" ht="15.75" customHeight="1">
      <c r="A130" s="107">
        <f t="shared" si="1"/>
        <v>118</v>
      </c>
      <c r="B130" s="114">
        <v>8930</v>
      </c>
      <c r="C130" s="115" t="s">
        <v>174</v>
      </c>
      <c r="D130" s="133">
        <f>'C.2.2 B 09'!P89</f>
        <v>93012.707954692421</v>
      </c>
    </row>
    <row r="131" spans="1:5" ht="15.75" customHeight="1">
      <c r="A131" s="107">
        <f t="shared" si="1"/>
        <v>119</v>
      </c>
      <c r="B131" s="114">
        <v>8940</v>
      </c>
      <c r="C131" s="115" t="s">
        <v>137</v>
      </c>
      <c r="D131" s="133">
        <f>'C.2.2 B 09'!P90</f>
        <v>51334.670715396744</v>
      </c>
    </row>
    <row r="132" spans="1:5" ht="15.75" customHeight="1">
      <c r="A132" s="107">
        <f t="shared" si="1"/>
        <v>120</v>
      </c>
      <c r="B132" s="114">
        <v>8950</v>
      </c>
      <c r="C132" s="115" t="s">
        <v>175</v>
      </c>
      <c r="D132" s="121">
        <v>0</v>
      </c>
    </row>
    <row r="133" spans="1:5" ht="15.75" customHeight="1">
      <c r="A133" s="107">
        <f t="shared" si="1"/>
        <v>121</v>
      </c>
      <c r="B133" s="122"/>
      <c r="C133" s="134" t="s">
        <v>176</v>
      </c>
      <c r="D133" s="116">
        <f>SUM(D123:D132)</f>
        <v>242137.57748589199</v>
      </c>
    </row>
    <row r="134" spans="1:5" ht="15.75" customHeight="1">
      <c r="A134" s="107">
        <f t="shared" si="1"/>
        <v>122</v>
      </c>
      <c r="B134" s="122"/>
      <c r="C134" s="134"/>
      <c r="D134" s="120"/>
    </row>
    <row r="135" spans="1:5" ht="15.75" customHeight="1">
      <c r="A135" s="107">
        <f t="shared" si="1"/>
        <v>123</v>
      </c>
      <c r="B135" s="107"/>
      <c r="C135" s="130" t="s">
        <v>177</v>
      </c>
      <c r="D135" s="123"/>
    </row>
    <row r="136" spans="1:5" ht="15.75" customHeight="1">
      <c r="A136" s="107">
        <f t="shared" si="1"/>
        <v>124</v>
      </c>
      <c r="B136" s="114">
        <v>9010</v>
      </c>
      <c r="C136" s="115" t="s">
        <v>178</v>
      </c>
      <c r="D136" s="136">
        <f>'C.2.2 B 09'!P91</f>
        <v>142.03</v>
      </c>
    </row>
    <row r="137" spans="1:5" ht="15.75" customHeight="1">
      <c r="A137" s="107">
        <f t="shared" si="1"/>
        <v>125</v>
      </c>
      <c r="B137" s="114">
        <v>9020</v>
      </c>
      <c r="C137" s="115" t="s">
        <v>179</v>
      </c>
      <c r="D137" s="133">
        <f>'C.2.2 B 09'!P92</f>
        <v>1320615.5910584368</v>
      </c>
    </row>
    <row r="138" spans="1:5" ht="15.75" customHeight="1">
      <c r="A138" s="107">
        <f t="shared" si="1"/>
        <v>126</v>
      </c>
      <c r="B138" s="114">
        <v>9030</v>
      </c>
      <c r="C138" s="115" t="s">
        <v>180</v>
      </c>
      <c r="D138" s="133">
        <f>'C.2.2 B 09'!P93</f>
        <v>406290.19677751797</v>
      </c>
    </row>
    <row r="139" spans="1:5" ht="15.75" customHeight="1">
      <c r="A139" s="107">
        <f t="shared" si="1"/>
        <v>127</v>
      </c>
      <c r="B139" s="114">
        <v>9040</v>
      </c>
      <c r="C139" s="115" t="s">
        <v>181</v>
      </c>
      <c r="D139" s="121">
        <f>'C.2.2 B 09'!P94</f>
        <v>1051756.7699</v>
      </c>
      <c r="E139" s="145"/>
    </row>
    <row r="140" spans="1:5" ht="15.75" customHeight="1">
      <c r="A140" s="107">
        <f t="shared" si="1"/>
        <v>128</v>
      </c>
      <c r="B140" s="107"/>
      <c r="C140" s="134" t="s">
        <v>182</v>
      </c>
      <c r="D140" s="116">
        <f>SUM(D136:D139)</f>
        <v>2778804.5877359547</v>
      </c>
    </row>
    <row r="141" spans="1:5" ht="15.75" customHeight="1">
      <c r="A141" s="107">
        <f t="shared" si="1"/>
        <v>129</v>
      </c>
      <c r="B141" s="122"/>
      <c r="C141" s="134"/>
      <c r="D141" s="120"/>
    </row>
    <row r="142" spans="1:5" ht="15.75" customHeight="1">
      <c r="A142" s="107">
        <f t="shared" si="1"/>
        <v>130</v>
      </c>
      <c r="B142" s="122"/>
      <c r="C142" s="130" t="s">
        <v>183</v>
      </c>
      <c r="D142" s="131"/>
    </row>
    <row r="143" spans="1:5" ht="15.75" customHeight="1">
      <c r="A143" s="107">
        <f t="shared" si="1"/>
        <v>131</v>
      </c>
      <c r="B143" s="114">
        <v>9070</v>
      </c>
      <c r="C143" s="115" t="s">
        <v>178</v>
      </c>
      <c r="D143" s="136">
        <v>0</v>
      </c>
    </row>
    <row r="144" spans="1:5" ht="15.75" customHeight="1">
      <c r="A144" s="107">
        <f t="shared" ref="A144:A182" si="2">A143+1</f>
        <v>132</v>
      </c>
      <c r="B144" s="114">
        <v>9080</v>
      </c>
      <c r="C144" s="115" t="s">
        <v>184</v>
      </c>
      <c r="D144" s="133">
        <v>0</v>
      </c>
    </row>
    <row r="145" spans="1:4" ht="15.75" customHeight="1">
      <c r="A145" s="107">
        <f t="shared" si="2"/>
        <v>133</v>
      </c>
      <c r="B145" s="114">
        <v>9090</v>
      </c>
      <c r="C145" s="115" t="s">
        <v>185</v>
      </c>
      <c r="D145" s="133">
        <f>'C.2.2 B 09'!P95</f>
        <v>127994.72050980106</v>
      </c>
    </row>
    <row r="146" spans="1:4" ht="15.75" customHeight="1">
      <c r="A146" s="107">
        <f t="shared" si="2"/>
        <v>134</v>
      </c>
      <c r="B146" s="114">
        <v>9100</v>
      </c>
      <c r="C146" s="115" t="s">
        <v>186</v>
      </c>
      <c r="D146" s="121">
        <f>'C.2.2 B 09'!P96</f>
        <v>95.995414318812834</v>
      </c>
    </row>
    <row r="147" spans="1:4" ht="15.75" customHeight="1">
      <c r="A147" s="107">
        <f t="shared" si="2"/>
        <v>135</v>
      </c>
      <c r="B147" s="107"/>
      <c r="C147" s="134" t="s">
        <v>187</v>
      </c>
      <c r="D147" s="116">
        <f>SUM(D143:D146)</f>
        <v>128090.71592411987</v>
      </c>
    </row>
    <row r="148" spans="1:4" ht="15.75" customHeight="1">
      <c r="A148" s="107">
        <f t="shared" si="2"/>
        <v>136</v>
      </c>
      <c r="B148" s="107"/>
      <c r="C148" s="111"/>
      <c r="D148" s="123"/>
    </row>
    <row r="149" spans="1:4" ht="15.75" customHeight="1">
      <c r="A149" s="107">
        <f t="shared" si="2"/>
        <v>137</v>
      </c>
      <c r="B149" s="107"/>
      <c r="C149" s="130" t="s">
        <v>59</v>
      </c>
      <c r="D149" s="123"/>
    </row>
    <row r="150" spans="1:4" ht="15.75" customHeight="1">
      <c r="A150" s="107">
        <f t="shared" si="2"/>
        <v>138</v>
      </c>
      <c r="B150" s="114">
        <v>9110</v>
      </c>
      <c r="C150" s="115" t="s">
        <v>178</v>
      </c>
      <c r="D150" s="136">
        <f>'C.2.2 B 09'!P97</f>
        <v>250735.01552953714</v>
      </c>
    </row>
    <row r="151" spans="1:4" ht="15.75" customHeight="1">
      <c r="A151" s="107">
        <f t="shared" si="2"/>
        <v>139</v>
      </c>
      <c r="B151" s="114">
        <v>9120</v>
      </c>
      <c r="C151" s="115" t="s">
        <v>188</v>
      </c>
      <c r="D151" s="133">
        <f>'C.2.2 B 09'!P98</f>
        <v>75120.036946187363</v>
      </c>
    </row>
    <row r="152" spans="1:4" ht="15.75" customHeight="1">
      <c r="A152" s="107">
        <f t="shared" si="2"/>
        <v>140</v>
      </c>
      <c r="B152" s="114">
        <v>9130</v>
      </c>
      <c r="C152" s="115" t="s">
        <v>189</v>
      </c>
      <c r="D152" s="133">
        <f>'C.2.2 B 09'!P99</f>
        <v>25942.366790986314</v>
      </c>
    </row>
    <row r="153" spans="1:4" ht="15.75" customHeight="1">
      <c r="A153" s="107">
        <f t="shared" si="2"/>
        <v>141</v>
      </c>
      <c r="B153" s="114">
        <v>9160</v>
      </c>
      <c r="C153" s="115" t="s">
        <v>190</v>
      </c>
      <c r="D153" s="121">
        <v>0</v>
      </c>
    </row>
    <row r="154" spans="1:4" ht="15.75" customHeight="1">
      <c r="A154" s="107">
        <f t="shared" si="2"/>
        <v>142</v>
      </c>
      <c r="B154" s="107"/>
      <c r="C154" s="134" t="s">
        <v>191</v>
      </c>
      <c r="D154" s="116">
        <f>SUM(D150:D153)</f>
        <v>351797.41926671081</v>
      </c>
    </row>
    <row r="155" spans="1:4" ht="15.75" customHeight="1">
      <c r="A155" s="107">
        <f t="shared" si="2"/>
        <v>143</v>
      </c>
      <c r="B155" s="122"/>
      <c r="D155" s="123"/>
    </row>
    <row r="156" spans="1:4" ht="15.75" customHeight="1">
      <c r="A156" s="107">
        <f t="shared" si="2"/>
        <v>144</v>
      </c>
      <c r="B156" s="107"/>
      <c r="C156" s="130" t="s">
        <v>192</v>
      </c>
      <c r="D156" s="123"/>
    </row>
    <row r="157" spans="1:4" ht="15.75" customHeight="1">
      <c r="A157" s="107">
        <f t="shared" si="2"/>
        <v>145</v>
      </c>
      <c r="B157" s="114">
        <v>9200</v>
      </c>
      <c r="C157" s="115" t="s">
        <v>193</v>
      </c>
      <c r="D157" s="136">
        <f>'C.2.2 B 09'!P100</f>
        <v>134763.94795298809</v>
      </c>
    </row>
    <row r="158" spans="1:4" ht="15.75" customHeight="1">
      <c r="A158" s="107">
        <f t="shared" si="2"/>
        <v>146</v>
      </c>
      <c r="B158" s="114">
        <v>9210</v>
      </c>
      <c r="C158" s="115" t="s">
        <v>194</v>
      </c>
      <c r="D158" s="133">
        <f>'C.2.2 B 09'!P101</f>
        <v>9010.0929525429528</v>
      </c>
    </row>
    <row r="159" spans="1:4" ht="15.75" customHeight="1">
      <c r="A159" s="107">
        <f t="shared" si="2"/>
        <v>147</v>
      </c>
      <c r="B159" s="114">
        <v>9220</v>
      </c>
      <c r="C159" s="115" t="s">
        <v>195</v>
      </c>
      <c r="D159" s="133">
        <f>'C.2.2 B 09'!P102</f>
        <v>12807870.795022819</v>
      </c>
    </row>
    <row r="160" spans="1:4" ht="15.75" customHeight="1">
      <c r="A160" s="107">
        <f t="shared" si="2"/>
        <v>148</v>
      </c>
      <c r="B160" s="114">
        <v>9230</v>
      </c>
      <c r="C160" s="115" t="s">
        <v>196</v>
      </c>
      <c r="D160" s="133">
        <f>'C.2.2 B 09'!P103</f>
        <v>283897.58129342448</v>
      </c>
    </row>
    <row r="161" spans="1:7" ht="15.75" customHeight="1">
      <c r="A161" s="107">
        <f t="shared" si="2"/>
        <v>149</v>
      </c>
      <c r="B161" s="114">
        <v>9240</v>
      </c>
      <c r="C161" s="115" t="s">
        <v>197</v>
      </c>
      <c r="D161" s="133">
        <f>'C.2.2 B 09'!P104</f>
        <v>147611.21987320099</v>
      </c>
    </row>
    <row r="162" spans="1:7" ht="15.75" customHeight="1">
      <c r="A162" s="107">
        <f t="shared" si="2"/>
        <v>150</v>
      </c>
      <c r="B162" s="114">
        <v>9250</v>
      </c>
      <c r="C162" s="115" t="s">
        <v>198</v>
      </c>
      <c r="D162" s="133">
        <f>'C.2.2 B 09'!P105</f>
        <v>221626.95530173334</v>
      </c>
    </row>
    <row r="163" spans="1:7" ht="15.75" customHeight="1">
      <c r="A163" s="107">
        <f t="shared" si="2"/>
        <v>151</v>
      </c>
      <c r="B163" s="114">
        <v>9260</v>
      </c>
      <c r="C163" s="115" t="s">
        <v>199</v>
      </c>
      <c r="D163" s="133">
        <f>'C.2.2 B 09'!P106</f>
        <v>2226557.6188066518</v>
      </c>
    </row>
    <row r="164" spans="1:7" ht="15.75" customHeight="1">
      <c r="A164" s="107">
        <f t="shared" si="2"/>
        <v>152</v>
      </c>
      <c r="B164" s="114">
        <v>9270</v>
      </c>
      <c r="C164" s="115" t="s">
        <v>200</v>
      </c>
      <c r="D164" s="133">
        <f>'C.2.2 B 09'!P107</f>
        <v>327.52812977134988</v>
      </c>
    </row>
    <row r="165" spans="1:7" ht="15.75" customHeight="1">
      <c r="A165" s="107">
        <f t="shared" si="2"/>
        <v>153</v>
      </c>
      <c r="B165" s="114">
        <v>9280</v>
      </c>
      <c r="C165" s="115" t="s">
        <v>201</v>
      </c>
      <c r="D165" s="133">
        <f>'C.2.2 B 09'!P108</f>
        <v>167986.93725018663</v>
      </c>
    </row>
    <row r="166" spans="1:7" ht="15.75" customHeight="1">
      <c r="A166" s="107">
        <f t="shared" si="2"/>
        <v>154</v>
      </c>
      <c r="B166" s="146">
        <v>930.2</v>
      </c>
      <c r="C166" s="115" t="s">
        <v>202</v>
      </c>
      <c r="D166" s="133">
        <f>'C.2.2 B 09'!P109</f>
        <v>52520.353480575737</v>
      </c>
    </row>
    <row r="167" spans="1:7" ht="15.75" customHeight="1">
      <c r="A167" s="107">
        <f t="shared" si="2"/>
        <v>155</v>
      </c>
      <c r="B167" s="114">
        <v>9310</v>
      </c>
      <c r="C167" s="115" t="s">
        <v>203</v>
      </c>
      <c r="D167" s="135">
        <f>'C.2.2 B 09'!P110</f>
        <v>13519.713070102274</v>
      </c>
    </row>
    <row r="168" spans="1:7" ht="15.75" customHeight="1">
      <c r="A168" s="107">
        <f t="shared" si="2"/>
        <v>156</v>
      </c>
      <c r="B168" s="107"/>
      <c r="C168" s="134" t="s">
        <v>204</v>
      </c>
      <c r="D168" s="116">
        <f>SUM(D157:D167)</f>
        <v>16065692.743133998</v>
      </c>
    </row>
    <row r="169" spans="1:7" ht="15.75" customHeight="1">
      <c r="A169" s="107">
        <f t="shared" si="2"/>
        <v>157</v>
      </c>
      <c r="B169" s="107"/>
      <c r="C169" s="111"/>
      <c r="D169" s="123"/>
    </row>
    <row r="170" spans="1:7" ht="15.75" customHeight="1">
      <c r="A170" s="107">
        <f t="shared" si="2"/>
        <v>158</v>
      </c>
      <c r="B170" s="107"/>
      <c r="C170" s="130" t="s">
        <v>205</v>
      </c>
      <c r="D170" s="123"/>
    </row>
    <row r="171" spans="1:7" ht="15.75" customHeight="1">
      <c r="A171" s="107">
        <f t="shared" si="2"/>
        <v>159</v>
      </c>
      <c r="B171" s="114">
        <v>9320</v>
      </c>
      <c r="C171" s="115" t="s">
        <v>206</v>
      </c>
      <c r="D171" s="135">
        <f>'C.2.2 B 09'!P111</f>
        <v>1321.9091122067712</v>
      </c>
    </row>
    <row r="172" spans="1:7" ht="15.75" customHeight="1">
      <c r="A172" s="107">
        <f t="shared" si="2"/>
        <v>160</v>
      </c>
      <c r="B172" s="107"/>
      <c r="C172" s="134" t="s">
        <v>207</v>
      </c>
      <c r="D172" s="147">
        <f>SUM(D171:D171)</f>
        <v>1321.9091122067712</v>
      </c>
    </row>
    <row r="173" spans="1:7" ht="15.75" customHeight="1">
      <c r="A173" s="107">
        <f t="shared" si="2"/>
        <v>161</v>
      </c>
      <c r="B173" s="122"/>
      <c r="D173" s="131"/>
    </row>
    <row r="174" spans="1:7" ht="15.75" customHeight="1">
      <c r="A174" s="107">
        <f t="shared" si="2"/>
        <v>162</v>
      </c>
      <c r="B174" s="107"/>
      <c r="C174" s="112" t="s">
        <v>208</v>
      </c>
      <c r="D174" s="148">
        <f>+D38+D42+D55+D65+D75+D83+D105+D120+D133+D140+D147+D154+D168+D172</f>
        <v>101152351.03902406</v>
      </c>
      <c r="G174" s="113"/>
    </row>
    <row r="175" spans="1:7" ht="15.75" customHeight="1">
      <c r="A175" s="107">
        <f t="shared" si="2"/>
        <v>163</v>
      </c>
      <c r="B175" s="122"/>
      <c r="D175" s="131"/>
    </row>
    <row r="176" spans="1:7" ht="15.75" customHeight="1">
      <c r="A176" s="107">
        <f t="shared" si="2"/>
        <v>164</v>
      </c>
      <c r="B176" s="107" t="s">
        <v>209</v>
      </c>
      <c r="C176" s="108" t="s">
        <v>210</v>
      </c>
      <c r="D176" s="147">
        <f>SUM('C.2.2 B 09'!P14:P15)</f>
        <v>18751056.283948101</v>
      </c>
    </row>
    <row r="177" spans="1:7" ht="15.75" customHeight="1">
      <c r="A177" s="107">
        <f t="shared" si="2"/>
        <v>165</v>
      </c>
      <c r="B177" s="114">
        <v>4081</v>
      </c>
      <c r="C177" s="108" t="s">
        <v>211</v>
      </c>
      <c r="D177" s="133">
        <f>'C.2.2 B 09'!P16</f>
        <v>7424977.870862633</v>
      </c>
    </row>
    <row r="178" spans="1:7" ht="15.75" customHeight="1">
      <c r="A178" s="107">
        <f t="shared" si="2"/>
        <v>166</v>
      </c>
      <c r="B178" s="114" t="s">
        <v>212</v>
      </c>
      <c r="C178" s="108" t="s">
        <v>213</v>
      </c>
      <c r="D178" s="121">
        <f>+E!E23</f>
        <v>8775825.4101572093</v>
      </c>
      <c r="F178" s="126"/>
      <c r="G178" s="126"/>
    </row>
    <row r="179" spans="1:7" ht="15.75" customHeight="1">
      <c r="A179" s="107">
        <f t="shared" si="2"/>
        <v>167</v>
      </c>
      <c r="B179" s="122"/>
      <c r="D179" s="131"/>
    </row>
    <row r="180" spans="1:7" ht="15.75" customHeight="1">
      <c r="A180" s="107">
        <f t="shared" si="2"/>
        <v>168</v>
      </c>
      <c r="B180" s="149"/>
      <c r="C180" s="108" t="s">
        <v>214</v>
      </c>
      <c r="D180" s="135">
        <f>+D174+SUM(D176:D178)</f>
        <v>136104210.60399199</v>
      </c>
    </row>
    <row r="181" spans="1:7" ht="15.75" customHeight="1">
      <c r="A181" s="107">
        <f t="shared" si="2"/>
        <v>169</v>
      </c>
      <c r="B181" s="150"/>
      <c r="D181" s="131"/>
    </row>
    <row r="182" spans="1:7" ht="15.75" customHeight="1" thickBot="1">
      <c r="A182" s="107">
        <f t="shared" si="2"/>
        <v>170</v>
      </c>
      <c r="B182" s="149"/>
      <c r="C182" s="108" t="s">
        <v>215</v>
      </c>
      <c r="D182" s="151">
        <f>D32-D180</f>
        <v>21013907.169976115</v>
      </c>
    </row>
    <row r="183" spans="1:7" ht="15.75" customHeight="1" thickTop="1">
      <c r="B183" s="152"/>
    </row>
    <row r="184" spans="1:7" ht="15.75" customHeight="1">
      <c r="A184" s="111"/>
      <c r="B184" s="152"/>
    </row>
    <row r="185" spans="1:7" ht="15.75" customHeight="1">
      <c r="B185" s="152"/>
    </row>
    <row r="186" spans="1:7" ht="15.75" customHeight="1">
      <c r="B186" s="152"/>
    </row>
    <row r="187" spans="1:7" ht="15.75" customHeight="1">
      <c r="B187" s="152"/>
    </row>
    <row r="188" spans="1:7" ht="15.75" customHeight="1">
      <c r="B188" s="152"/>
    </row>
    <row r="189" spans="1:7" ht="15.75" customHeight="1">
      <c r="B189" s="152"/>
    </row>
    <row r="190" spans="1:7" ht="15.75" customHeight="1">
      <c r="B190" s="152"/>
    </row>
    <row r="191" spans="1:7" ht="15.75" customHeight="1">
      <c r="B191" s="152"/>
    </row>
    <row r="192" spans="1:7" ht="15.75" customHeight="1">
      <c r="B192" s="150"/>
    </row>
    <row r="193" spans="2:2" ht="15.75" customHeight="1">
      <c r="B193" s="150"/>
    </row>
    <row r="194" spans="2:2" ht="15.75" customHeight="1">
      <c r="B194" s="150"/>
    </row>
    <row r="195" spans="2:2" ht="15.75" customHeight="1">
      <c r="B195" s="150"/>
    </row>
    <row r="196" spans="2:2" ht="15.75" customHeight="1">
      <c r="B196" s="150"/>
    </row>
  </sheetData>
  <mergeCells count="4">
    <mergeCell ref="A1:D1"/>
    <mergeCell ref="A2:D2"/>
    <mergeCell ref="A3:D3"/>
    <mergeCell ref="A4:D4"/>
  </mergeCells>
  <printOptions horizontalCentered="1"/>
  <pageMargins left="0.84" right="0.67" top="0.62" bottom="1.04" header="0.25" footer="0.5"/>
  <pageSetup scale="65" fitToHeight="15" orientation="portrait" verticalDpi="300" r:id="rId1"/>
  <headerFooter alignWithMargins="0">
    <oddHeader>&amp;R&amp;10CASE NO. 2015-00343
ATTACHMENT 1
TO STAFF DR NO. 1-45
(SUPPLEMENT 02-18-16)</oddHeader>
    <oddFooter>&amp;RSchedule &amp;A
Page &amp;P of &amp;N</oddFooter>
  </headerFooter>
  <rowBreaks count="3" manualBreakCount="3">
    <brk id="55" max="3" man="1"/>
    <brk id="106" max="3" man="1"/>
    <brk id="155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3"/>
  <sheetViews>
    <sheetView view="pageBreakPreview" zoomScale="70" zoomScaleNormal="70" zoomScaleSheetLayoutView="70" workbookViewId="0">
      <pane xSplit="3" ySplit="10" topLeftCell="D11" activePane="bottomRight" state="frozen"/>
      <selection activeCell="E45" sqref="E45"/>
      <selection pane="topRight" activeCell="E45" sqref="E45"/>
      <selection pane="bottomLeft" activeCell="E45" sqref="E45"/>
      <selection pane="bottomRight" activeCell="D11" sqref="D11"/>
    </sheetView>
  </sheetViews>
  <sheetFormatPr defaultColWidth="7.109375" defaultRowHeight="15"/>
  <cols>
    <col min="1" max="1" width="4.6640625" customWidth="1"/>
    <col min="2" max="2" width="11.109375" customWidth="1"/>
    <col min="3" max="3" width="42" customWidth="1"/>
    <col min="4" max="4" width="12.44140625" bestFit="1" customWidth="1"/>
    <col min="5" max="5" width="12.5546875" customWidth="1"/>
    <col min="6" max="6" width="12" bestFit="1" customWidth="1"/>
    <col min="7" max="7" width="11.77734375" bestFit="1" customWidth="1"/>
    <col min="8" max="8" width="11.33203125" bestFit="1" customWidth="1"/>
    <col min="9" max="9" width="12.44140625" customWidth="1"/>
    <col min="10" max="10" width="11.33203125" bestFit="1" customWidth="1"/>
    <col min="11" max="11" width="13.21875" customWidth="1"/>
    <col min="12" max="13" width="12.44140625" bestFit="1" customWidth="1"/>
    <col min="14" max="14" width="12.21875" customWidth="1"/>
    <col min="15" max="15" width="12.44140625" customWidth="1"/>
    <col min="16" max="16" width="19.109375" customWidth="1"/>
    <col min="17" max="17" width="12.44140625" customWidth="1"/>
    <col min="18" max="18" width="12.5546875" customWidth="1"/>
    <col min="19" max="19" width="10.88671875" customWidth="1"/>
  </cols>
  <sheetData>
    <row r="1" spans="1:21">
      <c r="A1" s="258" t="s">
        <v>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1"/>
      <c r="R1" s="1"/>
      <c r="S1" s="1"/>
    </row>
    <row r="2" spans="1:21">
      <c r="A2" s="258" t="s">
        <v>1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1"/>
      <c r="R2" s="1"/>
      <c r="S2" s="1"/>
    </row>
    <row r="3" spans="1:21">
      <c r="A3" s="258" t="s">
        <v>216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1"/>
      <c r="R3" s="1"/>
      <c r="S3" s="1"/>
    </row>
    <row r="4" spans="1:21">
      <c r="A4" s="258" t="s">
        <v>32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1"/>
      <c r="R4" s="1"/>
      <c r="S4" s="1"/>
    </row>
    <row r="5" spans="1:21" ht="15.75">
      <c r="A5" s="9"/>
      <c r="B5" s="9"/>
      <c r="C5" s="9"/>
      <c r="D5" s="96"/>
      <c r="F5" s="153"/>
      <c r="G5" s="9"/>
      <c r="H5" s="9"/>
      <c r="I5" s="9"/>
      <c r="K5" s="153"/>
      <c r="L5" s="9"/>
      <c r="M5" s="9"/>
      <c r="N5" s="9"/>
      <c r="O5" s="9"/>
      <c r="P5" s="9"/>
      <c r="Q5" s="1"/>
      <c r="R5" s="1"/>
      <c r="S5" s="1"/>
    </row>
    <row r="6" spans="1:21" ht="15.75">
      <c r="A6" s="3" t="str">
        <f>'C.2.1 B'!A6</f>
        <v>Data:___X____Base Period________Forecasted Period</v>
      </c>
      <c r="B6" s="1"/>
      <c r="C6" s="154"/>
      <c r="D6" s="96"/>
      <c r="E6" s="96"/>
      <c r="F6" s="153"/>
      <c r="G6" s="96"/>
      <c r="H6" s="96"/>
      <c r="I6" s="96"/>
      <c r="J6" s="96"/>
      <c r="L6" s="1"/>
      <c r="M6" s="1"/>
      <c r="N6" s="1"/>
      <c r="O6" s="9"/>
      <c r="P6" s="155" t="s">
        <v>217</v>
      </c>
      <c r="Q6" s="1"/>
      <c r="R6" s="1"/>
      <c r="S6" s="1"/>
    </row>
    <row r="7" spans="1:21">
      <c r="A7" s="3" t="str">
        <f>'C.2.1 B'!A7</f>
        <v>Type of Filing:___X____Original________Updated ________Revised</v>
      </c>
      <c r="B7" s="1"/>
      <c r="C7" s="154"/>
      <c r="D7" s="96"/>
      <c r="E7" s="75"/>
      <c r="F7" s="1"/>
      <c r="G7" s="1"/>
      <c r="H7" s="1"/>
      <c r="I7" s="1"/>
      <c r="J7" s="1"/>
      <c r="K7" s="1"/>
      <c r="L7" s="1"/>
      <c r="M7" s="1"/>
      <c r="N7" s="1"/>
      <c r="O7" s="9"/>
      <c r="P7" s="156" t="s">
        <v>218</v>
      </c>
      <c r="Q7" s="1"/>
      <c r="R7" s="1"/>
      <c r="S7" s="1"/>
    </row>
    <row r="8" spans="1:21">
      <c r="A8" s="53" t="str">
        <f>'C.2.1 B'!A8</f>
        <v>Workpaper Reference No(s).____________________</v>
      </c>
      <c r="B8" s="1"/>
      <c r="C8" s="154"/>
      <c r="D8" s="55"/>
      <c r="E8" s="7"/>
      <c r="F8" s="7"/>
      <c r="G8" s="7"/>
      <c r="H8" s="7"/>
      <c r="I8" s="7"/>
      <c r="J8" s="7"/>
      <c r="K8" s="7"/>
      <c r="L8" s="7"/>
      <c r="M8" s="7"/>
      <c r="N8" s="7"/>
      <c r="O8" s="157"/>
      <c r="P8" s="158" t="str">
        <f>C.1!J9</f>
        <v>Witness: Waller, Smith</v>
      </c>
      <c r="Q8" s="1"/>
      <c r="R8" s="1"/>
      <c r="S8" s="1"/>
    </row>
    <row r="9" spans="1:21">
      <c r="A9" s="159" t="s">
        <v>12</v>
      </c>
      <c r="B9" s="160" t="s">
        <v>219</v>
      </c>
      <c r="C9" s="161"/>
      <c r="D9" s="162" t="s">
        <v>220</v>
      </c>
      <c r="E9" s="162" t="s">
        <v>220</v>
      </c>
      <c r="F9" s="162" t="s">
        <v>220</v>
      </c>
      <c r="G9" s="162" t="s">
        <v>220</v>
      </c>
      <c r="H9" s="162" t="s">
        <v>220</v>
      </c>
      <c r="I9" s="162" t="s">
        <v>220</v>
      </c>
      <c r="J9" s="163" t="s">
        <v>220</v>
      </c>
      <c r="K9" s="164" t="s">
        <v>220</v>
      </c>
      <c r="L9" s="164" t="s">
        <v>220</v>
      </c>
      <c r="M9" s="164" t="s">
        <v>220</v>
      </c>
      <c r="N9" s="164" t="s">
        <v>220</v>
      </c>
      <c r="O9" s="164" t="s">
        <v>221</v>
      </c>
      <c r="P9" s="9"/>
      <c r="Q9" s="9"/>
      <c r="R9" s="9"/>
      <c r="S9" s="9"/>
    </row>
    <row r="10" spans="1:21">
      <c r="A10" s="165" t="s">
        <v>15</v>
      </c>
      <c r="B10" s="62" t="s">
        <v>15</v>
      </c>
      <c r="C10" s="166" t="s">
        <v>222</v>
      </c>
      <c r="D10" s="167">
        <v>42094</v>
      </c>
      <c r="E10" s="167">
        <v>42095</v>
      </c>
      <c r="F10" s="167">
        <v>42155</v>
      </c>
      <c r="G10" s="167">
        <v>42185</v>
      </c>
      <c r="H10" s="167">
        <v>42216</v>
      </c>
      <c r="I10" s="167">
        <v>42247</v>
      </c>
      <c r="J10" s="168">
        <v>42277</v>
      </c>
      <c r="K10" s="167">
        <v>42308</v>
      </c>
      <c r="L10" s="167">
        <v>42338</v>
      </c>
      <c r="M10" s="167">
        <v>42369</v>
      </c>
      <c r="N10" s="167">
        <v>42400</v>
      </c>
      <c r="O10" s="167">
        <v>42429</v>
      </c>
      <c r="P10" s="169" t="s">
        <v>223</v>
      </c>
      <c r="Q10" s="170"/>
      <c r="R10" s="9"/>
      <c r="S10" s="9"/>
    </row>
    <row r="11" spans="1:21">
      <c r="A11" s="1"/>
      <c r="B11" s="1"/>
      <c r="C11" s="1"/>
      <c r="D11" s="10" t="s">
        <v>224</v>
      </c>
      <c r="E11" s="10" t="s">
        <v>224</v>
      </c>
      <c r="F11" s="10" t="s">
        <v>224</v>
      </c>
      <c r="G11" s="10" t="s">
        <v>224</v>
      </c>
      <c r="H11" s="10" t="s">
        <v>224</v>
      </c>
      <c r="I11" s="10" t="s">
        <v>224</v>
      </c>
      <c r="J11" s="64" t="s">
        <v>224</v>
      </c>
      <c r="K11" s="10" t="s">
        <v>224</v>
      </c>
      <c r="L11" s="10" t="s">
        <v>224</v>
      </c>
      <c r="M11" s="10" t="s">
        <v>224</v>
      </c>
      <c r="N11" s="10" t="s">
        <v>224</v>
      </c>
      <c r="O11" s="64" t="s">
        <v>224</v>
      </c>
      <c r="P11" s="10" t="s">
        <v>224</v>
      </c>
      <c r="Q11" s="10"/>
      <c r="R11" s="1"/>
    </row>
    <row r="12" spans="1:21">
      <c r="A12" s="77">
        <v>1</v>
      </c>
      <c r="B12" s="171" t="s">
        <v>212</v>
      </c>
      <c r="C12" s="172" t="s">
        <v>225</v>
      </c>
      <c r="D12" s="113">
        <v>0</v>
      </c>
      <c r="E12" s="113">
        <v>0</v>
      </c>
      <c r="F12" s="113">
        <v>0</v>
      </c>
      <c r="G12" s="113">
        <v>0</v>
      </c>
      <c r="H12" s="113">
        <v>0</v>
      </c>
      <c r="I12" s="113">
        <v>0</v>
      </c>
      <c r="J12" s="131">
        <v>9884342.8100000005</v>
      </c>
      <c r="K12" s="131">
        <v>0</v>
      </c>
      <c r="L12" s="131">
        <v>0</v>
      </c>
      <c r="M12" s="131">
        <v>0</v>
      </c>
      <c r="N12" s="131">
        <v>0</v>
      </c>
      <c r="O12" s="131">
        <v>1573595.0766377375</v>
      </c>
      <c r="P12" s="1">
        <f>SUM(D12:O12)</f>
        <v>11457937.886637738</v>
      </c>
      <c r="Q12" s="75"/>
      <c r="R12" s="75"/>
      <c r="S12" s="75"/>
      <c r="U12" s="173"/>
    </row>
    <row r="13" spans="1:21">
      <c r="A13" s="9">
        <f t="shared" ref="A13:A77" si="0">A12+1</f>
        <v>2</v>
      </c>
      <c r="B13" s="141"/>
      <c r="C13" s="1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"/>
      <c r="R13" s="1"/>
      <c r="S13" s="1"/>
    </row>
    <row r="14" spans="1:21">
      <c r="A14" s="9">
        <f t="shared" si="0"/>
        <v>3</v>
      </c>
      <c r="B14" s="141">
        <v>4030</v>
      </c>
      <c r="C14" s="1" t="s">
        <v>63</v>
      </c>
      <c r="D14" s="174">
        <v>1500191.86</v>
      </c>
      <c r="E14" s="174">
        <v>1506918.1699999997</v>
      </c>
      <c r="F14" s="174">
        <v>1518671.0699999996</v>
      </c>
      <c r="G14" s="174">
        <v>1520812.2899999998</v>
      </c>
      <c r="H14" s="174">
        <v>1552385.67</v>
      </c>
      <c r="I14" s="174">
        <v>1579114.02</v>
      </c>
      <c r="J14" s="174">
        <v>1662820.96</v>
      </c>
      <c r="K14" s="174">
        <v>1586551.92</v>
      </c>
      <c r="L14" s="174">
        <v>1587944.85</v>
      </c>
      <c r="M14" s="174">
        <v>1593400.8299999998</v>
      </c>
      <c r="N14" s="174">
        <v>1594673.0999999999</v>
      </c>
      <c r="O14" s="174">
        <v>1497842.4439481001</v>
      </c>
      <c r="P14" s="1">
        <f t="shared" ref="P14:P78" si="1">SUM(D14:O14)</f>
        <v>18701327.1839481</v>
      </c>
      <c r="Q14" s="175"/>
      <c r="R14" s="17"/>
      <c r="S14" s="17"/>
    </row>
    <row r="15" spans="1:21">
      <c r="A15" s="9">
        <f t="shared" si="0"/>
        <v>4</v>
      </c>
      <c r="B15" s="141">
        <v>4060</v>
      </c>
      <c r="C15" s="1" t="s">
        <v>226</v>
      </c>
      <c r="D15" s="174">
        <v>4037.2</v>
      </c>
      <c r="E15" s="174">
        <v>4037.2</v>
      </c>
      <c r="F15" s="174">
        <v>4037.2</v>
      </c>
      <c r="G15" s="174">
        <v>4037.2</v>
      </c>
      <c r="H15" s="174">
        <v>4037.2</v>
      </c>
      <c r="I15" s="174">
        <v>4037.2</v>
      </c>
      <c r="J15" s="174">
        <v>4037.2</v>
      </c>
      <c r="K15" s="174">
        <v>4293.74</v>
      </c>
      <c r="L15" s="174">
        <v>4293.74</v>
      </c>
      <c r="M15" s="174">
        <v>4293.74</v>
      </c>
      <c r="N15" s="174">
        <v>4293.74</v>
      </c>
      <c r="O15" s="174">
        <f t="shared" ref="O15" si="2">N15</f>
        <v>4293.74</v>
      </c>
      <c r="P15" s="1">
        <f t="shared" si="1"/>
        <v>49729.099999999991</v>
      </c>
      <c r="R15" s="75"/>
      <c r="S15" s="1"/>
    </row>
    <row r="16" spans="1:21">
      <c r="A16" s="9">
        <f t="shared" si="0"/>
        <v>5</v>
      </c>
      <c r="B16" s="141">
        <v>4081</v>
      </c>
      <c r="C16" s="17" t="s">
        <v>227</v>
      </c>
      <c r="D16" s="174">
        <v>455463.65</v>
      </c>
      <c r="E16" s="174">
        <v>551122.26000000013</v>
      </c>
      <c r="F16" s="174">
        <v>603830.34000000008</v>
      </c>
      <c r="G16" s="174">
        <v>554649.64000000013</v>
      </c>
      <c r="H16" s="174">
        <v>583075.11999999976</v>
      </c>
      <c r="I16" s="174">
        <v>562687.59999999974</v>
      </c>
      <c r="J16" s="174">
        <v>1509792.26</v>
      </c>
      <c r="K16" s="174">
        <v>528730.05000000005</v>
      </c>
      <c r="L16" s="174">
        <v>579824.25000000047</v>
      </c>
      <c r="M16" s="174">
        <v>458381.71000000031</v>
      </c>
      <c r="N16" s="174">
        <v>542659.62999999989</v>
      </c>
      <c r="O16" s="174">
        <v>494761.36086263316</v>
      </c>
      <c r="P16" s="1">
        <f>SUM(D16:O16)</f>
        <v>7424977.870862633</v>
      </c>
      <c r="Q16" s="75"/>
      <c r="R16" s="176"/>
      <c r="S16" s="75"/>
    </row>
    <row r="17" spans="1:25">
      <c r="A17" s="9">
        <f t="shared" si="0"/>
        <v>6</v>
      </c>
      <c r="B17" s="141">
        <v>4800</v>
      </c>
      <c r="C17" s="177" t="s">
        <v>228</v>
      </c>
      <c r="D17" s="174">
        <v>-17499149.710000001</v>
      </c>
      <c r="E17" s="174">
        <v>-8835751.8200000003</v>
      </c>
      <c r="F17" s="174">
        <v>-4807184.55</v>
      </c>
      <c r="G17" s="174">
        <v>-3947246.7099999995</v>
      </c>
      <c r="H17" s="174">
        <v>-3682775</v>
      </c>
      <c r="I17" s="174">
        <v>-3592522.5400000005</v>
      </c>
      <c r="J17" s="113">
        <v>-3575396.0700000003</v>
      </c>
      <c r="K17" s="113">
        <v>-4245454.6400000006</v>
      </c>
      <c r="L17" s="113">
        <v>-5872636.9199999999</v>
      </c>
      <c r="M17" s="113">
        <v>-9281347.7699999996</v>
      </c>
      <c r="N17" s="113">
        <v>-12900461.279999999</v>
      </c>
      <c r="O17" s="113">
        <v>-13428215.027079664</v>
      </c>
      <c r="P17" s="17">
        <f t="shared" si="1"/>
        <v>-91668142.037079662</v>
      </c>
      <c r="Q17" s="1"/>
      <c r="R17" s="1"/>
      <c r="S17" s="1"/>
    </row>
    <row r="18" spans="1:25">
      <c r="A18" s="9">
        <f t="shared" si="0"/>
        <v>7</v>
      </c>
      <c r="B18" s="171">
        <v>4805</v>
      </c>
      <c r="C18" s="177" t="s">
        <v>229</v>
      </c>
      <c r="D18" s="174">
        <v>2497143.59</v>
      </c>
      <c r="E18" s="174">
        <v>2805243</v>
      </c>
      <c r="F18" s="174">
        <v>1117326</v>
      </c>
      <c r="G18" s="174">
        <v>211816.98</v>
      </c>
      <c r="H18" s="174">
        <v>161218.25</v>
      </c>
      <c r="I18" s="174">
        <v>-5454.23</v>
      </c>
      <c r="J18" s="113">
        <v>6700</v>
      </c>
      <c r="K18" s="113">
        <v>-457012</v>
      </c>
      <c r="L18" s="113">
        <v>-1459605</v>
      </c>
      <c r="M18" s="113">
        <v>-1062897</v>
      </c>
      <c r="N18" s="113">
        <v>-2920099</v>
      </c>
      <c r="O18" s="113"/>
      <c r="P18" s="17">
        <f t="shared" si="1"/>
        <v>894380.58999999985</v>
      </c>
      <c r="Q18" s="1"/>
      <c r="R18" s="1"/>
      <c r="S18" s="1"/>
    </row>
    <row r="19" spans="1:25">
      <c r="A19" s="9">
        <f t="shared" si="0"/>
        <v>8</v>
      </c>
      <c r="B19" s="141">
        <v>4811</v>
      </c>
      <c r="C19" s="177" t="s">
        <v>230</v>
      </c>
      <c r="D19" s="174">
        <v>-7186235.0599999996</v>
      </c>
      <c r="E19" s="174">
        <v>-3658789.95</v>
      </c>
      <c r="F19" s="174">
        <v>-2042626.48</v>
      </c>
      <c r="G19" s="174">
        <v>-1726997.6099999999</v>
      </c>
      <c r="H19" s="174">
        <v>-1684522.5299999998</v>
      </c>
      <c r="I19" s="174">
        <v>-1618594.2600000002</v>
      </c>
      <c r="J19" s="113">
        <v>-1636760.9</v>
      </c>
      <c r="K19" s="113">
        <v>-2096158.8800000001</v>
      </c>
      <c r="L19" s="113">
        <v>-2221694.7200000002</v>
      </c>
      <c r="M19" s="113">
        <v>-3492700.05</v>
      </c>
      <c r="N19" s="113">
        <v>-5129878.4099999992</v>
      </c>
      <c r="O19" s="113">
        <v>-5588310.9527499313</v>
      </c>
      <c r="P19" s="17">
        <f t="shared" si="1"/>
        <v>-38083269.802749932</v>
      </c>
      <c r="Q19" s="1"/>
      <c r="R19" s="75"/>
      <c r="S19" s="1"/>
    </row>
    <row r="20" spans="1:25">
      <c r="A20" s="9">
        <f t="shared" si="0"/>
        <v>9</v>
      </c>
      <c r="B20" s="141">
        <v>4812</v>
      </c>
      <c r="C20" s="17" t="s">
        <v>231</v>
      </c>
      <c r="D20" s="174">
        <v>-1197881.69</v>
      </c>
      <c r="E20" s="174">
        <v>-487790.35</v>
      </c>
      <c r="F20" s="174">
        <v>-362212.99</v>
      </c>
      <c r="G20" s="174">
        <v>-346989.15</v>
      </c>
      <c r="H20" s="174">
        <v>-238423.65999999997</v>
      </c>
      <c r="I20" s="174">
        <v>-291127.43</v>
      </c>
      <c r="J20" s="113">
        <v>-139853.35</v>
      </c>
      <c r="K20" s="113">
        <v>-146153.32</v>
      </c>
      <c r="L20" s="113">
        <v>-171078.8</v>
      </c>
      <c r="M20" s="113">
        <v>-293506.04000000004</v>
      </c>
      <c r="N20" s="113">
        <v>-525356.21</v>
      </c>
      <c r="O20" s="113">
        <v>-584655.65086196898</v>
      </c>
      <c r="P20" s="17">
        <f t="shared" si="1"/>
        <v>-4785028.6408619694</v>
      </c>
      <c r="Q20" s="1"/>
      <c r="R20" s="75"/>
      <c r="S20" s="1"/>
    </row>
    <row r="21" spans="1:25">
      <c r="A21" s="9">
        <f t="shared" si="0"/>
        <v>10</v>
      </c>
      <c r="B21" s="141">
        <v>4815</v>
      </c>
      <c r="C21" s="17" t="s">
        <v>232</v>
      </c>
      <c r="D21" s="174">
        <v>1346282.01</v>
      </c>
      <c r="E21" s="174">
        <v>1132848</v>
      </c>
      <c r="F21" s="174">
        <v>435895</v>
      </c>
      <c r="G21" s="174">
        <v>31310.63</v>
      </c>
      <c r="H21" s="174">
        <v>55324.13</v>
      </c>
      <c r="I21" s="174">
        <v>-29339.759999999995</v>
      </c>
      <c r="J21" s="113">
        <v>-7386</v>
      </c>
      <c r="K21" s="113">
        <v>-496793</v>
      </c>
      <c r="L21" s="113">
        <v>-167924</v>
      </c>
      <c r="M21" s="113">
        <v>-302896</v>
      </c>
      <c r="N21" s="113">
        <v>-1376107</v>
      </c>
      <c r="O21" s="113"/>
      <c r="P21" s="17">
        <f t="shared" si="1"/>
        <v>621214.00999999978</v>
      </c>
      <c r="Q21" s="1"/>
      <c r="R21" s="75"/>
      <c r="S21" s="1"/>
    </row>
    <row r="22" spans="1:25">
      <c r="A22" s="9">
        <f t="shared" si="0"/>
        <v>11</v>
      </c>
      <c r="B22" s="141">
        <v>4816</v>
      </c>
      <c r="C22" s="17" t="s">
        <v>233</v>
      </c>
      <c r="D22" s="174">
        <v>11983.32</v>
      </c>
      <c r="E22" s="174">
        <v>-3875.7599999999998</v>
      </c>
      <c r="F22" s="174">
        <v>-369.73</v>
      </c>
      <c r="G22" s="174">
        <v>27777.65</v>
      </c>
      <c r="H22" s="174">
        <v>16652.580000000002</v>
      </c>
      <c r="I22" s="174">
        <v>62629.25</v>
      </c>
      <c r="J22" s="113">
        <v>-95672.38</v>
      </c>
      <c r="K22" s="113">
        <v>130998.13</v>
      </c>
      <c r="L22" s="113">
        <v>-35290.11</v>
      </c>
      <c r="M22" s="113">
        <v>-39642.1</v>
      </c>
      <c r="N22" s="113">
        <v>-61300.1</v>
      </c>
      <c r="O22" s="113"/>
      <c r="P22" s="17">
        <f t="shared" si="1"/>
        <v>13890.750000000007</v>
      </c>
      <c r="R22" s="75"/>
      <c r="S22" s="1"/>
    </row>
    <row r="23" spans="1:25">
      <c r="A23" s="9">
        <f t="shared" si="0"/>
        <v>12</v>
      </c>
      <c r="B23" s="141">
        <v>4820</v>
      </c>
      <c r="C23" s="17" t="s">
        <v>234</v>
      </c>
      <c r="D23" s="174">
        <v>-1446421.2300000002</v>
      </c>
      <c r="E23" s="174">
        <v>-695366.92</v>
      </c>
      <c r="F23" s="174">
        <v>-390277.04</v>
      </c>
      <c r="G23" s="174">
        <v>-265750.75</v>
      </c>
      <c r="H23" s="174">
        <v>-234283.08000000002</v>
      </c>
      <c r="I23" s="174">
        <v>-225612.40000000002</v>
      </c>
      <c r="J23" s="113">
        <v>-228167.35</v>
      </c>
      <c r="K23" s="113">
        <v>-284593.12</v>
      </c>
      <c r="L23" s="113">
        <v>-378374.9</v>
      </c>
      <c r="M23" s="113">
        <v>-638768.9</v>
      </c>
      <c r="N23" s="113">
        <v>-963370.39000000013</v>
      </c>
      <c r="O23" s="113">
        <v>-1073586.2062504529</v>
      </c>
      <c r="P23" s="17">
        <f t="shared" si="1"/>
        <v>-6824572.2862504534</v>
      </c>
      <c r="Q23" s="17"/>
      <c r="R23" s="75"/>
      <c r="S23" s="1"/>
    </row>
    <row r="24" spans="1:25">
      <c r="A24" s="9">
        <f t="shared" si="0"/>
        <v>13</v>
      </c>
      <c r="B24" s="141">
        <v>4825</v>
      </c>
      <c r="C24" s="17" t="s">
        <v>235</v>
      </c>
      <c r="D24" s="174">
        <v>264396.38</v>
      </c>
      <c r="E24" s="174">
        <v>244216</v>
      </c>
      <c r="F24" s="174">
        <v>77237</v>
      </c>
      <c r="G24" s="174">
        <v>28967.09</v>
      </c>
      <c r="H24" s="174">
        <v>19607.62</v>
      </c>
      <c r="I24" s="174">
        <v>-5230.71</v>
      </c>
      <c r="J24" s="113">
        <v>-1293</v>
      </c>
      <c r="K24" s="113">
        <v>-74301</v>
      </c>
      <c r="L24" s="113">
        <v>-88245</v>
      </c>
      <c r="M24" s="113">
        <v>-58896</v>
      </c>
      <c r="N24" s="113">
        <v>-278086</v>
      </c>
      <c r="O24" s="113"/>
      <c r="P24" s="17">
        <f t="shared" si="1"/>
        <v>128372.38</v>
      </c>
      <c r="S24" s="1"/>
    </row>
    <row r="25" spans="1:25">
      <c r="A25" s="9">
        <f t="shared" si="0"/>
        <v>14</v>
      </c>
      <c r="B25" s="141">
        <v>4870</v>
      </c>
      <c r="C25" s="17" t="s">
        <v>236</v>
      </c>
      <c r="D25" s="174">
        <v>-201601.71</v>
      </c>
      <c r="E25" s="174">
        <v>-223761.32</v>
      </c>
      <c r="F25" s="174">
        <v>-89188.51</v>
      </c>
      <c r="G25" s="174">
        <v>-60407.39</v>
      </c>
      <c r="H25" s="174">
        <v>-59251.95</v>
      </c>
      <c r="I25" s="174">
        <v>-46947.86</v>
      </c>
      <c r="J25" s="113">
        <v>-49662.89</v>
      </c>
      <c r="K25" s="113">
        <v>-52315.51</v>
      </c>
      <c r="L25" s="113">
        <v>-51544.9</v>
      </c>
      <c r="M25" s="113">
        <v>-105461.28</v>
      </c>
      <c r="N25" s="113">
        <v>-112781</v>
      </c>
      <c r="O25" s="113">
        <v>-162832.31072609653</v>
      </c>
      <c r="P25" s="17">
        <f t="shared" si="1"/>
        <v>-1215756.6307260967</v>
      </c>
      <c r="R25" s="1"/>
      <c r="S25" s="1"/>
    </row>
    <row r="26" spans="1:25">
      <c r="A26" s="9">
        <f t="shared" si="0"/>
        <v>15</v>
      </c>
      <c r="B26" s="141">
        <v>4880</v>
      </c>
      <c r="C26" s="17" t="s">
        <v>237</v>
      </c>
      <c r="D26" s="174">
        <v>-61994.87</v>
      </c>
      <c r="E26" s="174">
        <v>-55114</v>
      </c>
      <c r="F26" s="174">
        <v>-56775</v>
      </c>
      <c r="G26" s="174">
        <v>-53153</v>
      </c>
      <c r="H26" s="174">
        <v>-52376</v>
      </c>
      <c r="I26" s="174">
        <v>-49804.14</v>
      </c>
      <c r="J26" s="113">
        <v>-59345</v>
      </c>
      <c r="K26" s="113">
        <v>-114985.58</v>
      </c>
      <c r="L26" s="113">
        <v>-101009</v>
      </c>
      <c r="M26" s="113">
        <v>-72314</v>
      </c>
      <c r="N26" s="113">
        <v>-59890</v>
      </c>
      <c r="O26" s="113">
        <v>-48764</v>
      </c>
      <c r="P26" s="17">
        <f t="shared" si="1"/>
        <v>-785524.59000000008</v>
      </c>
      <c r="R26" s="1"/>
      <c r="S26" s="1"/>
    </row>
    <row r="27" spans="1:25">
      <c r="A27" s="9">
        <f t="shared" si="0"/>
        <v>16</v>
      </c>
      <c r="B27" s="141">
        <v>4893</v>
      </c>
      <c r="C27" s="1" t="s">
        <v>238</v>
      </c>
      <c r="D27" s="174">
        <v>-1391289.63</v>
      </c>
      <c r="E27" s="174">
        <v>-1208824.44</v>
      </c>
      <c r="F27" s="174">
        <v>-1170378.6300000001</v>
      </c>
      <c r="G27" s="174">
        <v>-1061614.27</v>
      </c>
      <c r="H27" s="174">
        <v>-1069176.8499999999</v>
      </c>
      <c r="I27" s="174">
        <v>-1130107.73</v>
      </c>
      <c r="J27" s="113">
        <v>-1024329.74</v>
      </c>
      <c r="K27" s="113">
        <v>-1337574.81</v>
      </c>
      <c r="L27" s="113">
        <v>-1297421.42</v>
      </c>
      <c r="M27" s="113">
        <v>-1379206.25</v>
      </c>
      <c r="N27" s="113">
        <v>-1677404.4100000001</v>
      </c>
      <c r="O27" s="113">
        <v>-1424542.7038</v>
      </c>
      <c r="P27" s="17">
        <f t="shared" si="1"/>
        <v>-15171870.883800002</v>
      </c>
      <c r="Q27" s="178"/>
      <c r="R27" s="179"/>
      <c r="S27" s="179"/>
      <c r="T27" s="179"/>
      <c r="U27" s="179"/>
      <c r="V27" s="179"/>
      <c r="W27" s="179"/>
      <c r="X27" s="179"/>
      <c r="Y27" s="179"/>
    </row>
    <row r="28" spans="1:25">
      <c r="A28" s="9">
        <f t="shared" si="0"/>
        <v>17</v>
      </c>
      <c r="B28" s="141">
        <v>4950</v>
      </c>
      <c r="C28" s="17" t="s">
        <v>92</v>
      </c>
      <c r="D28" s="174"/>
      <c r="E28" s="174"/>
      <c r="F28" s="174"/>
      <c r="G28" s="174"/>
      <c r="H28" s="174"/>
      <c r="I28" s="174"/>
      <c r="J28" s="113">
        <v>0</v>
      </c>
      <c r="K28" s="113">
        <v>0</v>
      </c>
      <c r="L28" s="113">
        <v>0</v>
      </c>
      <c r="M28" s="113">
        <v>0</v>
      </c>
      <c r="N28" s="113">
        <v>0</v>
      </c>
      <c r="O28" s="113">
        <v>-241810.63249999995</v>
      </c>
      <c r="P28" s="17">
        <f t="shared" si="1"/>
        <v>-241810.63249999995</v>
      </c>
      <c r="Q28" s="180"/>
    </row>
    <row r="29" spans="1:25">
      <c r="A29" s="9">
        <f t="shared" si="0"/>
        <v>18</v>
      </c>
      <c r="B29" s="141">
        <v>7560</v>
      </c>
      <c r="C29" s="179" t="s">
        <v>239</v>
      </c>
      <c r="D29" s="174">
        <v>46.94</v>
      </c>
      <c r="E29" s="174">
        <v>0</v>
      </c>
      <c r="F29" s="174">
        <v>0</v>
      </c>
      <c r="G29" s="174">
        <v>0</v>
      </c>
      <c r="H29" s="174">
        <v>0</v>
      </c>
      <c r="I29" s="174">
        <v>0</v>
      </c>
      <c r="J29" s="131">
        <v>0</v>
      </c>
      <c r="K29" s="131">
        <v>0</v>
      </c>
      <c r="L29" s="131">
        <v>0</v>
      </c>
      <c r="M29" s="131">
        <v>0</v>
      </c>
      <c r="N29" s="131">
        <v>0</v>
      </c>
      <c r="O29" s="131">
        <v>7.8998085451070725</v>
      </c>
      <c r="P29" s="17">
        <f t="shared" si="1"/>
        <v>54.839808545107068</v>
      </c>
      <c r="S29" s="1"/>
    </row>
    <row r="30" spans="1:25">
      <c r="A30" s="9">
        <f t="shared" si="0"/>
        <v>19</v>
      </c>
      <c r="B30" s="141">
        <v>7590</v>
      </c>
      <c r="C30" s="172" t="s">
        <v>98</v>
      </c>
      <c r="D30" s="174"/>
      <c r="E30" s="174"/>
      <c r="F30" s="174"/>
      <c r="G30" s="174"/>
      <c r="H30" s="174"/>
      <c r="I30" s="174"/>
      <c r="J30" s="131">
        <v>0</v>
      </c>
      <c r="K30" s="131">
        <v>0</v>
      </c>
      <c r="L30" s="131">
        <v>0</v>
      </c>
      <c r="M30" s="131">
        <v>0</v>
      </c>
      <c r="N30" s="131">
        <v>0</v>
      </c>
      <c r="O30" s="131">
        <v>0</v>
      </c>
      <c r="P30" s="17">
        <f t="shared" si="1"/>
        <v>0</v>
      </c>
      <c r="S30" s="1"/>
    </row>
    <row r="31" spans="1:25">
      <c r="A31" s="9">
        <f t="shared" si="0"/>
        <v>20</v>
      </c>
      <c r="B31" s="141">
        <v>8001</v>
      </c>
      <c r="C31" s="1" t="s">
        <v>140</v>
      </c>
      <c r="D31" s="174">
        <v>283919.86</v>
      </c>
      <c r="E31" s="174">
        <v>308563.48</v>
      </c>
      <c r="F31" s="174">
        <v>0</v>
      </c>
      <c r="G31" s="174">
        <v>0</v>
      </c>
      <c r="H31" s="174">
        <v>0</v>
      </c>
      <c r="I31" s="174">
        <v>0</v>
      </c>
      <c r="J31" s="113">
        <v>0</v>
      </c>
      <c r="K31" s="113">
        <v>0</v>
      </c>
      <c r="L31" s="113">
        <v>0</v>
      </c>
      <c r="M31" s="113">
        <v>242214.7</v>
      </c>
      <c r="N31" s="113">
        <v>336730.4</v>
      </c>
      <c r="O31" s="113">
        <v>389932.36753601005</v>
      </c>
      <c r="P31" s="17">
        <f t="shared" si="1"/>
        <v>1561360.8075360099</v>
      </c>
      <c r="Q31" s="75"/>
      <c r="R31" s="75"/>
      <c r="S31" s="1"/>
    </row>
    <row r="32" spans="1:25">
      <c r="A32" s="9">
        <f t="shared" si="0"/>
        <v>21</v>
      </c>
      <c r="B32" s="141">
        <v>8010</v>
      </c>
      <c r="C32" s="142" t="s">
        <v>240</v>
      </c>
      <c r="D32" s="174">
        <v>12478.22</v>
      </c>
      <c r="E32" s="174">
        <v>9142.89</v>
      </c>
      <c r="F32" s="174">
        <v>5884.15</v>
      </c>
      <c r="G32" s="174">
        <v>5792.12</v>
      </c>
      <c r="H32" s="174">
        <v>5654.6</v>
      </c>
      <c r="I32" s="174">
        <v>5582.17</v>
      </c>
      <c r="J32" s="113">
        <v>13014.71</v>
      </c>
      <c r="K32" s="113">
        <v>5066.21</v>
      </c>
      <c r="L32" s="113">
        <v>3957.71</v>
      </c>
      <c r="M32" s="113">
        <v>-6489.36</v>
      </c>
      <c r="N32" s="113">
        <v>4849.7</v>
      </c>
      <c r="O32" s="113">
        <v>3297.347187186982</v>
      </c>
      <c r="P32" s="17">
        <f t="shared" si="1"/>
        <v>68230.46718718698</v>
      </c>
      <c r="Q32" s="1"/>
      <c r="R32" s="1"/>
      <c r="S32" s="1"/>
    </row>
    <row r="33" spans="1:19">
      <c r="A33" s="9">
        <f t="shared" si="0"/>
        <v>22</v>
      </c>
      <c r="B33" s="141">
        <v>8040</v>
      </c>
      <c r="C33" s="1" t="s">
        <v>241</v>
      </c>
      <c r="D33" s="174">
        <v>5149422.08</v>
      </c>
      <c r="E33" s="174">
        <v>1646030.6600000001</v>
      </c>
      <c r="F33" s="174">
        <v>5591672.6000000006</v>
      </c>
      <c r="G33" s="174">
        <v>4195844.6000000006</v>
      </c>
      <c r="H33" s="174">
        <v>4747563.33</v>
      </c>
      <c r="I33" s="174">
        <v>4098565.67</v>
      </c>
      <c r="J33" s="113">
        <v>4888780.9400000004</v>
      </c>
      <c r="K33" s="113">
        <v>4989982.1099999994</v>
      </c>
      <c r="L33" s="113">
        <v>5061928.0699999994</v>
      </c>
      <c r="M33" s="113">
        <v>1073107.6100000001</v>
      </c>
      <c r="N33" s="113">
        <v>1370903.73</v>
      </c>
      <c r="O33" s="113">
        <v>2292789.2263635383</v>
      </c>
      <c r="P33" s="17">
        <f t="shared" si="1"/>
        <v>45106590.626363546</v>
      </c>
      <c r="Q33" s="1"/>
      <c r="R33" s="75"/>
      <c r="S33" s="1"/>
    </row>
    <row r="34" spans="1:19">
      <c r="A34" s="9">
        <f t="shared" si="0"/>
        <v>23</v>
      </c>
      <c r="B34" s="141">
        <v>8050</v>
      </c>
      <c r="C34" s="1" t="s">
        <v>242</v>
      </c>
      <c r="D34" s="174">
        <v>31610.82</v>
      </c>
      <c r="E34" s="174">
        <v>-11.62</v>
      </c>
      <c r="F34" s="174">
        <v>-765.92</v>
      </c>
      <c r="G34" s="174">
        <v>-880.49</v>
      </c>
      <c r="H34" s="174">
        <v>-2487.39</v>
      </c>
      <c r="I34" s="174">
        <v>-1631.6</v>
      </c>
      <c r="J34" s="113">
        <v>-2516.48</v>
      </c>
      <c r="K34" s="113">
        <v>-3869.44</v>
      </c>
      <c r="L34" s="113">
        <v>-1231.1500000000001</v>
      </c>
      <c r="M34" s="113">
        <v>-1816.1</v>
      </c>
      <c r="N34" s="113">
        <v>-746.82</v>
      </c>
      <c r="O34" s="113">
        <v>-221.20715642082789</v>
      </c>
      <c r="P34" s="17">
        <f t="shared" si="1"/>
        <v>15432.602843579178</v>
      </c>
      <c r="Q34" s="1"/>
      <c r="R34" s="75"/>
      <c r="S34" s="1"/>
    </row>
    <row r="35" spans="1:19">
      <c r="A35" s="9">
        <f t="shared" si="0"/>
        <v>24</v>
      </c>
      <c r="B35" s="141">
        <v>8051</v>
      </c>
      <c r="C35" s="1" t="s">
        <v>243</v>
      </c>
      <c r="D35" s="174">
        <v>12663742.939999999</v>
      </c>
      <c r="E35" s="174">
        <v>4789926.13</v>
      </c>
      <c r="F35" s="174">
        <v>1691271.03</v>
      </c>
      <c r="G35" s="174">
        <v>1010733.82</v>
      </c>
      <c r="H35" s="174">
        <v>814974.36</v>
      </c>
      <c r="I35" s="174">
        <v>735807.38</v>
      </c>
      <c r="J35" s="113">
        <v>718873.69</v>
      </c>
      <c r="K35" s="113">
        <v>965079.94</v>
      </c>
      <c r="L35" s="113">
        <v>2124805.9900000002</v>
      </c>
      <c r="M35" s="113">
        <v>4389212.28</v>
      </c>
      <c r="N35" s="113">
        <v>7020482.2599999998</v>
      </c>
      <c r="O35" s="113">
        <v>8049972.4740340738</v>
      </c>
      <c r="P35" s="17">
        <f t="shared" si="1"/>
        <v>44974882.294034071</v>
      </c>
      <c r="Q35" s="1"/>
      <c r="R35" s="1"/>
      <c r="S35" s="1"/>
    </row>
    <row r="36" spans="1:19">
      <c r="A36" s="9">
        <f t="shared" si="0"/>
        <v>25</v>
      </c>
      <c r="B36" s="141">
        <v>8052</v>
      </c>
      <c r="C36" s="1" t="s">
        <v>244</v>
      </c>
      <c r="D36" s="174">
        <v>5498969.8499999996</v>
      </c>
      <c r="E36" s="174">
        <v>2291650.2599999998</v>
      </c>
      <c r="F36" s="174">
        <v>1026586.75</v>
      </c>
      <c r="G36" s="174">
        <v>770086.28</v>
      </c>
      <c r="H36" s="174">
        <v>725981.62</v>
      </c>
      <c r="I36" s="174">
        <v>687353.88</v>
      </c>
      <c r="J36" s="113">
        <v>680426.95</v>
      </c>
      <c r="K36" s="113">
        <v>991851.33</v>
      </c>
      <c r="L36" s="113">
        <v>1004550.78</v>
      </c>
      <c r="M36" s="113">
        <v>1861973.33</v>
      </c>
      <c r="N36" s="113">
        <v>3072238.84</v>
      </c>
      <c r="O36" s="113">
        <v>3554595.5251892554</v>
      </c>
      <c r="P36" s="17">
        <f t="shared" si="1"/>
        <v>22166265.395189252</v>
      </c>
      <c r="Q36" s="1"/>
      <c r="R36" s="1"/>
      <c r="S36" s="1"/>
    </row>
    <row r="37" spans="1:19">
      <c r="A37" s="9">
        <f t="shared" si="0"/>
        <v>26</v>
      </c>
      <c r="B37" s="141">
        <v>8053</v>
      </c>
      <c r="C37" s="1" t="s">
        <v>245</v>
      </c>
      <c r="D37" s="174">
        <v>1013091.73</v>
      </c>
      <c r="E37" s="174">
        <v>416471.71</v>
      </c>
      <c r="F37" s="174">
        <v>308587.78999999998</v>
      </c>
      <c r="G37" s="174">
        <v>278354.96999999997</v>
      </c>
      <c r="H37" s="174">
        <v>172149.93</v>
      </c>
      <c r="I37" s="174">
        <v>219343.32</v>
      </c>
      <c r="J37" s="113">
        <v>102382.93</v>
      </c>
      <c r="K37" s="113">
        <v>104552.37</v>
      </c>
      <c r="L37" s="113">
        <v>125845.37</v>
      </c>
      <c r="M37" s="113">
        <v>255600.03</v>
      </c>
      <c r="N37" s="113">
        <v>464130.22</v>
      </c>
      <c r="O37" s="113">
        <v>522011.99170213938</v>
      </c>
      <c r="P37" s="17">
        <f t="shared" si="1"/>
        <v>3982522.3617021395</v>
      </c>
      <c r="Q37" s="1"/>
      <c r="R37" s="1"/>
      <c r="S37" s="1"/>
    </row>
    <row r="38" spans="1:19">
      <c r="A38" s="9">
        <f t="shared" si="0"/>
        <v>27</v>
      </c>
      <c r="B38" s="141">
        <v>8054</v>
      </c>
      <c r="C38" s="1" t="s">
        <v>246</v>
      </c>
      <c r="D38" s="174">
        <v>1193064.04</v>
      </c>
      <c r="E38" s="174">
        <v>500918.35</v>
      </c>
      <c r="F38" s="174">
        <v>259798.57</v>
      </c>
      <c r="G38" s="174">
        <v>158243.89000000001</v>
      </c>
      <c r="H38" s="174">
        <v>132851.9</v>
      </c>
      <c r="I38" s="174">
        <v>122285.33</v>
      </c>
      <c r="J38" s="113">
        <v>123176.62</v>
      </c>
      <c r="K38" s="113">
        <v>162833.91</v>
      </c>
      <c r="L38" s="113">
        <v>219980.58</v>
      </c>
      <c r="M38" s="113">
        <v>397545.07</v>
      </c>
      <c r="N38" s="113">
        <v>642449.05000000005</v>
      </c>
      <c r="O38" s="113">
        <v>778473.05475646944</v>
      </c>
      <c r="P38" s="17">
        <f t="shared" si="1"/>
        <v>4691620.3647564696</v>
      </c>
      <c r="Q38" s="1"/>
      <c r="S38" s="1"/>
    </row>
    <row r="39" spans="1:19">
      <c r="A39" s="9">
        <f t="shared" si="0"/>
        <v>28</v>
      </c>
      <c r="B39" s="141">
        <v>8058</v>
      </c>
      <c r="C39" s="1" t="s">
        <v>247</v>
      </c>
      <c r="D39" s="174">
        <v>-4070155.54</v>
      </c>
      <c r="E39" s="174">
        <v>-3421339.03</v>
      </c>
      <c r="F39" s="174">
        <v>-1284236.83</v>
      </c>
      <c r="G39" s="174">
        <v>-235913.03000000003</v>
      </c>
      <c r="H39" s="174">
        <v>-219303.78</v>
      </c>
      <c r="I39" s="174">
        <v>-2498.3800000000047</v>
      </c>
      <c r="J39" s="113">
        <v>85780.95</v>
      </c>
      <c r="K39" s="113">
        <v>625854.55000000005</v>
      </c>
      <c r="L39" s="113">
        <v>1186707.73</v>
      </c>
      <c r="M39" s="113">
        <v>735414.32</v>
      </c>
      <c r="N39" s="113">
        <v>3972000.34</v>
      </c>
      <c r="O39" s="113">
        <v>440795.30319415504</v>
      </c>
      <c r="P39" s="17">
        <f t="shared" si="1"/>
        <v>-2186893.3968058443</v>
      </c>
      <c r="Q39" s="1"/>
      <c r="R39" s="1"/>
      <c r="S39" s="1"/>
    </row>
    <row r="40" spans="1:19">
      <c r="A40" s="9">
        <f t="shared" si="0"/>
        <v>29</v>
      </c>
      <c r="B40" s="141">
        <v>8059</v>
      </c>
      <c r="C40" s="1" t="s">
        <v>248</v>
      </c>
      <c r="D40" s="174">
        <v>-16484690.699999999</v>
      </c>
      <c r="E40" s="174">
        <v>-9889925.5700000003</v>
      </c>
      <c r="F40" s="174">
        <v>-4545617.1100000003</v>
      </c>
      <c r="G40" s="174">
        <v>-2829673.48</v>
      </c>
      <c r="H40" s="174">
        <v>-2925871.39</v>
      </c>
      <c r="I40" s="174">
        <v>-2689152.57</v>
      </c>
      <c r="J40" s="113">
        <v>-2782532.64</v>
      </c>
      <c r="K40" s="113">
        <v>-2785892.95</v>
      </c>
      <c r="L40" s="113">
        <v>-3881510.73</v>
      </c>
      <c r="M40" s="113">
        <v>-5752648.25</v>
      </c>
      <c r="N40" s="113">
        <v>-7357959.2800000003</v>
      </c>
      <c r="O40" s="113">
        <v>-10752242.069183838</v>
      </c>
      <c r="P40" s="17">
        <f t="shared" si="1"/>
        <v>-72677716.739183843</v>
      </c>
      <c r="Q40" s="1"/>
      <c r="R40" s="1"/>
      <c r="S40" s="1"/>
    </row>
    <row r="41" spans="1:19">
      <c r="A41" s="9">
        <f t="shared" si="0"/>
        <v>30</v>
      </c>
      <c r="B41" s="141">
        <v>8060</v>
      </c>
      <c r="C41" s="1" t="s">
        <v>249</v>
      </c>
      <c r="D41" s="174">
        <v>1550074.37</v>
      </c>
      <c r="E41" s="174">
        <v>1665423.99</v>
      </c>
      <c r="F41" s="174">
        <v>-1053696.3600000001</v>
      </c>
      <c r="G41" s="174">
        <v>-987004.77</v>
      </c>
      <c r="H41" s="174">
        <v>-1232655.3600000001</v>
      </c>
      <c r="I41" s="174">
        <v>-797043.91</v>
      </c>
      <c r="J41" s="113">
        <v>-1400053.2</v>
      </c>
      <c r="K41" s="113">
        <v>-1739941.7</v>
      </c>
      <c r="L41" s="113">
        <v>-1162811.8500000001</v>
      </c>
      <c r="M41" s="113">
        <v>748615.4</v>
      </c>
      <c r="N41" s="113">
        <v>1144298.33</v>
      </c>
      <c r="O41" s="113">
        <v>1847744.8045564189</v>
      </c>
      <c r="P41" s="17">
        <f t="shared" si="1"/>
        <v>-1417050.2554435816</v>
      </c>
      <c r="Q41" s="1"/>
      <c r="R41" s="1"/>
      <c r="S41" s="1"/>
    </row>
    <row r="42" spans="1:19">
      <c r="A42" s="9">
        <f t="shared" si="0"/>
        <v>31</v>
      </c>
      <c r="B42" s="141">
        <v>8081</v>
      </c>
      <c r="C42" s="1" t="s">
        <v>250</v>
      </c>
      <c r="D42" s="174">
        <v>7184511.9900000002</v>
      </c>
      <c r="E42" s="174">
        <v>3885976.22</v>
      </c>
      <c r="F42" s="174">
        <v>2868.24</v>
      </c>
      <c r="G42" s="174">
        <v>0</v>
      </c>
      <c r="H42" s="174">
        <v>0</v>
      </c>
      <c r="I42" s="174">
        <v>3675.16</v>
      </c>
      <c r="J42" s="113">
        <v>0</v>
      </c>
      <c r="K42" s="113">
        <v>0</v>
      </c>
      <c r="L42" s="113">
        <v>0</v>
      </c>
      <c r="M42" s="113">
        <v>1412160.37</v>
      </c>
      <c r="N42" s="113">
        <v>2208171.12</v>
      </c>
      <c r="O42" s="113">
        <v>4613244.7086137692</v>
      </c>
      <c r="P42" s="17">
        <f t="shared" si="1"/>
        <v>19310607.80861377</v>
      </c>
      <c r="Q42" s="1"/>
      <c r="R42" s="1"/>
      <c r="S42" s="1"/>
    </row>
    <row r="43" spans="1:19">
      <c r="A43" s="9">
        <f t="shared" si="0"/>
        <v>32</v>
      </c>
      <c r="B43" s="141">
        <v>8082</v>
      </c>
      <c r="C43" s="1" t="s">
        <v>251</v>
      </c>
      <c r="D43" s="174">
        <v>-13313.93</v>
      </c>
      <c r="E43" s="174">
        <v>-19575.97</v>
      </c>
      <c r="F43" s="174">
        <v>-2019076.98</v>
      </c>
      <c r="G43" s="174">
        <v>-2027059.2</v>
      </c>
      <c r="H43" s="174">
        <v>-2178815.0499999998</v>
      </c>
      <c r="I43" s="174">
        <v>-2188764.84</v>
      </c>
      <c r="J43" s="113">
        <v>-2342202.92</v>
      </c>
      <c r="K43" s="113">
        <v>-2057896.72</v>
      </c>
      <c r="L43" s="113">
        <v>-2076011.06</v>
      </c>
      <c r="M43" s="113">
        <v>-8168.12</v>
      </c>
      <c r="N43" s="113">
        <v>-57455.64</v>
      </c>
      <c r="O43" s="113">
        <v>-2702.2598891013427</v>
      </c>
      <c r="P43" s="17">
        <f t="shared" si="1"/>
        <v>-14991042.689889101</v>
      </c>
      <c r="Q43" s="180"/>
      <c r="S43" s="1"/>
    </row>
    <row r="44" spans="1:19">
      <c r="A44" s="9">
        <f t="shared" si="0"/>
        <v>33</v>
      </c>
      <c r="B44" s="141">
        <v>8120</v>
      </c>
      <c r="C44" s="1" t="s">
        <v>252</v>
      </c>
      <c r="D44" s="174">
        <v>-2015.9000000000015</v>
      </c>
      <c r="E44" s="174">
        <v>-1412.8099999999995</v>
      </c>
      <c r="F44" s="174">
        <v>-678.5</v>
      </c>
      <c r="G44" s="174">
        <v>1025.4499999999998</v>
      </c>
      <c r="H44" s="174">
        <v>142.77999999999997</v>
      </c>
      <c r="I44" s="174">
        <v>83.759999999999991</v>
      </c>
      <c r="J44" s="113">
        <v>-157.88000000000011</v>
      </c>
      <c r="K44" s="113">
        <v>314.53999999999996</v>
      </c>
      <c r="L44" s="113">
        <v>-808.39000000000033</v>
      </c>
      <c r="M44" s="113">
        <v>-2890.6099999999997</v>
      </c>
      <c r="N44" s="113">
        <v>-3610</v>
      </c>
      <c r="O44" s="113">
        <v>-3930.9824905920091</v>
      </c>
      <c r="P44" s="17">
        <f t="shared" si="1"/>
        <v>-13938.54249059201</v>
      </c>
      <c r="Q44" s="1"/>
      <c r="R44" s="1"/>
      <c r="S44" s="1"/>
    </row>
    <row r="45" spans="1:19">
      <c r="A45" s="9">
        <f t="shared" si="0"/>
        <v>34</v>
      </c>
      <c r="B45" s="141">
        <v>8580</v>
      </c>
      <c r="C45" s="142" t="s">
        <v>253</v>
      </c>
      <c r="D45" s="174">
        <v>2285987.29</v>
      </c>
      <c r="E45" s="174">
        <v>2394375.9200000004</v>
      </c>
      <c r="F45" s="174">
        <v>2018731.38</v>
      </c>
      <c r="G45" s="174">
        <v>1642981.22</v>
      </c>
      <c r="H45" s="174">
        <v>1586611.2600000002</v>
      </c>
      <c r="I45" s="174">
        <v>1568769.92</v>
      </c>
      <c r="J45" s="113">
        <v>1625509.59</v>
      </c>
      <c r="K45" s="113">
        <v>1592552.49</v>
      </c>
      <c r="L45" s="113">
        <v>2055679.01</v>
      </c>
      <c r="M45" s="113">
        <v>2293023.75</v>
      </c>
      <c r="N45" s="113">
        <v>2351208.46</v>
      </c>
      <c r="O45" s="113">
        <v>1608157.0819724374</v>
      </c>
      <c r="P45" s="17">
        <f t="shared" si="1"/>
        <v>23023587.371972438</v>
      </c>
      <c r="Q45" s="75"/>
      <c r="R45" s="1"/>
      <c r="S45" s="1"/>
    </row>
    <row r="46" spans="1:19" ht="22.5" customHeight="1">
      <c r="A46" s="9">
        <f t="shared" si="0"/>
        <v>35</v>
      </c>
      <c r="B46" s="141">
        <v>8140</v>
      </c>
      <c r="C46" s="1" t="s">
        <v>254</v>
      </c>
      <c r="D46" s="174">
        <v>-284.99</v>
      </c>
      <c r="E46" s="174">
        <v>0</v>
      </c>
      <c r="F46" s="174">
        <v>0</v>
      </c>
      <c r="G46" s="174">
        <v>0</v>
      </c>
      <c r="H46" s="174">
        <v>0</v>
      </c>
      <c r="I46" s="174">
        <v>0</v>
      </c>
      <c r="J46" s="131">
        <v>0</v>
      </c>
      <c r="K46" s="131">
        <v>0</v>
      </c>
      <c r="L46" s="131">
        <v>0</v>
      </c>
      <c r="M46" s="131">
        <v>0</v>
      </c>
      <c r="N46" s="131">
        <v>83.74</v>
      </c>
      <c r="O46" s="131">
        <v>-6.1132019446031638</v>
      </c>
      <c r="P46" s="17">
        <f t="shared" si="1"/>
        <v>-207.36320194460316</v>
      </c>
      <c r="S46" s="1"/>
    </row>
    <row r="47" spans="1:19" ht="21.75" customHeight="1">
      <c r="A47" s="9">
        <f t="shared" si="0"/>
        <v>36</v>
      </c>
      <c r="B47" s="141">
        <v>8160</v>
      </c>
      <c r="C47" s="1" t="s">
        <v>255</v>
      </c>
      <c r="D47" s="174">
        <v>8712.2300000000014</v>
      </c>
      <c r="E47" s="174">
        <v>19621.62</v>
      </c>
      <c r="F47" s="174">
        <v>1888.71</v>
      </c>
      <c r="G47" s="174">
        <v>1878.57</v>
      </c>
      <c r="H47" s="174">
        <v>3796.64</v>
      </c>
      <c r="I47" s="174">
        <v>14701.06</v>
      </c>
      <c r="J47" s="131">
        <v>11646.95</v>
      </c>
      <c r="K47" s="131">
        <v>4157.8599999999997</v>
      </c>
      <c r="L47" s="131">
        <v>6358.77</v>
      </c>
      <c r="M47" s="131">
        <v>3733.31</v>
      </c>
      <c r="N47" s="131">
        <v>18546.149999999998</v>
      </c>
      <c r="O47" s="131">
        <v>7465.1026933774174</v>
      </c>
      <c r="P47" s="17">
        <f t="shared" si="1"/>
        <v>102506.97269337741</v>
      </c>
      <c r="Q47" s="1"/>
      <c r="R47" s="1"/>
      <c r="S47" s="1"/>
    </row>
    <row r="48" spans="1:19">
      <c r="A48" s="9">
        <f t="shared" si="0"/>
        <v>37</v>
      </c>
      <c r="B48" s="141">
        <v>8170</v>
      </c>
      <c r="C48" s="1" t="s">
        <v>256</v>
      </c>
      <c r="D48" s="174">
        <v>8336.66</v>
      </c>
      <c r="E48" s="174">
        <v>4065.4399999999996</v>
      </c>
      <c r="F48" s="174">
        <v>1563.6000000000001</v>
      </c>
      <c r="G48" s="174">
        <v>2088.5899999999997</v>
      </c>
      <c r="H48" s="174">
        <v>2578.9300000000003</v>
      </c>
      <c r="I48" s="174">
        <v>538.5</v>
      </c>
      <c r="J48" s="131">
        <v>2195.81</v>
      </c>
      <c r="K48" s="131">
        <v>1310.73</v>
      </c>
      <c r="L48" s="131">
        <v>4386.7</v>
      </c>
      <c r="M48" s="131">
        <v>3174.09</v>
      </c>
      <c r="N48" s="131">
        <v>3801.8399999999997</v>
      </c>
      <c r="O48" s="131">
        <v>2935.2038411403068</v>
      </c>
      <c r="P48" s="17">
        <f t="shared" si="1"/>
        <v>36976.093841140304</v>
      </c>
      <c r="Q48" s="1"/>
      <c r="R48" s="1"/>
      <c r="S48" s="1"/>
    </row>
    <row r="49" spans="1:22">
      <c r="A49" s="9">
        <f t="shared" si="0"/>
        <v>38</v>
      </c>
      <c r="B49" s="141">
        <v>8180</v>
      </c>
      <c r="C49" s="1" t="s">
        <v>257</v>
      </c>
      <c r="D49" s="174">
        <v>2110.71</v>
      </c>
      <c r="E49" s="174">
        <v>4870.84</v>
      </c>
      <c r="F49" s="174">
        <v>3731.9700000000003</v>
      </c>
      <c r="G49" s="174">
        <v>-260.41000000000003</v>
      </c>
      <c r="H49" s="174">
        <v>2552.6400000000003</v>
      </c>
      <c r="I49" s="174">
        <v>1489.79</v>
      </c>
      <c r="J49" s="131">
        <v>1051.5</v>
      </c>
      <c r="K49" s="131">
        <v>6407.2699999999986</v>
      </c>
      <c r="L49" s="131">
        <v>2520.85</v>
      </c>
      <c r="M49" s="131">
        <v>4023.0800000000004</v>
      </c>
      <c r="N49" s="131">
        <v>1202.6200000000001</v>
      </c>
      <c r="O49" s="131">
        <v>2184.0480395362933</v>
      </c>
      <c r="P49" s="17">
        <f t="shared" si="1"/>
        <v>31884.908039536291</v>
      </c>
      <c r="Q49" s="1"/>
      <c r="R49" s="1"/>
      <c r="S49" s="1"/>
    </row>
    <row r="50" spans="1:22" ht="15.75">
      <c r="A50" s="9">
        <f t="shared" si="0"/>
        <v>39</v>
      </c>
      <c r="B50" s="141">
        <v>8190</v>
      </c>
      <c r="C50" s="1" t="s">
        <v>258</v>
      </c>
      <c r="D50" s="174">
        <v>88.48</v>
      </c>
      <c r="E50" s="174">
        <v>80.42</v>
      </c>
      <c r="F50" s="174">
        <v>77.91</v>
      </c>
      <c r="G50" s="174">
        <v>3.04</v>
      </c>
      <c r="H50" s="174">
        <v>82.04</v>
      </c>
      <c r="I50" s="174">
        <v>82.83</v>
      </c>
      <c r="J50" s="131">
        <v>79.12</v>
      </c>
      <c r="K50" s="131">
        <v>86.37</v>
      </c>
      <c r="L50" s="131">
        <v>85.67</v>
      </c>
      <c r="M50" s="131">
        <v>0</v>
      </c>
      <c r="N50" s="131">
        <v>96.14</v>
      </c>
      <c r="O50" s="131">
        <v>60.272882166361782</v>
      </c>
      <c r="P50" s="17">
        <f t="shared" si="1"/>
        <v>822.29288216636178</v>
      </c>
      <c r="Q50" s="1"/>
      <c r="R50" s="181"/>
      <c r="S50" s="182"/>
    </row>
    <row r="51" spans="1:22" ht="15.75">
      <c r="A51" s="9">
        <f t="shared" si="0"/>
        <v>40</v>
      </c>
      <c r="B51" s="141">
        <v>8200</v>
      </c>
      <c r="C51" s="1" t="s">
        <v>259</v>
      </c>
      <c r="D51" s="174">
        <v>925.36</v>
      </c>
      <c r="E51" s="174">
        <v>375.88</v>
      </c>
      <c r="F51" s="174">
        <v>-50.620000000000005</v>
      </c>
      <c r="G51" s="174">
        <v>94.17</v>
      </c>
      <c r="H51" s="174">
        <v>94.56</v>
      </c>
      <c r="I51" s="174">
        <v>86.6</v>
      </c>
      <c r="J51" s="131">
        <v>791.71</v>
      </c>
      <c r="K51" s="131">
        <v>-189.03</v>
      </c>
      <c r="L51" s="131">
        <v>134.86000000000001</v>
      </c>
      <c r="M51" s="131">
        <v>140.07</v>
      </c>
      <c r="N51" s="131">
        <v>414.51</v>
      </c>
      <c r="O51" s="131">
        <v>227.68421381215569</v>
      </c>
      <c r="P51" s="17">
        <f t="shared" si="1"/>
        <v>3045.7542138121553</v>
      </c>
      <c r="Q51" s="1"/>
      <c r="R51" s="183"/>
      <c r="S51" s="184"/>
    </row>
    <row r="52" spans="1:22">
      <c r="A52" s="9">
        <f t="shared" si="0"/>
        <v>41</v>
      </c>
      <c r="B52" s="141">
        <v>8210</v>
      </c>
      <c r="C52" s="1" t="s">
        <v>260</v>
      </c>
      <c r="D52" s="174">
        <v>12439.340000000002</v>
      </c>
      <c r="E52" s="174">
        <v>-1434.7399999999998</v>
      </c>
      <c r="F52" s="174">
        <v>-238.72</v>
      </c>
      <c r="G52" s="174">
        <v>459.40999999999997</v>
      </c>
      <c r="H52" s="174">
        <v>425.49</v>
      </c>
      <c r="I52" s="174">
        <v>14630.41</v>
      </c>
      <c r="J52" s="131">
        <v>701.05</v>
      </c>
      <c r="K52" s="131">
        <v>489.40999999999997</v>
      </c>
      <c r="L52" s="131">
        <v>1700.24</v>
      </c>
      <c r="M52" s="131">
        <v>9300.64</v>
      </c>
      <c r="N52" s="131">
        <v>2581.4300000000003</v>
      </c>
      <c r="O52" s="131">
        <v>3811.3027844055759</v>
      </c>
      <c r="P52" s="17">
        <f t="shared" si="1"/>
        <v>44865.262784405575</v>
      </c>
      <c r="Q52" s="1"/>
      <c r="R52" s="185"/>
      <c r="S52" s="1"/>
    </row>
    <row r="53" spans="1:22">
      <c r="A53" s="9">
        <f t="shared" si="0"/>
        <v>42</v>
      </c>
      <c r="B53" s="141">
        <v>8240</v>
      </c>
      <c r="C53" s="1" t="s">
        <v>261</v>
      </c>
      <c r="D53" s="174">
        <v>651.09</v>
      </c>
      <c r="E53" s="174">
        <v>30.549999999999997</v>
      </c>
      <c r="F53" s="174">
        <v>25.48</v>
      </c>
      <c r="G53" s="174">
        <v>52.61</v>
      </c>
      <c r="H53" s="174">
        <v>20.02</v>
      </c>
      <c r="I53" s="174">
        <v>0</v>
      </c>
      <c r="J53" s="131">
        <v>0</v>
      </c>
      <c r="K53" s="131">
        <v>0</v>
      </c>
      <c r="L53" s="131">
        <v>0</v>
      </c>
      <c r="M53" s="131">
        <v>0</v>
      </c>
      <c r="N53" s="131">
        <v>0</v>
      </c>
      <c r="O53" s="131">
        <v>113.83917920073242</v>
      </c>
      <c r="P53" s="17">
        <f t="shared" si="1"/>
        <v>893.58917920073236</v>
      </c>
      <c r="Q53" s="1"/>
      <c r="R53" s="185"/>
      <c r="S53" s="1"/>
    </row>
    <row r="54" spans="1:22">
      <c r="A54" s="9">
        <f t="shared" si="0"/>
        <v>43</v>
      </c>
      <c r="B54" s="141">
        <v>8250</v>
      </c>
      <c r="C54" s="1" t="s">
        <v>262</v>
      </c>
      <c r="D54" s="174">
        <v>2468.6699999999996</v>
      </c>
      <c r="E54" s="174">
        <v>1059.6300000000001</v>
      </c>
      <c r="F54" s="174">
        <v>354.31000000000006</v>
      </c>
      <c r="G54" s="174">
        <v>698.02000000000021</v>
      </c>
      <c r="H54" s="174">
        <v>133.5</v>
      </c>
      <c r="I54" s="174">
        <v>113.09</v>
      </c>
      <c r="J54" s="131">
        <v>140.22999999999999</v>
      </c>
      <c r="K54" s="131">
        <v>327.57</v>
      </c>
      <c r="L54" s="131">
        <v>404.09999999999997</v>
      </c>
      <c r="M54" s="131">
        <v>571.25</v>
      </c>
      <c r="N54" s="131">
        <v>1537.1999999999998</v>
      </c>
      <c r="O54" s="131">
        <v>637.01309780284305</v>
      </c>
      <c r="P54" s="17">
        <f t="shared" si="1"/>
        <v>8444.5830978028425</v>
      </c>
      <c r="Q54" s="1"/>
      <c r="R54" s="1"/>
      <c r="S54" s="1"/>
    </row>
    <row r="55" spans="1:22">
      <c r="A55" s="255">
        <f t="shared" si="0"/>
        <v>44</v>
      </c>
      <c r="B55" s="141">
        <v>8260</v>
      </c>
      <c r="C55" s="142" t="s">
        <v>361</v>
      </c>
      <c r="D55" s="174"/>
      <c r="E55" s="174"/>
      <c r="F55" s="174"/>
      <c r="G55" s="174"/>
      <c r="H55" s="174"/>
      <c r="I55" s="174"/>
      <c r="J55" s="131"/>
      <c r="K55" s="131"/>
      <c r="L55" s="131"/>
      <c r="M55" s="131"/>
      <c r="N55" s="131">
        <v>400</v>
      </c>
      <c r="O55" s="131"/>
      <c r="P55" s="17">
        <f t="shared" si="1"/>
        <v>400</v>
      </c>
      <c r="Q55" s="1"/>
      <c r="R55" s="1"/>
      <c r="S55" s="1"/>
    </row>
    <row r="56" spans="1:22">
      <c r="A56" s="255">
        <f t="shared" si="0"/>
        <v>45</v>
      </c>
      <c r="B56" s="141">
        <v>8310</v>
      </c>
      <c r="C56" s="1" t="s">
        <v>263</v>
      </c>
      <c r="D56" s="174">
        <v>600</v>
      </c>
      <c r="E56" s="174">
        <v>0</v>
      </c>
      <c r="F56" s="174">
        <v>750</v>
      </c>
      <c r="G56" s="174">
        <v>0</v>
      </c>
      <c r="H56" s="174">
        <v>300</v>
      </c>
      <c r="I56" s="174">
        <v>600</v>
      </c>
      <c r="J56" s="131">
        <v>0</v>
      </c>
      <c r="K56" s="131">
        <v>300</v>
      </c>
      <c r="L56" s="131">
        <v>1410</v>
      </c>
      <c r="M56" s="131">
        <v>5526.48</v>
      </c>
      <c r="N56" s="131">
        <v>999.81</v>
      </c>
      <c r="O56" s="131">
        <v>314.79626845355949</v>
      </c>
      <c r="P56" s="17">
        <f t="shared" si="1"/>
        <v>10801.086268453559</v>
      </c>
      <c r="Q56" s="1"/>
      <c r="R56" s="185"/>
      <c r="S56" s="1"/>
    </row>
    <row r="57" spans="1:22">
      <c r="A57" s="255">
        <f t="shared" si="0"/>
        <v>46</v>
      </c>
      <c r="B57" s="141">
        <v>8340</v>
      </c>
      <c r="C57" s="1" t="s">
        <v>264</v>
      </c>
      <c r="D57" s="174">
        <v>17.850000000000023</v>
      </c>
      <c r="E57" s="174">
        <v>654.18000000000006</v>
      </c>
      <c r="F57" s="174">
        <v>758.91</v>
      </c>
      <c r="G57" s="174">
        <v>512.27</v>
      </c>
      <c r="H57" s="174">
        <v>-132.81</v>
      </c>
      <c r="I57" s="174">
        <v>0</v>
      </c>
      <c r="J57" s="131">
        <v>0</v>
      </c>
      <c r="K57" s="131">
        <v>0</v>
      </c>
      <c r="L57" s="131">
        <v>922.45</v>
      </c>
      <c r="M57" s="131">
        <v>-172.99</v>
      </c>
      <c r="N57" s="131">
        <v>0</v>
      </c>
      <c r="O57" s="131">
        <v>268.63173871102919</v>
      </c>
      <c r="P57" s="17">
        <f t="shared" si="1"/>
        <v>2828.4917387110299</v>
      </c>
      <c r="Q57" s="1"/>
      <c r="R57" s="185"/>
      <c r="S57" s="1"/>
    </row>
    <row r="58" spans="1:22">
      <c r="A58" s="255">
        <f t="shared" si="0"/>
        <v>47</v>
      </c>
      <c r="B58" s="141">
        <v>8350</v>
      </c>
      <c r="C58" s="1" t="s">
        <v>265</v>
      </c>
      <c r="D58" s="174">
        <v>1062.48</v>
      </c>
      <c r="E58" s="174">
        <v>-398.43</v>
      </c>
      <c r="F58" s="174">
        <v>0</v>
      </c>
      <c r="G58" s="174">
        <v>536.30999999999995</v>
      </c>
      <c r="H58" s="174">
        <v>-132.81</v>
      </c>
      <c r="I58" s="174">
        <v>173.45</v>
      </c>
      <c r="J58" s="131">
        <v>-61.55</v>
      </c>
      <c r="K58" s="131">
        <v>0</v>
      </c>
      <c r="L58" s="131">
        <v>0</v>
      </c>
      <c r="M58" s="131">
        <v>0</v>
      </c>
      <c r="N58" s="131">
        <v>0</v>
      </c>
      <c r="O58" s="131">
        <v>191.77887696459405</v>
      </c>
      <c r="P58" s="17">
        <f t="shared" si="1"/>
        <v>1371.2288769645941</v>
      </c>
      <c r="Q58" s="1"/>
      <c r="R58" s="185"/>
      <c r="S58" s="1"/>
    </row>
    <row r="59" spans="1:22">
      <c r="A59" s="255">
        <f t="shared" si="0"/>
        <v>48</v>
      </c>
      <c r="B59" s="141">
        <v>8360</v>
      </c>
      <c r="C59" s="1" t="s">
        <v>266</v>
      </c>
      <c r="D59" s="174">
        <v>0</v>
      </c>
      <c r="E59" s="174">
        <v>0</v>
      </c>
      <c r="F59" s="174">
        <v>147.57</v>
      </c>
      <c r="G59" s="174">
        <v>-21.08</v>
      </c>
      <c r="H59" s="174">
        <v>0</v>
      </c>
      <c r="I59" s="174">
        <v>0</v>
      </c>
      <c r="J59" s="131">
        <v>0</v>
      </c>
      <c r="K59" s="131">
        <v>0</v>
      </c>
      <c r="L59" s="131">
        <v>0</v>
      </c>
      <c r="M59" s="131">
        <v>0</v>
      </c>
      <c r="N59" s="131">
        <v>0</v>
      </c>
      <c r="O59" s="131">
        <v>19.568182237875604</v>
      </c>
      <c r="P59" s="17">
        <f t="shared" si="1"/>
        <v>146.0581822378756</v>
      </c>
      <c r="Q59" s="1"/>
      <c r="R59" s="185"/>
      <c r="S59" s="1"/>
    </row>
    <row r="60" spans="1:22">
      <c r="A60" s="255">
        <f t="shared" si="0"/>
        <v>49</v>
      </c>
      <c r="B60" s="141">
        <v>8370</v>
      </c>
      <c r="C60" s="17" t="s">
        <v>120</v>
      </c>
      <c r="D60" s="174"/>
      <c r="E60" s="174"/>
      <c r="F60" s="174"/>
      <c r="G60" s="174"/>
      <c r="H60" s="174"/>
      <c r="I60" s="174"/>
      <c r="J60" s="131">
        <v>0</v>
      </c>
      <c r="K60" s="131">
        <v>0</v>
      </c>
      <c r="L60" s="131">
        <v>0</v>
      </c>
      <c r="M60" s="131">
        <v>0</v>
      </c>
      <c r="N60" s="131">
        <v>0</v>
      </c>
      <c r="O60" s="131">
        <v>0</v>
      </c>
      <c r="P60" s="17">
        <f t="shared" si="1"/>
        <v>0</v>
      </c>
      <c r="Q60" s="1"/>
      <c r="R60" s="185"/>
      <c r="S60" s="1"/>
    </row>
    <row r="61" spans="1:22">
      <c r="A61" s="255">
        <f t="shared" si="0"/>
        <v>50</v>
      </c>
      <c r="B61" s="141">
        <v>8410</v>
      </c>
      <c r="C61" s="17" t="s">
        <v>267</v>
      </c>
      <c r="D61" s="174">
        <v>3408.6099999999997</v>
      </c>
      <c r="E61" s="174">
        <v>13509.07</v>
      </c>
      <c r="F61" s="174">
        <v>9210.5400000000009</v>
      </c>
      <c r="G61" s="174">
        <v>14340.630000000001</v>
      </c>
      <c r="H61" s="174">
        <v>14108.560000000001</v>
      </c>
      <c r="I61" s="174">
        <v>11974.95</v>
      </c>
      <c r="J61" s="131">
        <v>6708.16</v>
      </c>
      <c r="K61" s="131">
        <v>7040.0199999999986</v>
      </c>
      <c r="L61" s="131">
        <v>6349.37</v>
      </c>
      <c r="M61" s="131">
        <v>11197.96</v>
      </c>
      <c r="N61" s="131">
        <v>13879.109999999999</v>
      </c>
      <c r="O61" s="131">
        <v>10211.565679906162</v>
      </c>
      <c r="P61" s="17">
        <f t="shared" si="1"/>
        <v>121938.54567990615</v>
      </c>
      <c r="Q61" s="1"/>
      <c r="R61" s="1"/>
      <c r="S61" s="1"/>
    </row>
    <row r="62" spans="1:22">
      <c r="A62" s="255">
        <f t="shared" si="0"/>
        <v>51</v>
      </c>
      <c r="B62" s="141">
        <v>8520</v>
      </c>
      <c r="C62" s="17" t="s">
        <v>125</v>
      </c>
      <c r="D62" s="174"/>
      <c r="E62" s="174"/>
      <c r="F62" s="174"/>
      <c r="G62" s="174"/>
      <c r="H62" s="174"/>
      <c r="I62" s="174"/>
      <c r="J62" s="131">
        <v>0</v>
      </c>
      <c r="K62" s="131">
        <v>0</v>
      </c>
      <c r="L62" s="131">
        <v>0</v>
      </c>
      <c r="M62" s="131">
        <v>0</v>
      </c>
      <c r="N62" s="131">
        <v>0</v>
      </c>
      <c r="O62" s="131">
        <v>0</v>
      </c>
      <c r="P62" s="17">
        <f t="shared" si="1"/>
        <v>0</v>
      </c>
      <c r="Q62" s="1"/>
      <c r="R62" s="1"/>
      <c r="S62" s="1"/>
      <c r="U62" s="175"/>
      <c r="V62" s="179"/>
    </row>
    <row r="63" spans="1:22">
      <c r="A63" s="255">
        <f t="shared" si="0"/>
        <v>52</v>
      </c>
      <c r="B63" s="141">
        <v>8550</v>
      </c>
      <c r="C63" s="17" t="s">
        <v>268</v>
      </c>
      <c r="D63" s="174">
        <v>0</v>
      </c>
      <c r="E63" s="174">
        <v>0</v>
      </c>
      <c r="F63" s="174">
        <v>0</v>
      </c>
      <c r="G63" s="174">
        <v>0</v>
      </c>
      <c r="H63" s="174">
        <v>0</v>
      </c>
      <c r="I63" s="174">
        <v>29.91</v>
      </c>
      <c r="J63" s="131">
        <v>30.28</v>
      </c>
      <c r="K63" s="131">
        <v>30.71</v>
      </c>
      <c r="L63" s="131">
        <v>30.45</v>
      </c>
      <c r="M63" s="131">
        <v>31.55</v>
      </c>
      <c r="N63" s="131">
        <v>32.64</v>
      </c>
      <c r="O63" s="131">
        <v>4.3469374652678461</v>
      </c>
      <c r="P63" s="17">
        <f t="shared" si="1"/>
        <v>189.88693746526786</v>
      </c>
      <c r="Q63" s="1"/>
      <c r="R63" s="1"/>
      <c r="S63" s="1"/>
      <c r="U63" s="175"/>
      <c r="V63" s="179"/>
    </row>
    <row r="64" spans="1:22">
      <c r="A64" s="255">
        <f t="shared" si="0"/>
        <v>53</v>
      </c>
      <c r="B64" s="141">
        <v>8560</v>
      </c>
      <c r="C64" s="17" t="s">
        <v>269</v>
      </c>
      <c r="D64" s="174">
        <v>24144.68</v>
      </c>
      <c r="E64" s="174">
        <v>43383.79</v>
      </c>
      <c r="F64" s="174">
        <v>11396.799999999997</v>
      </c>
      <c r="G64" s="174">
        <v>26439.250000000004</v>
      </c>
      <c r="H64" s="174">
        <v>16253.01</v>
      </c>
      <c r="I64" s="174">
        <v>44203.270000000011</v>
      </c>
      <c r="J64" s="131">
        <v>37134.5</v>
      </c>
      <c r="K64" s="131">
        <v>27506.090000000007</v>
      </c>
      <c r="L64" s="131">
        <v>32818.950000000004</v>
      </c>
      <c r="M64" s="131">
        <v>18218.36</v>
      </c>
      <c r="N64" s="131">
        <v>19114.559999999998</v>
      </c>
      <c r="O64" s="131">
        <v>24807.767318910639</v>
      </c>
      <c r="P64" s="17">
        <f t="shared" si="1"/>
        <v>325421.02731891064</v>
      </c>
      <c r="Q64" s="1"/>
      <c r="R64" s="185"/>
      <c r="S64" s="1"/>
    </row>
    <row r="65" spans="1:19">
      <c r="A65" s="255">
        <f t="shared" si="0"/>
        <v>54</v>
      </c>
      <c r="B65" s="141">
        <v>8570</v>
      </c>
      <c r="C65" s="17" t="s">
        <v>270</v>
      </c>
      <c r="D65" s="174">
        <v>7494.5</v>
      </c>
      <c r="E65" s="174">
        <v>543.74</v>
      </c>
      <c r="F65" s="174">
        <v>3496.8999999999996</v>
      </c>
      <c r="G65" s="174">
        <v>4550.3700000000008</v>
      </c>
      <c r="H65" s="174">
        <v>1846.6399999999999</v>
      </c>
      <c r="I65" s="174">
        <v>90.190000000000055</v>
      </c>
      <c r="J65" s="131">
        <v>7435.85</v>
      </c>
      <c r="K65" s="131">
        <v>770.61</v>
      </c>
      <c r="L65" s="131">
        <v>1576.37</v>
      </c>
      <c r="M65" s="131">
        <v>4187.4800000000005</v>
      </c>
      <c r="N65" s="131">
        <v>4154.03</v>
      </c>
      <c r="O65" s="131">
        <v>2734.3306191778629</v>
      </c>
      <c r="P65" s="17">
        <f t="shared" si="1"/>
        <v>38881.010619177861</v>
      </c>
      <c r="Q65" s="1"/>
      <c r="R65" s="1"/>
      <c r="S65" s="1"/>
    </row>
    <row r="66" spans="1:19">
      <c r="A66" s="255">
        <f t="shared" si="0"/>
        <v>55</v>
      </c>
      <c r="B66" s="141">
        <v>8590</v>
      </c>
      <c r="C66" s="179" t="s">
        <v>271</v>
      </c>
      <c r="D66" s="174"/>
      <c r="E66" s="174"/>
      <c r="F66" s="174"/>
      <c r="G66" s="174"/>
      <c r="H66" s="174"/>
      <c r="I66" s="174">
        <v>0</v>
      </c>
      <c r="J66" s="174">
        <v>1499.73</v>
      </c>
      <c r="K66" s="131">
        <v>-575.70000000000005</v>
      </c>
      <c r="L66" s="131"/>
      <c r="M66" s="131"/>
      <c r="N66" s="131"/>
      <c r="O66" s="131"/>
      <c r="P66" s="17">
        <f t="shared" si="1"/>
        <v>924.03</v>
      </c>
      <c r="Q66" s="1"/>
      <c r="R66" s="1"/>
      <c r="S66" s="1"/>
    </row>
    <row r="67" spans="1:19">
      <c r="A67" s="255">
        <f t="shared" si="0"/>
        <v>56</v>
      </c>
      <c r="B67" s="141">
        <v>8630</v>
      </c>
      <c r="C67" s="17" t="s">
        <v>272</v>
      </c>
      <c r="D67" s="174">
        <v>0</v>
      </c>
      <c r="E67" s="174">
        <v>215.03</v>
      </c>
      <c r="F67" s="174">
        <v>897.19999999999993</v>
      </c>
      <c r="G67" s="174">
        <v>-140.82</v>
      </c>
      <c r="H67" s="174">
        <v>1240.4100000000001</v>
      </c>
      <c r="I67" s="174">
        <v>804.21</v>
      </c>
      <c r="J67" s="174">
        <v>268.84000000000003</v>
      </c>
      <c r="K67" s="131">
        <v>2980.0800000000004</v>
      </c>
      <c r="L67" s="131">
        <v>1655.53</v>
      </c>
      <c r="M67" s="131">
        <v>-349.07</v>
      </c>
      <c r="N67" s="131">
        <v>-43.55</v>
      </c>
      <c r="O67" s="131">
        <v>466.58411475136342</v>
      </c>
      <c r="P67" s="17">
        <f t="shared" si="1"/>
        <v>7994.4441147513644</v>
      </c>
      <c r="Q67" s="1"/>
      <c r="R67" s="185"/>
      <c r="S67" s="1"/>
    </row>
    <row r="68" spans="1:19">
      <c r="A68" s="255">
        <f t="shared" si="0"/>
        <v>57</v>
      </c>
      <c r="B68" s="141">
        <v>8640</v>
      </c>
      <c r="C68" s="17" t="s">
        <v>273</v>
      </c>
      <c r="D68" s="174"/>
      <c r="E68" s="174"/>
      <c r="F68" s="174"/>
      <c r="G68" s="174"/>
      <c r="H68" s="174"/>
      <c r="I68" s="174"/>
      <c r="J68" s="131"/>
      <c r="K68" s="131">
        <v>0</v>
      </c>
      <c r="L68" s="131">
        <v>0</v>
      </c>
      <c r="M68" s="131">
        <v>0</v>
      </c>
      <c r="N68" s="131">
        <v>0</v>
      </c>
      <c r="O68" s="131">
        <v>0</v>
      </c>
      <c r="P68" s="17">
        <f t="shared" si="1"/>
        <v>0</v>
      </c>
      <c r="Q68" s="1"/>
      <c r="R68" s="185"/>
      <c r="S68" s="1"/>
    </row>
    <row r="69" spans="1:19">
      <c r="A69" s="255">
        <f t="shared" si="0"/>
        <v>58</v>
      </c>
      <c r="B69" s="141">
        <v>8650</v>
      </c>
      <c r="C69" s="17" t="s">
        <v>274</v>
      </c>
      <c r="D69" s="174">
        <v>0</v>
      </c>
      <c r="E69" s="174">
        <v>0</v>
      </c>
      <c r="F69" s="174">
        <v>2862.96</v>
      </c>
      <c r="G69" s="174">
        <v>279.2</v>
      </c>
      <c r="H69" s="174">
        <v>-177.08</v>
      </c>
      <c r="I69" s="174">
        <v>0</v>
      </c>
      <c r="J69" s="174">
        <v>0</v>
      </c>
      <c r="K69" s="131">
        <v>20</v>
      </c>
      <c r="L69" s="131">
        <v>0</v>
      </c>
      <c r="M69" s="131">
        <v>0</v>
      </c>
      <c r="N69" s="131">
        <v>0</v>
      </c>
      <c r="O69" s="131">
        <v>458.52761459391206</v>
      </c>
      <c r="P69" s="17">
        <f t="shared" si="1"/>
        <v>3443.6076145939119</v>
      </c>
      <c r="Q69" s="1"/>
      <c r="R69" s="1"/>
      <c r="S69" s="1"/>
    </row>
    <row r="70" spans="1:19">
      <c r="A70" s="255">
        <f t="shared" si="0"/>
        <v>59</v>
      </c>
      <c r="B70" s="141">
        <v>8700</v>
      </c>
      <c r="C70" s="17" t="s">
        <v>275</v>
      </c>
      <c r="D70" s="174">
        <v>108924.19999999965</v>
      </c>
      <c r="E70" s="174">
        <v>123894.28000000009</v>
      </c>
      <c r="F70" s="174">
        <v>87335.919999999882</v>
      </c>
      <c r="G70" s="174">
        <v>96211.379999999917</v>
      </c>
      <c r="H70" s="174">
        <v>106036.00999999997</v>
      </c>
      <c r="I70" s="174">
        <v>139540.11999999976</v>
      </c>
      <c r="J70" s="174">
        <v>159376.39000000004</v>
      </c>
      <c r="K70" s="131">
        <v>105002.58000000009</v>
      </c>
      <c r="L70" s="131">
        <v>75039.830000000016</v>
      </c>
      <c r="M70" s="131">
        <v>89901.459999999977</v>
      </c>
      <c r="N70" s="131">
        <v>98951.490000000165</v>
      </c>
      <c r="O70" s="131">
        <v>85018.651079679286</v>
      </c>
      <c r="P70" s="17">
        <f t="shared" si="1"/>
        <v>1275232.3110796788</v>
      </c>
      <c r="Q70" s="1"/>
      <c r="R70" s="185"/>
      <c r="S70" s="1"/>
    </row>
    <row r="71" spans="1:19">
      <c r="A71" s="255">
        <f t="shared" si="0"/>
        <v>60</v>
      </c>
      <c r="B71" s="141">
        <v>8710</v>
      </c>
      <c r="C71" s="17" t="s">
        <v>276</v>
      </c>
      <c r="D71" s="174">
        <v>911.53</v>
      </c>
      <c r="E71" s="174">
        <v>19.5</v>
      </c>
      <c r="F71" s="174">
        <v>21.6</v>
      </c>
      <c r="G71" s="174">
        <v>41.290000000000006</v>
      </c>
      <c r="H71" s="174">
        <v>41.41</v>
      </c>
      <c r="I71" s="174">
        <v>21.52</v>
      </c>
      <c r="J71" s="174">
        <v>3283.12</v>
      </c>
      <c r="K71" s="131">
        <v>43.980000000000004</v>
      </c>
      <c r="L71" s="131">
        <v>47.52</v>
      </c>
      <c r="M71" s="131">
        <v>48.51</v>
      </c>
      <c r="N71" s="131">
        <v>43.94</v>
      </c>
      <c r="O71" s="131">
        <v>153.59615045698172</v>
      </c>
      <c r="P71" s="17">
        <f t="shared" si="1"/>
        <v>4677.5161504569805</v>
      </c>
      <c r="Q71" s="1"/>
      <c r="R71" s="185"/>
      <c r="S71" s="1"/>
    </row>
    <row r="72" spans="1:19">
      <c r="A72" s="255">
        <f t="shared" si="0"/>
        <v>61</v>
      </c>
      <c r="B72" s="141">
        <v>8711</v>
      </c>
      <c r="C72" s="172" t="s">
        <v>277</v>
      </c>
      <c r="D72" s="174">
        <v>0</v>
      </c>
      <c r="E72" s="174">
        <v>0</v>
      </c>
      <c r="F72" s="174">
        <v>0</v>
      </c>
      <c r="G72" s="174">
        <v>5985.9</v>
      </c>
      <c r="H72" s="174">
        <v>0</v>
      </c>
      <c r="I72" s="174">
        <v>0</v>
      </c>
      <c r="J72" s="174">
        <v>0</v>
      </c>
      <c r="K72" s="131">
        <v>137.12</v>
      </c>
      <c r="L72" s="131">
        <v>0</v>
      </c>
      <c r="M72" s="131">
        <v>3036.51</v>
      </c>
      <c r="N72" s="131">
        <v>2987.7</v>
      </c>
      <c r="O72" s="131">
        <v>874.83791984721836</v>
      </c>
      <c r="P72" s="17">
        <f t="shared" si="1"/>
        <v>13022.067919847217</v>
      </c>
      <c r="Q72" s="1"/>
      <c r="R72" s="185"/>
      <c r="S72" s="1"/>
    </row>
    <row r="73" spans="1:19">
      <c r="A73" s="255">
        <f t="shared" si="0"/>
        <v>62</v>
      </c>
      <c r="B73" s="141">
        <v>8720</v>
      </c>
      <c r="C73" s="172" t="s">
        <v>278</v>
      </c>
      <c r="D73" s="174"/>
      <c r="E73" s="174"/>
      <c r="F73" s="174"/>
      <c r="G73" s="174"/>
      <c r="H73" s="174"/>
      <c r="I73" s="174"/>
      <c r="J73" s="131"/>
      <c r="K73" s="131">
        <v>0</v>
      </c>
      <c r="L73" s="131">
        <v>0</v>
      </c>
      <c r="M73" s="131">
        <v>0</v>
      </c>
      <c r="N73" s="131">
        <v>0</v>
      </c>
      <c r="O73" s="131">
        <v>0</v>
      </c>
      <c r="P73" s="17">
        <f t="shared" si="1"/>
        <v>0</v>
      </c>
      <c r="Q73" s="1"/>
      <c r="R73" s="185"/>
      <c r="S73" s="1"/>
    </row>
    <row r="74" spans="1:19">
      <c r="A74" s="255">
        <f t="shared" si="0"/>
        <v>63</v>
      </c>
      <c r="B74" s="141">
        <v>8740</v>
      </c>
      <c r="C74" s="17" t="s">
        <v>279</v>
      </c>
      <c r="D74" s="174">
        <v>337866.07</v>
      </c>
      <c r="E74" s="174">
        <v>322093.16000000003</v>
      </c>
      <c r="F74" s="174">
        <v>299562.99000000011</v>
      </c>
      <c r="G74" s="174">
        <v>331434.98000000004</v>
      </c>
      <c r="H74" s="174">
        <v>348644.54999999987</v>
      </c>
      <c r="I74" s="174">
        <v>297225.92</v>
      </c>
      <c r="J74" s="174">
        <v>366379.21000000014</v>
      </c>
      <c r="K74" s="131">
        <v>345861.54000000004</v>
      </c>
      <c r="L74" s="131">
        <v>260466.81000000011</v>
      </c>
      <c r="M74" s="131">
        <v>304703.95999999985</v>
      </c>
      <c r="N74" s="131">
        <v>220014.79999999993</v>
      </c>
      <c r="O74" s="131">
        <v>292439.46788492642</v>
      </c>
      <c r="P74" s="17">
        <f t="shared" si="1"/>
        <v>3726693.4578849263</v>
      </c>
      <c r="Q74" s="1"/>
      <c r="R74" s="185"/>
      <c r="S74" s="1"/>
    </row>
    <row r="75" spans="1:19">
      <c r="A75" s="255">
        <f t="shared" si="0"/>
        <v>64</v>
      </c>
      <c r="B75" s="141">
        <v>8750</v>
      </c>
      <c r="C75" s="17" t="s">
        <v>280</v>
      </c>
      <c r="D75" s="174">
        <v>40672.54</v>
      </c>
      <c r="E75" s="174">
        <v>12822.8</v>
      </c>
      <c r="F75" s="174">
        <v>59894.830000000009</v>
      </c>
      <c r="G75" s="174">
        <v>30927.120000000006</v>
      </c>
      <c r="H75" s="174">
        <v>39263.279999999992</v>
      </c>
      <c r="I75" s="174">
        <v>22811.64</v>
      </c>
      <c r="J75" s="174">
        <v>22808.729999999996</v>
      </c>
      <c r="K75" s="131">
        <v>41584.400000000009</v>
      </c>
      <c r="L75" s="131">
        <v>39408.990000000005</v>
      </c>
      <c r="M75" s="131">
        <v>35647.69</v>
      </c>
      <c r="N75" s="131">
        <v>42861.94</v>
      </c>
      <c r="O75" s="131">
        <v>31562.867538473729</v>
      </c>
      <c r="P75" s="17">
        <f t="shared" si="1"/>
        <v>420266.82753847376</v>
      </c>
      <c r="Q75" s="1"/>
      <c r="R75" s="185"/>
      <c r="S75" s="1"/>
    </row>
    <row r="76" spans="1:19">
      <c r="A76" s="255">
        <f t="shared" si="0"/>
        <v>65</v>
      </c>
      <c r="B76" s="141">
        <v>8760</v>
      </c>
      <c r="C76" s="17" t="s">
        <v>281</v>
      </c>
      <c r="D76" s="174">
        <v>1931.5</v>
      </c>
      <c r="E76" s="174">
        <v>534.79</v>
      </c>
      <c r="F76" s="174">
        <v>2812.65</v>
      </c>
      <c r="G76" s="174">
        <v>2681.4599999999996</v>
      </c>
      <c r="H76" s="174">
        <v>3657.0099999999998</v>
      </c>
      <c r="I76" s="174">
        <v>6084.99</v>
      </c>
      <c r="J76" s="174">
        <v>4873.21</v>
      </c>
      <c r="K76" s="131">
        <v>-1493.87</v>
      </c>
      <c r="L76" s="131">
        <v>119.17999999999999</v>
      </c>
      <c r="M76" s="131">
        <v>-55.86</v>
      </c>
      <c r="N76" s="131">
        <v>0</v>
      </c>
      <c r="O76" s="131">
        <v>2676.285516171497</v>
      </c>
      <c r="P76" s="17">
        <f t="shared" si="1"/>
        <v>23821.345516171499</v>
      </c>
      <c r="Q76" s="1"/>
      <c r="R76" s="185"/>
      <c r="S76" s="1"/>
    </row>
    <row r="77" spans="1:19">
      <c r="A77" s="255">
        <f t="shared" si="0"/>
        <v>66</v>
      </c>
      <c r="B77" s="141">
        <v>8770</v>
      </c>
      <c r="C77" s="17" t="s">
        <v>282</v>
      </c>
      <c r="D77" s="174">
        <v>4439.130000000001</v>
      </c>
      <c r="E77" s="174">
        <v>3366.64</v>
      </c>
      <c r="F77" s="174">
        <v>4994.420000000001</v>
      </c>
      <c r="G77" s="174">
        <v>11335.130000000001</v>
      </c>
      <c r="H77" s="174">
        <v>23157.57</v>
      </c>
      <c r="I77" s="174">
        <v>21429.11</v>
      </c>
      <c r="J77" s="174">
        <v>2241.4</v>
      </c>
      <c r="K77" s="131">
        <v>9731.43</v>
      </c>
      <c r="L77" s="131">
        <v>1743.54</v>
      </c>
      <c r="M77" s="131">
        <v>1947.08</v>
      </c>
      <c r="N77" s="131">
        <v>6466.0700000000006</v>
      </c>
      <c r="O77" s="131">
        <v>10077.374849008364</v>
      </c>
      <c r="P77" s="17">
        <f t="shared" si="1"/>
        <v>100928.89484900836</v>
      </c>
      <c r="Q77" s="1"/>
      <c r="R77" s="185"/>
      <c r="S77" s="1"/>
    </row>
    <row r="78" spans="1:19">
      <c r="A78" s="255">
        <f t="shared" ref="A78:A113" si="3">A77+1</f>
        <v>67</v>
      </c>
      <c r="B78" s="141">
        <v>8780</v>
      </c>
      <c r="C78" s="17" t="s">
        <v>283</v>
      </c>
      <c r="D78" s="174">
        <v>85679.659999999931</v>
      </c>
      <c r="E78" s="174">
        <v>77707.450000000012</v>
      </c>
      <c r="F78" s="174">
        <v>66202.750000000029</v>
      </c>
      <c r="G78" s="174">
        <v>70824.289999999979</v>
      </c>
      <c r="H78" s="174">
        <v>80798.549999999974</v>
      </c>
      <c r="I78" s="174">
        <v>76264.640000000014</v>
      </c>
      <c r="J78" s="174">
        <v>92149.300000000017</v>
      </c>
      <c r="K78" s="131">
        <v>97049.47</v>
      </c>
      <c r="L78" s="131">
        <v>100478.64999999997</v>
      </c>
      <c r="M78" s="131">
        <v>98539.550000000017</v>
      </c>
      <c r="N78" s="131">
        <v>94416.349999999991</v>
      </c>
      <c r="O78" s="131">
        <v>70147.61465378289</v>
      </c>
      <c r="P78" s="17">
        <f t="shared" si="1"/>
        <v>1010258.2746537827</v>
      </c>
      <c r="Q78" s="1"/>
      <c r="R78" s="185"/>
      <c r="S78" s="1"/>
    </row>
    <row r="79" spans="1:19">
      <c r="A79" s="255">
        <f t="shared" si="3"/>
        <v>68</v>
      </c>
      <c r="B79" s="141">
        <v>8790</v>
      </c>
      <c r="C79" s="17" t="s">
        <v>284</v>
      </c>
      <c r="D79" s="174">
        <v>0</v>
      </c>
      <c r="E79" s="174">
        <v>89.92</v>
      </c>
      <c r="F79" s="174">
        <v>0</v>
      </c>
      <c r="G79" s="174">
        <v>93.84</v>
      </c>
      <c r="H79" s="174">
        <v>239.02</v>
      </c>
      <c r="I79" s="174">
        <v>0</v>
      </c>
      <c r="J79" s="174">
        <v>408.15999999999997</v>
      </c>
      <c r="K79" s="131">
        <v>-154.56</v>
      </c>
      <c r="L79" s="131">
        <v>0</v>
      </c>
      <c r="M79" s="131">
        <v>0</v>
      </c>
      <c r="N79" s="131">
        <v>0</v>
      </c>
      <c r="O79" s="131">
        <v>61.789200580197956</v>
      </c>
      <c r="P79" s="17">
        <f t="shared" ref="P79:P108" si="4">SUM(D79:O79)</f>
        <v>738.16920058019787</v>
      </c>
      <c r="Q79" s="1"/>
      <c r="R79" s="185"/>
      <c r="S79" s="1"/>
    </row>
    <row r="80" spans="1:19">
      <c r="A80" s="255">
        <f t="shared" si="3"/>
        <v>69</v>
      </c>
      <c r="B80" s="141">
        <v>8800</v>
      </c>
      <c r="C80" s="17" t="s">
        <v>285</v>
      </c>
      <c r="D80" s="174">
        <v>16986.450000000004</v>
      </c>
      <c r="E80" s="174">
        <v>25978.430000000004</v>
      </c>
      <c r="F80" s="174">
        <v>22518.890000000007</v>
      </c>
      <c r="G80" s="174">
        <v>10693.5</v>
      </c>
      <c r="H80" s="174">
        <v>19224.150000000001</v>
      </c>
      <c r="I80" s="174">
        <v>11344.840000000002</v>
      </c>
      <c r="J80" s="174">
        <v>12086.239999999998</v>
      </c>
      <c r="K80" s="131">
        <v>9549.3799999999992</v>
      </c>
      <c r="L80" s="131">
        <v>13647.26</v>
      </c>
      <c r="M80" s="131">
        <v>4948.6399999999994</v>
      </c>
      <c r="N80" s="131">
        <v>13492.299999999997</v>
      </c>
      <c r="O80" s="131">
        <v>16457.808903700174</v>
      </c>
      <c r="P80" s="17">
        <f t="shared" si="4"/>
        <v>176927.88890370019</v>
      </c>
      <c r="Q80" s="1"/>
      <c r="R80" s="1"/>
      <c r="S80" s="1"/>
    </row>
    <row r="81" spans="1:21">
      <c r="A81" s="255">
        <f t="shared" si="3"/>
        <v>70</v>
      </c>
      <c r="B81" s="141">
        <v>8810</v>
      </c>
      <c r="C81" s="17" t="s">
        <v>286</v>
      </c>
      <c r="D81" s="174">
        <v>40817.600000000013</v>
      </c>
      <c r="E81" s="174">
        <v>37698.920000000027</v>
      </c>
      <c r="F81" s="174">
        <v>43548.709999999992</v>
      </c>
      <c r="G81" s="174">
        <v>34962.680000000008</v>
      </c>
      <c r="H81" s="174">
        <v>43046.65</v>
      </c>
      <c r="I81" s="174">
        <v>40699.689999999995</v>
      </c>
      <c r="J81" s="174">
        <v>49589.959999999992</v>
      </c>
      <c r="K81" s="131">
        <v>36041.119999999995</v>
      </c>
      <c r="L81" s="131">
        <v>36818.51</v>
      </c>
      <c r="M81" s="131">
        <v>38417.93</v>
      </c>
      <c r="N81" s="131">
        <v>37268.859999999979</v>
      </c>
      <c r="O81" s="131">
        <v>34943.875593847806</v>
      </c>
      <c r="P81" s="17">
        <f t="shared" si="4"/>
        <v>473854.50559384783</v>
      </c>
      <c r="Q81" s="1"/>
      <c r="R81" s="1"/>
      <c r="S81" s="1"/>
    </row>
    <row r="82" spans="1:21">
      <c r="A82" s="255">
        <f t="shared" si="3"/>
        <v>71</v>
      </c>
      <c r="B82" s="141">
        <v>8850</v>
      </c>
      <c r="C82" s="17" t="s">
        <v>287</v>
      </c>
      <c r="D82" s="174">
        <v>36.800000000000004</v>
      </c>
      <c r="E82" s="174">
        <v>185.37</v>
      </c>
      <c r="F82" s="174">
        <v>184.67000000000002</v>
      </c>
      <c r="G82" s="174">
        <v>139.76</v>
      </c>
      <c r="H82" s="174">
        <v>0</v>
      </c>
      <c r="I82" s="174">
        <v>303.67</v>
      </c>
      <c r="J82" s="174">
        <v>384.15</v>
      </c>
      <c r="K82" s="131">
        <v>98</v>
      </c>
      <c r="L82" s="131">
        <v>475.75</v>
      </c>
      <c r="M82" s="131">
        <v>26.04</v>
      </c>
      <c r="N82" s="131">
        <v>39.94</v>
      </c>
      <c r="O82" s="131">
        <v>169.48722224643484</v>
      </c>
      <c r="P82" s="17">
        <f t="shared" si="4"/>
        <v>2043.6372222464349</v>
      </c>
      <c r="Q82" s="1"/>
      <c r="R82" s="1"/>
      <c r="S82" s="1"/>
    </row>
    <row r="83" spans="1:21">
      <c r="A83" s="255">
        <f t="shared" si="3"/>
        <v>72</v>
      </c>
      <c r="B83" s="141">
        <v>8860</v>
      </c>
      <c r="C83" s="17" t="s">
        <v>288</v>
      </c>
      <c r="D83" s="174">
        <v>11626.65</v>
      </c>
      <c r="E83" s="174">
        <v>40.28</v>
      </c>
      <c r="F83" s="174">
        <v>621.80999999999995</v>
      </c>
      <c r="G83" s="174">
        <v>221.49</v>
      </c>
      <c r="H83" s="174">
        <v>88.94</v>
      </c>
      <c r="I83" s="174">
        <v>41.27</v>
      </c>
      <c r="J83" s="174">
        <v>32.01</v>
      </c>
      <c r="K83" s="131">
        <v>211.68</v>
      </c>
      <c r="L83" s="131">
        <v>32.01</v>
      </c>
      <c r="M83" s="131">
        <v>1485.17</v>
      </c>
      <c r="N83" s="131">
        <v>264.15999999999997</v>
      </c>
      <c r="O83" s="131">
        <v>1837.0846610989736</v>
      </c>
      <c r="P83" s="17">
        <f t="shared" si="4"/>
        <v>16502.554661098973</v>
      </c>
      <c r="Q83" s="1"/>
      <c r="R83" s="1"/>
      <c r="S83" s="1"/>
    </row>
    <row r="84" spans="1:21">
      <c r="A84" s="255">
        <f t="shared" si="3"/>
        <v>73</v>
      </c>
      <c r="B84" s="141">
        <v>8870</v>
      </c>
      <c r="C84" s="17" t="s">
        <v>289</v>
      </c>
      <c r="D84" s="174">
        <v>6566.5400000000009</v>
      </c>
      <c r="E84" s="174">
        <v>1572.31</v>
      </c>
      <c r="F84" s="174">
        <v>7188.92</v>
      </c>
      <c r="G84" s="174">
        <v>2092.4700000000007</v>
      </c>
      <c r="H84" s="174">
        <v>4112.07</v>
      </c>
      <c r="I84" s="174">
        <v>3428.97</v>
      </c>
      <c r="J84" s="174">
        <v>5899.9</v>
      </c>
      <c r="K84" s="131">
        <v>2561.9300000000003</v>
      </c>
      <c r="L84" s="131">
        <v>1398.72</v>
      </c>
      <c r="M84" s="131">
        <v>4518.3999999999996</v>
      </c>
      <c r="N84" s="131">
        <v>1102.73</v>
      </c>
      <c r="O84" s="131">
        <v>3402.1981421768801</v>
      </c>
      <c r="P84" s="17">
        <f t="shared" si="4"/>
        <v>43845.158142176886</v>
      </c>
      <c r="Q84" s="1"/>
      <c r="R84" s="186"/>
      <c r="S84" s="1"/>
    </row>
    <row r="85" spans="1:21">
      <c r="A85" s="255">
        <f t="shared" si="3"/>
        <v>74</v>
      </c>
      <c r="B85" s="141">
        <v>8890</v>
      </c>
      <c r="C85" s="187" t="s">
        <v>290</v>
      </c>
      <c r="D85" s="174">
        <v>183.17</v>
      </c>
      <c r="E85" s="174">
        <v>176.64</v>
      </c>
      <c r="F85" s="174">
        <v>0</v>
      </c>
      <c r="G85" s="174">
        <v>0</v>
      </c>
      <c r="H85" s="174">
        <v>0</v>
      </c>
      <c r="I85" s="174">
        <v>3405.21</v>
      </c>
      <c r="J85" s="174">
        <v>81.37</v>
      </c>
      <c r="K85" s="131">
        <v>2445.15</v>
      </c>
      <c r="L85" s="131">
        <v>270.24</v>
      </c>
      <c r="M85" s="131">
        <v>0</v>
      </c>
      <c r="N85" s="131">
        <v>742.15</v>
      </c>
      <c r="O85" s="131">
        <v>550.25681434423802</v>
      </c>
      <c r="P85" s="17">
        <f t="shared" si="4"/>
        <v>7854.1868143442371</v>
      </c>
      <c r="Q85" s="1"/>
      <c r="R85" s="1"/>
      <c r="S85" s="1"/>
    </row>
    <row r="86" spans="1:21">
      <c r="A86" s="255">
        <f t="shared" si="3"/>
        <v>75</v>
      </c>
      <c r="B86" s="141">
        <v>8900</v>
      </c>
      <c r="C86" s="17" t="s">
        <v>291</v>
      </c>
      <c r="D86" s="174">
        <v>0</v>
      </c>
      <c r="E86" s="174">
        <v>458.34000000000003</v>
      </c>
      <c r="F86" s="174">
        <v>4685.16</v>
      </c>
      <c r="G86" s="174">
        <v>488.02</v>
      </c>
      <c r="H86" s="174">
        <v>341.08</v>
      </c>
      <c r="I86" s="174">
        <v>0</v>
      </c>
      <c r="J86" s="174">
        <v>-2852.15</v>
      </c>
      <c r="K86" s="131">
        <v>101.12</v>
      </c>
      <c r="L86" s="131">
        <v>165.1</v>
      </c>
      <c r="M86" s="131">
        <v>314.35000000000002</v>
      </c>
      <c r="N86" s="131">
        <v>0</v>
      </c>
      <c r="O86" s="131">
        <v>872.89412788043512</v>
      </c>
      <c r="P86" s="17">
        <f t="shared" si="4"/>
        <v>4573.9141278804354</v>
      </c>
      <c r="Q86" s="1"/>
      <c r="R86" s="1"/>
      <c r="S86" s="1"/>
    </row>
    <row r="87" spans="1:21">
      <c r="A87" s="255">
        <f t="shared" si="3"/>
        <v>76</v>
      </c>
      <c r="B87" s="141">
        <v>8910</v>
      </c>
      <c r="C87" s="17" t="s">
        <v>292</v>
      </c>
      <c r="D87" s="174">
        <v>0</v>
      </c>
      <c r="E87" s="174">
        <v>6514.98</v>
      </c>
      <c r="F87" s="174">
        <v>1048.92</v>
      </c>
      <c r="G87" s="174">
        <v>669.78</v>
      </c>
      <c r="H87" s="174">
        <v>5814.73</v>
      </c>
      <c r="I87" s="174">
        <v>280.12</v>
      </c>
      <c r="J87" s="174">
        <v>66.52</v>
      </c>
      <c r="K87" s="131">
        <v>0</v>
      </c>
      <c r="L87" s="131">
        <v>0</v>
      </c>
      <c r="M87" s="131">
        <v>195</v>
      </c>
      <c r="N87" s="131">
        <v>2322.48</v>
      </c>
      <c r="O87" s="131">
        <v>2057.689002606026</v>
      </c>
      <c r="P87" s="17">
        <f t="shared" si="4"/>
        <v>18970.219002606027</v>
      </c>
      <c r="Q87" s="1"/>
      <c r="R87" s="1"/>
      <c r="S87" s="1"/>
    </row>
    <row r="88" spans="1:21">
      <c r="A88" s="255">
        <f t="shared" si="3"/>
        <v>77</v>
      </c>
      <c r="B88" s="141">
        <v>8920</v>
      </c>
      <c r="C88" s="17" t="s">
        <v>293</v>
      </c>
      <c r="D88" s="174">
        <v>407.76</v>
      </c>
      <c r="E88" s="174">
        <v>651.98</v>
      </c>
      <c r="F88" s="174">
        <v>-5.0000000000000053</v>
      </c>
      <c r="G88" s="174">
        <v>-26.340000000000003</v>
      </c>
      <c r="H88" s="174">
        <v>0</v>
      </c>
      <c r="I88" s="174">
        <v>827.30000000000007</v>
      </c>
      <c r="J88" s="174">
        <v>-293.56</v>
      </c>
      <c r="K88" s="131">
        <v>1186.76</v>
      </c>
      <c r="L88" s="131">
        <v>1308.3800000000001</v>
      </c>
      <c r="M88" s="131">
        <v>-340.88</v>
      </c>
      <c r="N88" s="131">
        <v>0</v>
      </c>
      <c r="O88" s="131">
        <v>284.1288454498216</v>
      </c>
      <c r="P88" s="17">
        <f t="shared" si="4"/>
        <v>4000.5288454498223</v>
      </c>
      <c r="Q88" s="1"/>
      <c r="R88" s="1"/>
      <c r="S88" s="1"/>
    </row>
    <row r="89" spans="1:21">
      <c r="A89" s="255">
        <f t="shared" si="3"/>
        <v>78</v>
      </c>
      <c r="B89" s="141">
        <v>8930</v>
      </c>
      <c r="C89" s="17" t="s">
        <v>294</v>
      </c>
      <c r="D89" s="174">
        <v>7219.07</v>
      </c>
      <c r="E89" s="174">
        <v>6049.89</v>
      </c>
      <c r="F89" s="174">
        <v>6481.26</v>
      </c>
      <c r="G89" s="174">
        <v>9382.41</v>
      </c>
      <c r="H89" s="174">
        <v>11681.470000000001</v>
      </c>
      <c r="I89" s="174">
        <v>12949.92</v>
      </c>
      <c r="J89" s="174">
        <v>3834.03</v>
      </c>
      <c r="K89" s="131">
        <v>11279.869999999999</v>
      </c>
      <c r="L89" s="131">
        <v>7539.6099999999988</v>
      </c>
      <c r="M89" s="131">
        <v>6371.2800000000007</v>
      </c>
      <c r="N89" s="131">
        <v>1908.0800000000004</v>
      </c>
      <c r="O89" s="131">
        <v>8315.8179546924293</v>
      </c>
      <c r="P89" s="17">
        <f t="shared" si="4"/>
        <v>93012.707954692421</v>
      </c>
      <c r="Q89" s="1"/>
      <c r="R89" s="1"/>
      <c r="S89" s="1"/>
    </row>
    <row r="90" spans="1:21">
      <c r="A90" s="255">
        <f t="shared" si="3"/>
        <v>79</v>
      </c>
      <c r="B90" s="141">
        <v>8940</v>
      </c>
      <c r="C90" s="17" t="s">
        <v>295</v>
      </c>
      <c r="D90" s="174">
        <v>-939.4200000000003</v>
      </c>
      <c r="E90" s="174">
        <v>3275.94</v>
      </c>
      <c r="F90" s="174">
        <v>2206.33</v>
      </c>
      <c r="G90" s="174">
        <v>22510.9</v>
      </c>
      <c r="H90" s="174">
        <v>3953.74</v>
      </c>
      <c r="I90" s="174">
        <v>7867.85</v>
      </c>
      <c r="J90" s="174">
        <v>4183.9900000000007</v>
      </c>
      <c r="K90" s="131">
        <v>-80.509999999999764</v>
      </c>
      <c r="L90" s="131">
        <v>399.27</v>
      </c>
      <c r="M90" s="131">
        <v>655.67000000000019</v>
      </c>
      <c r="N90" s="131">
        <v>1410.3400000000001</v>
      </c>
      <c r="O90" s="131">
        <v>5890.5707153967542</v>
      </c>
      <c r="P90" s="17">
        <f t="shared" si="4"/>
        <v>51334.670715396744</v>
      </c>
      <c r="Q90" s="1"/>
      <c r="R90" s="1"/>
      <c r="S90" s="1"/>
    </row>
    <row r="91" spans="1:21">
      <c r="A91" s="255">
        <f t="shared" si="3"/>
        <v>80</v>
      </c>
      <c r="B91" s="141">
        <v>9010</v>
      </c>
      <c r="C91" s="179" t="s">
        <v>296</v>
      </c>
      <c r="D91" s="174"/>
      <c r="E91" s="174"/>
      <c r="F91" s="174"/>
      <c r="G91" s="174"/>
      <c r="H91" s="174"/>
      <c r="I91" s="174">
        <v>0</v>
      </c>
      <c r="J91" s="174">
        <v>142.03</v>
      </c>
      <c r="K91" s="131">
        <v>0</v>
      </c>
      <c r="L91" s="131"/>
      <c r="M91" s="131"/>
      <c r="N91" s="131"/>
      <c r="O91" s="131"/>
      <c r="P91" s="17">
        <f t="shared" si="4"/>
        <v>142.03</v>
      </c>
      <c r="Q91" s="1"/>
      <c r="R91" s="1"/>
      <c r="S91" s="1"/>
    </row>
    <row r="92" spans="1:21">
      <c r="A92" s="255">
        <f t="shared" si="3"/>
        <v>81</v>
      </c>
      <c r="B92" s="141">
        <v>9020</v>
      </c>
      <c r="C92" s="17" t="s">
        <v>297</v>
      </c>
      <c r="D92" s="174">
        <v>91878.500000000029</v>
      </c>
      <c r="E92" s="174">
        <v>121879.09000000003</v>
      </c>
      <c r="F92" s="174">
        <v>107089.14999999998</v>
      </c>
      <c r="G92" s="174">
        <v>114825.07</v>
      </c>
      <c r="H92" s="174">
        <v>114277.70999999999</v>
      </c>
      <c r="I92" s="174">
        <v>98163.079999999987</v>
      </c>
      <c r="J92" s="174">
        <v>107228.81000000003</v>
      </c>
      <c r="K92" s="174">
        <v>133898.6</v>
      </c>
      <c r="L92" s="174">
        <v>116345.47000000002</v>
      </c>
      <c r="M92" s="174">
        <v>115730.69</v>
      </c>
      <c r="N92" s="174">
        <v>107513.79</v>
      </c>
      <c r="O92" s="131">
        <v>91785.63105843676</v>
      </c>
      <c r="P92" s="17">
        <f t="shared" si="4"/>
        <v>1320615.5910584368</v>
      </c>
      <c r="Q92" s="75"/>
      <c r="R92" s="75"/>
      <c r="S92" s="75"/>
      <c r="T92" s="75"/>
      <c r="U92" s="75"/>
    </row>
    <row r="93" spans="1:21">
      <c r="A93" s="255">
        <f t="shared" si="3"/>
        <v>82</v>
      </c>
      <c r="B93" s="141">
        <v>9030</v>
      </c>
      <c r="C93" s="17" t="s">
        <v>298</v>
      </c>
      <c r="D93" s="174">
        <v>29218.420000000002</v>
      </c>
      <c r="E93" s="174">
        <v>33171.21</v>
      </c>
      <c r="F93" s="174">
        <v>42346.360000000008</v>
      </c>
      <c r="G93" s="174">
        <v>35783.969999999994</v>
      </c>
      <c r="H93" s="174">
        <v>32199.81</v>
      </c>
      <c r="I93" s="174">
        <v>22339.380000000008</v>
      </c>
      <c r="J93" s="174">
        <v>25222</v>
      </c>
      <c r="K93" s="174">
        <v>59662.819999999992</v>
      </c>
      <c r="L93" s="174">
        <v>34035.469999999994</v>
      </c>
      <c r="M93" s="174">
        <v>33534.68</v>
      </c>
      <c r="N93" s="174">
        <v>28908.620000000003</v>
      </c>
      <c r="O93" s="131">
        <v>29867.456777517975</v>
      </c>
      <c r="P93" s="17">
        <f t="shared" si="4"/>
        <v>406290.19677751797</v>
      </c>
      <c r="Q93" s="75"/>
      <c r="R93" s="75"/>
      <c r="S93" s="75"/>
      <c r="T93" s="75"/>
      <c r="U93" s="75"/>
    </row>
    <row r="94" spans="1:21">
      <c r="A94" s="255">
        <f t="shared" si="3"/>
        <v>83</v>
      </c>
      <c r="B94" s="141">
        <v>9040</v>
      </c>
      <c r="C94" s="17" t="s">
        <v>299</v>
      </c>
      <c r="D94" s="174">
        <v>116325</v>
      </c>
      <c r="E94" s="174">
        <v>24247</v>
      </c>
      <c r="F94" s="174">
        <v>19571</v>
      </c>
      <c r="G94" s="174">
        <v>175706</v>
      </c>
      <c r="H94" s="174">
        <v>19482</v>
      </c>
      <c r="I94" s="174">
        <v>19404</v>
      </c>
      <c r="J94" s="174">
        <v>506812.11</v>
      </c>
      <c r="K94" s="174">
        <v>23960</v>
      </c>
      <c r="L94" s="174">
        <v>28399</v>
      </c>
      <c r="M94" s="174">
        <v>37427</v>
      </c>
      <c r="N94" s="174">
        <v>44559</v>
      </c>
      <c r="O94" s="131">
        <v>35864.659899999999</v>
      </c>
      <c r="P94" s="17">
        <f t="shared" si="4"/>
        <v>1051756.7699</v>
      </c>
      <c r="Q94" s="1"/>
      <c r="R94" s="1"/>
      <c r="S94" s="1"/>
    </row>
    <row r="95" spans="1:21">
      <c r="A95" s="255">
        <f t="shared" si="3"/>
        <v>84</v>
      </c>
      <c r="B95" s="141">
        <v>9090</v>
      </c>
      <c r="C95" s="1" t="s">
        <v>300</v>
      </c>
      <c r="D95" s="174">
        <v>13254.63</v>
      </c>
      <c r="E95" s="174">
        <v>10828.580000000002</v>
      </c>
      <c r="F95" s="174">
        <v>10459.480000000001</v>
      </c>
      <c r="G95" s="174">
        <v>9693.25</v>
      </c>
      <c r="H95" s="174">
        <v>9061</v>
      </c>
      <c r="I95" s="174">
        <v>11759.7</v>
      </c>
      <c r="J95" s="174">
        <v>10233.470000000001</v>
      </c>
      <c r="K95" s="174">
        <v>11451.6</v>
      </c>
      <c r="L95" s="174">
        <v>12429.92</v>
      </c>
      <c r="M95" s="174">
        <v>10693.22</v>
      </c>
      <c r="N95" s="174">
        <v>8422.41</v>
      </c>
      <c r="O95" s="131">
        <v>9707.4605098010543</v>
      </c>
      <c r="P95" s="17">
        <f t="shared" si="4"/>
        <v>127994.72050980106</v>
      </c>
      <c r="Q95" s="1"/>
      <c r="R95" s="1"/>
      <c r="S95" s="1"/>
    </row>
    <row r="96" spans="1:21">
      <c r="A96" s="255">
        <f t="shared" si="3"/>
        <v>85</v>
      </c>
      <c r="B96" s="141">
        <v>9100</v>
      </c>
      <c r="C96" s="1" t="s">
        <v>301</v>
      </c>
      <c r="D96" s="174">
        <v>0</v>
      </c>
      <c r="E96" s="174">
        <v>0</v>
      </c>
      <c r="F96" s="174">
        <v>0</v>
      </c>
      <c r="G96" s="174">
        <v>0</v>
      </c>
      <c r="H96" s="174">
        <v>0</v>
      </c>
      <c r="I96" s="174">
        <v>85</v>
      </c>
      <c r="J96" s="174">
        <v>0</v>
      </c>
      <c r="K96" s="174">
        <v>0</v>
      </c>
      <c r="L96" s="174">
        <v>0</v>
      </c>
      <c r="M96" s="174">
        <v>0</v>
      </c>
      <c r="N96" s="174">
        <v>0</v>
      </c>
      <c r="O96" s="131">
        <v>10.995414318812838</v>
      </c>
      <c r="P96" s="17">
        <f t="shared" si="4"/>
        <v>95.995414318812834</v>
      </c>
      <c r="Q96" s="1"/>
      <c r="R96" s="1"/>
      <c r="S96" s="1"/>
    </row>
    <row r="97" spans="1:19">
      <c r="A97" s="255">
        <f t="shared" si="3"/>
        <v>86</v>
      </c>
      <c r="B97" s="141">
        <v>9110</v>
      </c>
      <c r="C97" s="1" t="s">
        <v>302</v>
      </c>
      <c r="D97" s="174">
        <v>25969.919999999998</v>
      </c>
      <c r="E97" s="174">
        <v>21692.069999999996</v>
      </c>
      <c r="F97" s="174">
        <v>23129.510000000002</v>
      </c>
      <c r="G97" s="174">
        <v>20081</v>
      </c>
      <c r="H97" s="174">
        <v>20661.920000000002</v>
      </c>
      <c r="I97" s="174">
        <v>20121.519999999997</v>
      </c>
      <c r="J97" s="174">
        <v>19280.14</v>
      </c>
      <c r="K97" s="174">
        <v>22563.31</v>
      </c>
      <c r="L97" s="174">
        <v>20692.859999999997</v>
      </c>
      <c r="M97" s="174">
        <v>17579.510000000002</v>
      </c>
      <c r="N97" s="174">
        <v>19844.120000000003</v>
      </c>
      <c r="O97" s="131">
        <v>19119.135529537121</v>
      </c>
      <c r="P97" s="17">
        <f t="shared" si="4"/>
        <v>250735.01552953714</v>
      </c>
      <c r="Q97" s="1"/>
      <c r="R97" s="186"/>
      <c r="S97" s="1"/>
    </row>
    <row r="98" spans="1:19">
      <c r="A98" s="255">
        <f t="shared" si="3"/>
        <v>87</v>
      </c>
      <c r="B98" s="141">
        <v>9120</v>
      </c>
      <c r="C98" s="1" t="s">
        <v>303</v>
      </c>
      <c r="D98" s="174">
        <v>4837.5599999999995</v>
      </c>
      <c r="E98" s="174">
        <v>2654.57</v>
      </c>
      <c r="F98" s="174">
        <v>3217.8700000000003</v>
      </c>
      <c r="G98" s="174">
        <v>3010.72</v>
      </c>
      <c r="H98" s="174">
        <v>5580.03</v>
      </c>
      <c r="I98" s="174">
        <v>6680.0300000000007</v>
      </c>
      <c r="J98" s="174">
        <v>20379.77</v>
      </c>
      <c r="K98" s="174">
        <v>6415.99</v>
      </c>
      <c r="L98" s="174">
        <v>8562.92</v>
      </c>
      <c r="M98" s="174">
        <v>5506.34</v>
      </c>
      <c r="N98" s="174">
        <v>4913.42</v>
      </c>
      <c r="O98" s="131">
        <v>3360.8169461873667</v>
      </c>
      <c r="P98" s="17">
        <f t="shared" si="4"/>
        <v>75120.036946187363</v>
      </c>
      <c r="Q98" s="1"/>
      <c r="R98" s="186"/>
      <c r="S98" s="1"/>
    </row>
    <row r="99" spans="1:19">
      <c r="A99" s="255">
        <f t="shared" si="3"/>
        <v>88</v>
      </c>
      <c r="B99" s="141">
        <v>9130</v>
      </c>
      <c r="C99" s="1" t="s">
        <v>304</v>
      </c>
      <c r="D99" s="174">
        <v>1518.5</v>
      </c>
      <c r="E99" s="174">
        <v>2316.4</v>
      </c>
      <c r="F99" s="174">
        <v>2743.6</v>
      </c>
      <c r="G99" s="174">
        <v>1195.6199999999999</v>
      </c>
      <c r="H99" s="174">
        <v>1209.0999999999999</v>
      </c>
      <c r="I99" s="174">
        <v>1707.1799999999998</v>
      </c>
      <c r="J99" s="174">
        <v>3408.43</v>
      </c>
      <c r="K99" s="174">
        <v>5823.95</v>
      </c>
      <c r="L99" s="174">
        <v>792.38</v>
      </c>
      <c r="M99" s="174">
        <v>1827.12</v>
      </c>
      <c r="N99" s="174">
        <v>2017.2</v>
      </c>
      <c r="O99" s="131">
        <v>1382.8867909863145</v>
      </c>
      <c r="P99" s="17">
        <f t="shared" si="4"/>
        <v>25942.366790986314</v>
      </c>
      <c r="Q99" s="1"/>
      <c r="R99" s="1"/>
      <c r="S99" s="1"/>
    </row>
    <row r="100" spans="1:19">
      <c r="A100" s="255">
        <f t="shared" si="3"/>
        <v>89</v>
      </c>
      <c r="B100" s="141">
        <v>9200</v>
      </c>
      <c r="C100" s="142" t="s">
        <v>305</v>
      </c>
      <c r="D100" s="174">
        <v>12707.710000000001</v>
      </c>
      <c r="E100" s="174">
        <v>12580.02</v>
      </c>
      <c r="F100" s="174">
        <v>10884.4</v>
      </c>
      <c r="G100" s="174">
        <v>10341.33</v>
      </c>
      <c r="H100" s="174">
        <v>11470.779999999999</v>
      </c>
      <c r="I100" s="174">
        <v>10422.359999999999</v>
      </c>
      <c r="J100" s="174">
        <v>10886.91</v>
      </c>
      <c r="K100" s="174">
        <v>11254.14</v>
      </c>
      <c r="L100" s="174">
        <v>11113.55</v>
      </c>
      <c r="M100" s="174">
        <v>11747.55</v>
      </c>
      <c r="N100" s="174">
        <v>10772.599999999999</v>
      </c>
      <c r="O100" s="131">
        <v>10582.597952988071</v>
      </c>
      <c r="P100" s="17">
        <f t="shared" si="4"/>
        <v>134763.94795298809</v>
      </c>
      <c r="Q100" s="1"/>
      <c r="R100" s="186"/>
      <c r="S100" s="1"/>
    </row>
    <row r="101" spans="1:19">
      <c r="A101" s="255">
        <f t="shared" si="3"/>
        <v>90</v>
      </c>
      <c r="B101" s="141">
        <v>9210</v>
      </c>
      <c r="C101" s="1" t="s">
        <v>306</v>
      </c>
      <c r="D101" s="174">
        <v>2050.1099999999997</v>
      </c>
      <c r="E101" s="174">
        <v>374.2</v>
      </c>
      <c r="F101" s="174">
        <v>-50</v>
      </c>
      <c r="G101" s="174">
        <v>1058.8800000000001</v>
      </c>
      <c r="H101" s="174">
        <v>784.09</v>
      </c>
      <c r="I101" s="174">
        <v>291.29999999999995</v>
      </c>
      <c r="J101" s="174">
        <v>1565.09</v>
      </c>
      <c r="K101" s="174">
        <v>-54.98</v>
      </c>
      <c r="L101" s="174">
        <v>436.34000000000003</v>
      </c>
      <c r="M101" s="174">
        <v>1189.81</v>
      </c>
      <c r="N101" s="174">
        <v>886.21999999999991</v>
      </c>
      <c r="O101" s="131">
        <v>479.03295254295307</v>
      </c>
      <c r="P101" s="17">
        <f t="shared" si="4"/>
        <v>9010.0929525429528</v>
      </c>
      <c r="Q101" s="1"/>
      <c r="R101" s="186"/>
      <c r="S101" s="1"/>
    </row>
    <row r="102" spans="1:19">
      <c r="A102" s="255">
        <f t="shared" si="3"/>
        <v>91</v>
      </c>
      <c r="B102" s="141">
        <v>9220</v>
      </c>
      <c r="C102" s="1" t="s">
        <v>307</v>
      </c>
      <c r="D102" s="174">
        <v>1048979.1000000001</v>
      </c>
      <c r="E102" s="174">
        <v>1007781.6000000001</v>
      </c>
      <c r="F102" s="174">
        <v>1111531.03</v>
      </c>
      <c r="G102" s="174">
        <v>964157.01</v>
      </c>
      <c r="H102" s="174">
        <v>1761549.62</v>
      </c>
      <c r="I102" s="174">
        <v>503333.84</v>
      </c>
      <c r="J102" s="174">
        <v>1315716.73</v>
      </c>
      <c r="K102" s="174">
        <v>981862.87000000011</v>
      </c>
      <c r="L102" s="174">
        <v>984528.49</v>
      </c>
      <c r="M102" s="174">
        <v>919039.72</v>
      </c>
      <c r="N102" s="174">
        <v>1143626.3699999999</v>
      </c>
      <c r="O102" s="113">
        <f>-('C.2.2 B 02'!O41+'C.2.2 B 12'!O35+'C.2.2 B 91'!O55)</f>
        <v>1065764.4150228188</v>
      </c>
      <c r="P102" s="17">
        <f>SUM(D102:O102)</f>
        <v>12807870.795022819</v>
      </c>
      <c r="Q102" s="75"/>
      <c r="R102" s="188"/>
      <c r="S102" s="17"/>
    </row>
    <row r="103" spans="1:19">
      <c r="A103" s="255">
        <f t="shared" si="3"/>
        <v>92</v>
      </c>
      <c r="B103" s="141">
        <v>9230</v>
      </c>
      <c r="C103" s="1" t="s">
        <v>308</v>
      </c>
      <c r="D103" s="174">
        <v>5000</v>
      </c>
      <c r="E103" s="174">
        <v>16505.96</v>
      </c>
      <c r="F103" s="174">
        <v>15128</v>
      </c>
      <c r="G103" s="174">
        <v>26698.15</v>
      </c>
      <c r="H103" s="174">
        <v>28801.38</v>
      </c>
      <c r="I103" s="174">
        <v>17583.39</v>
      </c>
      <c r="J103" s="174">
        <v>77579.08</v>
      </c>
      <c r="K103" s="174">
        <v>13626</v>
      </c>
      <c r="L103" s="174">
        <v>15727.72</v>
      </c>
      <c r="M103" s="174">
        <v>23234.74</v>
      </c>
      <c r="N103" s="174">
        <v>28667.59</v>
      </c>
      <c r="O103" s="131">
        <v>15345.571293424473</v>
      </c>
      <c r="P103" s="17">
        <f t="shared" si="4"/>
        <v>283897.58129342448</v>
      </c>
      <c r="Q103" s="1"/>
      <c r="R103" s="186"/>
      <c r="S103" s="1"/>
    </row>
    <row r="104" spans="1:19">
      <c r="A104" s="255">
        <f t="shared" si="3"/>
        <v>93</v>
      </c>
      <c r="B104" s="141">
        <v>9240</v>
      </c>
      <c r="C104" s="1" t="s">
        <v>309</v>
      </c>
      <c r="D104" s="174">
        <v>14569.170000000002</v>
      </c>
      <c r="E104" s="174">
        <v>13795.710000000003</v>
      </c>
      <c r="F104" s="174">
        <v>13774.810000000001</v>
      </c>
      <c r="G104" s="174">
        <v>12964.590000000004</v>
      </c>
      <c r="H104" s="174">
        <v>12827.59</v>
      </c>
      <c r="I104" s="174">
        <v>12682.93</v>
      </c>
      <c r="J104" s="174">
        <v>12572.280000000002</v>
      </c>
      <c r="K104" s="174">
        <v>13314.75</v>
      </c>
      <c r="L104" s="174">
        <v>13744.560000000001</v>
      </c>
      <c r="M104" s="174">
        <v>13388.650000000001</v>
      </c>
      <c r="N104" s="174">
        <v>13296.800000000003</v>
      </c>
      <c r="O104" s="131">
        <v>679.37987320095499</v>
      </c>
      <c r="P104" s="17">
        <f t="shared" si="4"/>
        <v>147611.21987320099</v>
      </c>
      <c r="Q104" s="1"/>
      <c r="R104" s="186"/>
      <c r="S104" s="1"/>
    </row>
    <row r="105" spans="1:19">
      <c r="A105" s="255">
        <f t="shared" si="3"/>
        <v>94</v>
      </c>
      <c r="B105" s="141">
        <v>9250</v>
      </c>
      <c r="C105" s="1" t="s">
        <v>310</v>
      </c>
      <c r="D105" s="174">
        <v>367.52</v>
      </c>
      <c r="E105" s="174">
        <v>114712.07</v>
      </c>
      <c r="F105" s="174">
        <v>4709.7800000000007</v>
      </c>
      <c r="G105" s="174">
        <v>201.04999999999998</v>
      </c>
      <c r="H105" s="174">
        <v>4757.2299999999996</v>
      </c>
      <c r="I105" s="174">
        <v>1613.07</v>
      </c>
      <c r="J105" s="174">
        <v>60366.820000000007</v>
      </c>
      <c r="K105" s="174">
        <v>2767.17</v>
      </c>
      <c r="L105" s="174">
        <v>1165.67</v>
      </c>
      <c r="M105" s="174">
        <v>4505.2099999999991</v>
      </c>
      <c r="N105" s="174">
        <v>8878.5400000000009</v>
      </c>
      <c r="O105" s="131">
        <v>17582.825301733279</v>
      </c>
      <c r="P105" s="17">
        <f t="shared" si="4"/>
        <v>221626.95530173334</v>
      </c>
      <c r="Q105" s="1"/>
      <c r="R105" s="186"/>
      <c r="S105" s="1"/>
    </row>
    <row r="106" spans="1:19">
      <c r="A106" s="255">
        <f t="shared" si="3"/>
        <v>95</v>
      </c>
      <c r="B106" s="141">
        <v>9260</v>
      </c>
      <c r="C106" s="1" t="s">
        <v>311</v>
      </c>
      <c r="D106" s="174">
        <v>239184.93999999997</v>
      </c>
      <c r="E106" s="174">
        <v>199130.44000000006</v>
      </c>
      <c r="F106" s="174">
        <v>190844.51000000013</v>
      </c>
      <c r="G106" s="174">
        <v>188032.59000000011</v>
      </c>
      <c r="H106" s="174">
        <v>203542.82999999993</v>
      </c>
      <c r="I106" s="174">
        <v>165489.6399999999</v>
      </c>
      <c r="J106" s="174">
        <v>190843.63999999998</v>
      </c>
      <c r="K106" s="174">
        <v>184121.98000000016</v>
      </c>
      <c r="L106" s="174">
        <v>165432.80999999994</v>
      </c>
      <c r="M106" s="174">
        <v>176972.79999999999</v>
      </c>
      <c r="N106" s="174">
        <v>166946.39000000007</v>
      </c>
      <c r="O106" s="131">
        <v>156015.04880665118</v>
      </c>
      <c r="P106" s="17">
        <f>SUM(D106:O106)</f>
        <v>2226557.6188066518</v>
      </c>
      <c r="Q106" s="1"/>
      <c r="R106" s="186"/>
      <c r="S106" s="1"/>
    </row>
    <row r="107" spans="1:19">
      <c r="A107" s="255">
        <f t="shared" si="3"/>
        <v>96</v>
      </c>
      <c r="B107" s="141">
        <v>9270</v>
      </c>
      <c r="C107" s="1" t="s">
        <v>312</v>
      </c>
      <c r="D107" s="174">
        <v>0</v>
      </c>
      <c r="E107" s="174">
        <v>320.64999999999998</v>
      </c>
      <c r="F107" s="174">
        <v>0</v>
      </c>
      <c r="G107" s="174">
        <v>0</v>
      </c>
      <c r="H107" s="174">
        <v>0</v>
      </c>
      <c r="I107" s="174">
        <v>0</v>
      </c>
      <c r="J107" s="131">
        <v>0</v>
      </c>
      <c r="K107" s="131">
        <v>0</v>
      </c>
      <c r="L107" s="131">
        <v>0</v>
      </c>
      <c r="M107" s="131">
        <v>0</v>
      </c>
      <c r="N107" s="131">
        <v>0</v>
      </c>
      <c r="O107" s="131">
        <v>6.8781297713498875</v>
      </c>
      <c r="P107" s="17">
        <f t="shared" si="4"/>
        <v>327.52812977134988</v>
      </c>
      <c r="Q107" s="1"/>
      <c r="R107" s="186"/>
      <c r="S107" s="1"/>
    </row>
    <row r="108" spans="1:19">
      <c r="A108" s="255">
        <f t="shared" si="3"/>
        <v>97</v>
      </c>
      <c r="B108" s="141">
        <v>9280</v>
      </c>
      <c r="C108" s="1" t="s">
        <v>313</v>
      </c>
      <c r="D108" s="174">
        <v>-258.72000000000003</v>
      </c>
      <c r="E108" s="174">
        <v>0</v>
      </c>
      <c r="F108" s="174">
        <v>4256.79</v>
      </c>
      <c r="G108" s="174">
        <v>2299.5</v>
      </c>
      <c r="H108" s="174">
        <v>0</v>
      </c>
      <c r="I108" s="174">
        <v>0</v>
      </c>
      <c r="J108" s="131">
        <v>0</v>
      </c>
      <c r="K108" s="131">
        <v>1320.9</v>
      </c>
      <c r="L108" s="131">
        <v>12987.85</v>
      </c>
      <c r="M108" s="131">
        <v>119488.95</v>
      </c>
      <c r="N108" s="131">
        <v>26979.93</v>
      </c>
      <c r="O108" s="131">
        <v>911.73725018665618</v>
      </c>
      <c r="P108" s="17">
        <f t="shared" si="4"/>
        <v>167986.93725018663</v>
      </c>
      <c r="Q108" s="1"/>
      <c r="R108" s="186"/>
      <c r="S108" s="1"/>
    </row>
    <row r="109" spans="1:19">
      <c r="A109" s="255">
        <f t="shared" si="3"/>
        <v>98</v>
      </c>
      <c r="B109" s="141">
        <v>9302</v>
      </c>
      <c r="C109" s="1" t="s">
        <v>314</v>
      </c>
      <c r="D109" s="174">
        <v>2044.4</v>
      </c>
      <c r="E109" s="174">
        <v>8530</v>
      </c>
      <c r="F109" s="174">
        <v>350</v>
      </c>
      <c r="G109" s="174">
        <v>634.18000000000006</v>
      </c>
      <c r="H109" s="174">
        <v>3425</v>
      </c>
      <c r="I109" s="174">
        <v>11200</v>
      </c>
      <c r="J109" s="131">
        <v>513.13</v>
      </c>
      <c r="K109" s="131">
        <v>3000</v>
      </c>
      <c r="L109" s="131">
        <v>13450</v>
      </c>
      <c r="M109" s="131">
        <v>1830</v>
      </c>
      <c r="N109" s="131">
        <v>5980</v>
      </c>
      <c r="O109" s="131">
        <v>1563.643480575729</v>
      </c>
      <c r="P109" s="17">
        <f t="shared" ref="P109:P111" si="5">SUM(D109:O109)</f>
        <v>52520.353480575737</v>
      </c>
      <c r="Q109" s="1"/>
      <c r="R109" s="186"/>
      <c r="S109" s="1"/>
    </row>
    <row r="110" spans="1:19">
      <c r="A110" s="255">
        <f t="shared" si="3"/>
        <v>99</v>
      </c>
      <c r="B110" s="141">
        <v>9310</v>
      </c>
      <c r="C110" s="142" t="s">
        <v>203</v>
      </c>
      <c r="D110" s="174">
        <v>1205.95</v>
      </c>
      <c r="E110" s="174">
        <v>1218.99</v>
      </c>
      <c r="F110" s="174">
        <v>1205.95</v>
      </c>
      <c r="G110" s="174">
        <v>1218.99</v>
      </c>
      <c r="H110" s="174">
        <v>1269.0899999999999</v>
      </c>
      <c r="I110" s="174">
        <v>1262.26</v>
      </c>
      <c r="J110" s="131">
        <v>1262.26</v>
      </c>
      <c r="K110" s="131">
        <v>1262.26</v>
      </c>
      <c r="L110" s="131">
        <v>1262.26</v>
      </c>
      <c r="M110" s="131">
        <v>1262.26</v>
      </c>
      <c r="N110" s="131">
        <v>16.7</v>
      </c>
      <c r="O110" s="131">
        <v>1072.7430701022731</v>
      </c>
      <c r="P110" s="17">
        <f t="shared" si="5"/>
        <v>13519.713070102274</v>
      </c>
      <c r="Q110" s="1"/>
      <c r="R110" s="186"/>
      <c r="S110" s="1"/>
    </row>
    <row r="111" spans="1:19">
      <c r="A111" s="255">
        <f t="shared" si="3"/>
        <v>100</v>
      </c>
      <c r="B111" s="141">
        <v>9320</v>
      </c>
      <c r="C111" t="s">
        <v>315</v>
      </c>
      <c r="D111" s="174">
        <v>0</v>
      </c>
      <c r="E111" s="174">
        <v>0</v>
      </c>
      <c r="F111" s="174">
        <v>0</v>
      </c>
      <c r="G111" s="174">
        <v>1248.08</v>
      </c>
      <c r="H111" s="174">
        <v>0</v>
      </c>
      <c r="I111" s="174">
        <v>0</v>
      </c>
      <c r="J111" s="131">
        <v>0</v>
      </c>
      <c r="K111" s="131">
        <v>0</v>
      </c>
      <c r="L111" s="131">
        <v>0</v>
      </c>
      <c r="M111" s="131">
        <v>0</v>
      </c>
      <c r="N111" s="131">
        <v>0</v>
      </c>
      <c r="O111" s="131">
        <v>73.829112206771327</v>
      </c>
      <c r="P111" s="17">
        <f t="shared" si="5"/>
        <v>1321.9091122067712</v>
      </c>
      <c r="Q111" s="1"/>
      <c r="R111" s="1"/>
      <c r="S111" s="1"/>
    </row>
    <row r="112" spans="1:19">
      <c r="A112" s="255">
        <f t="shared" si="3"/>
        <v>101</v>
      </c>
      <c r="B112" s="1"/>
      <c r="C112" s="1"/>
      <c r="D112" s="189"/>
      <c r="E112" s="189"/>
      <c r="F112" s="189"/>
      <c r="G112" s="189"/>
      <c r="H112" s="189"/>
      <c r="I112" s="189"/>
      <c r="J112" s="189"/>
      <c r="K112" s="189"/>
      <c r="L112" s="189"/>
      <c r="M112" s="189"/>
      <c r="N112" s="189"/>
      <c r="O112" s="190"/>
      <c r="P112" s="1"/>
      <c r="Q112" s="1"/>
      <c r="R112" s="1"/>
      <c r="S112" s="1"/>
    </row>
    <row r="113" spans="1:19" ht="15.75" thickBot="1">
      <c r="A113" s="255">
        <f t="shared" si="3"/>
        <v>102</v>
      </c>
      <c r="B113" s="1"/>
      <c r="C113" s="1" t="s">
        <v>316</v>
      </c>
      <c r="D113" s="191">
        <f t="shared" ref="D113:O113" si="6">SUM(D14:D112)</f>
        <v>-4263974.1999999965</v>
      </c>
      <c r="E113" s="191">
        <f t="shared" si="6"/>
        <v>-2047228.1199999962</v>
      </c>
      <c r="F113" s="191">
        <f t="shared" si="6"/>
        <v>-953316.92000000074</v>
      </c>
      <c r="G113" s="191">
        <f t="shared" si="6"/>
        <v>-848925.84999999951</v>
      </c>
      <c r="H113" s="191">
        <f t="shared" si="6"/>
        <v>-37722.539999999979</v>
      </c>
      <c r="I113" s="191">
        <f t="shared" si="6"/>
        <v>-1385713.98</v>
      </c>
      <c r="J113" s="192">
        <f t="shared" si="6"/>
        <v>1234133.8600000003</v>
      </c>
      <c r="K113" s="191">
        <f t="shared" si="6"/>
        <v>-2016211.4399999995</v>
      </c>
      <c r="L113" s="191">
        <f t="shared" si="6"/>
        <v>-2970858.9200000009</v>
      </c>
      <c r="M113" s="191">
        <f t="shared" si="6"/>
        <v>-4889803.7299999977</v>
      </c>
      <c r="N113" s="256">
        <f>SUM(N14:N112)</f>
        <v>-6482093.3600000059</v>
      </c>
      <c r="O113" s="191">
        <f t="shared" si="6"/>
        <v>-5128017.3801333103</v>
      </c>
      <c r="P113" s="191">
        <f>SUM(P14:P112)</f>
        <v>-29789732.580133319</v>
      </c>
      <c r="Q113" s="193"/>
      <c r="R113" s="17"/>
      <c r="S113" s="1"/>
    </row>
    <row r="114" spans="1:19" ht="15.75" thickTop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>
      <c r="A115" s="1"/>
      <c r="B115" s="1"/>
      <c r="C115" s="1" t="s">
        <v>317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R115" s="1"/>
      <c r="S115" s="1"/>
    </row>
    <row r="116" spans="1:19">
      <c r="A116" s="1"/>
      <c r="B116" s="1"/>
      <c r="C116" s="154" t="s">
        <v>318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75"/>
      <c r="P116" s="1"/>
      <c r="Q116" s="1"/>
      <c r="R116" s="1"/>
      <c r="S116" s="1"/>
    </row>
    <row r="117" spans="1:19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P117" s="1"/>
      <c r="Q117" s="17"/>
      <c r="R117" s="1"/>
      <c r="S117" s="1"/>
    </row>
    <row r="118" spans="1:19">
      <c r="A118" s="1"/>
      <c r="B118" s="1"/>
      <c r="C118" s="1"/>
      <c r="D118" s="1"/>
      <c r="E118" s="1"/>
      <c r="F118" s="1"/>
      <c r="G118" s="1"/>
      <c r="H118" s="1"/>
      <c r="I118" s="1"/>
      <c r="J118" s="17"/>
      <c r="K118" s="17"/>
      <c r="L118" s="1"/>
      <c r="M118" s="1"/>
      <c r="N118" s="1"/>
      <c r="P118" s="179"/>
      <c r="Q118" s="179"/>
      <c r="R118" s="1"/>
      <c r="S118" s="1"/>
    </row>
    <row r="119" spans="1:19">
      <c r="A119" s="1"/>
      <c r="B119" s="1" t="s">
        <v>319</v>
      </c>
      <c r="C119" s="154"/>
      <c r="D119" s="1"/>
      <c r="E119" s="1"/>
      <c r="F119" s="17"/>
      <c r="G119" s="1"/>
      <c r="H119" s="1"/>
      <c r="I119" s="1"/>
      <c r="J119" s="17"/>
      <c r="K119" s="17"/>
      <c r="L119" s="1"/>
      <c r="M119" s="1"/>
      <c r="N119" s="1"/>
      <c r="P119" s="173"/>
      <c r="R119" s="1"/>
      <c r="S119" s="1"/>
    </row>
    <row r="120" spans="1:19">
      <c r="A120" s="1"/>
      <c r="B120" s="1" t="s">
        <v>320</v>
      </c>
      <c r="C120" s="1"/>
      <c r="D120" s="194"/>
      <c r="E120" s="194"/>
      <c r="F120" s="194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7"/>
      <c r="R120" s="1"/>
      <c r="S120" s="1"/>
    </row>
    <row r="121" spans="1:19">
      <c r="A121" s="1"/>
      <c r="B121" s="1" t="s">
        <v>321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7"/>
      <c r="P121" s="1"/>
      <c r="Q121" s="17"/>
      <c r="R121" s="1"/>
      <c r="S121" s="1"/>
    </row>
    <row r="122" spans="1:19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P122" s="1"/>
      <c r="Q122" s="1"/>
      <c r="R122" s="1"/>
      <c r="S122" s="1"/>
    </row>
    <row r="123" spans="1:19">
      <c r="A123" s="1"/>
      <c r="B123" s="1"/>
      <c r="C123" s="1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55"/>
      <c r="P123" s="17"/>
      <c r="Q123" s="17"/>
      <c r="R123" s="1"/>
      <c r="S123" s="1"/>
    </row>
    <row r="124" spans="1:19">
      <c r="A124" s="1"/>
      <c r="B124" s="1"/>
      <c r="C124" s="1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55"/>
      <c r="P124" s="17"/>
      <c r="Q124" s="17"/>
      <c r="R124" s="1"/>
      <c r="S124" s="1"/>
    </row>
    <row r="125" spans="1:19">
      <c r="A125" s="1"/>
      <c r="B125" s="1"/>
      <c r="C125" s="75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55"/>
      <c r="P125" s="17"/>
      <c r="Q125" s="17"/>
      <c r="R125" s="1"/>
      <c r="S125" s="1"/>
    </row>
    <row r="126" spans="1:19">
      <c r="A126" s="1"/>
      <c r="B126" s="1"/>
      <c r="C126" s="1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55"/>
      <c r="P126" s="17"/>
      <c r="Q126" s="17"/>
      <c r="R126" s="1"/>
      <c r="S126" s="1"/>
    </row>
    <row r="127" spans="1:19">
      <c r="A127" s="1"/>
      <c r="B127" s="1"/>
      <c r="C127" s="75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55"/>
      <c r="P127" s="17"/>
      <c r="Q127" s="17"/>
      <c r="R127" s="1"/>
      <c r="S127" s="1"/>
    </row>
    <row r="128" spans="1:19">
      <c r="A128" s="1"/>
      <c r="B128" s="1"/>
      <c r="C128" s="142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55"/>
      <c r="P128" s="17"/>
      <c r="Q128" s="17"/>
      <c r="R128" s="1"/>
      <c r="S128" s="1"/>
    </row>
    <row r="129" spans="1:19">
      <c r="A129" s="1"/>
      <c r="B129" s="1"/>
      <c r="C129" s="142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55"/>
      <c r="P129" s="17"/>
      <c r="Q129" s="17"/>
      <c r="R129" s="1"/>
      <c r="S129" s="1"/>
    </row>
    <row r="130" spans="1:19">
      <c r="A130" s="1"/>
      <c r="B130" s="1"/>
      <c r="C130" s="142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"/>
      <c r="S130" s="1"/>
    </row>
    <row r="131" spans="1:19">
      <c r="A131" s="1"/>
      <c r="B131" s="1"/>
      <c r="C131" s="142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"/>
      <c r="S131" s="1"/>
    </row>
    <row r="132" spans="1:19"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"/>
      <c r="Q132" s="179"/>
    </row>
    <row r="133" spans="1:19"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"/>
      <c r="Q133" s="179"/>
    </row>
    <row r="134" spans="1:19"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"/>
      <c r="Q134" s="179"/>
    </row>
    <row r="135" spans="1:19"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"/>
      <c r="Q135" s="179"/>
    </row>
    <row r="136" spans="1:19"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</row>
    <row r="137" spans="1:19"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</row>
    <row r="138" spans="1:19"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</row>
    <row r="139" spans="1:19">
      <c r="D139" s="195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</row>
    <row r="140" spans="1:19"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</row>
    <row r="141" spans="1:19">
      <c r="D141" s="179"/>
      <c r="E141" s="179"/>
      <c r="F141" s="179"/>
      <c r="G141" s="179"/>
      <c r="H141" s="179"/>
      <c r="I141" s="179"/>
      <c r="J141" s="196"/>
      <c r="K141" s="179"/>
      <c r="L141" s="179"/>
      <c r="M141" s="179"/>
      <c r="N141" s="179"/>
      <c r="O141" s="179"/>
      <c r="P141" s="179"/>
      <c r="Q141" s="179"/>
    </row>
    <row r="143" spans="1:19">
      <c r="C143" s="75"/>
    </row>
  </sheetData>
  <mergeCells count="4">
    <mergeCell ref="A1:P1"/>
    <mergeCell ref="A2:P2"/>
    <mergeCell ref="A3:P3"/>
    <mergeCell ref="A4:P4"/>
  </mergeCells>
  <printOptions horizontalCentered="1"/>
  <pageMargins left="0.5" right="0.5" top="0.75" bottom="0.75" header="0.25" footer="0.25"/>
  <pageSetup scale="47" fitToHeight="2" orientation="landscape" verticalDpi="300" r:id="rId1"/>
  <headerFooter alignWithMargins="0">
    <oddHeader>&amp;RCASE NO. 2015-00343
ATTACHMENT 1
TO STAFF DR NO. 1-45
(SUPPLEMENT 02-18-16)</oddHeader>
    <oddFooter>&amp;RSchedule &amp;A
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view="pageBreakPreview" zoomScale="70" zoomScaleNormal="70" zoomScaleSheetLayoutView="70" workbookViewId="0">
      <pane xSplit="3" ySplit="11" topLeftCell="D12" activePane="bottomRight" state="frozen"/>
      <selection activeCell="E45" sqref="E45"/>
      <selection pane="topRight" activeCell="E45" sqref="E45"/>
      <selection pane="bottomLeft" activeCell="E45" sqref="E45"/>
      <selection pane="bottomRight" activeCell="D12" sqref="D12"/>
    </sheetView>
  </sheetViews>
  <sheetFormatPr defaultColWidth="7.109375" defaultRowHeight="15"/>
  <cols>
    <col min="1" max="1" width="4.6640625" customWidth="1"/>
    <col min="2" max="2" width="6.6640625" customWidth="1"/>
    <col min="3" max="3" width="42.5546875" customWidth="1"/>
    <col min="4" max="5" width="13.109375" bestFit="1" customWidth="1"/>
    <col min="6" max="6" width="11.44140625" customWidth="1"/>
    <col min="7" max="8" width="13.109375" bestFit="1" customWidth="1"/>
    <col min="9" max="9" width="12.21875" customWidth="1"/>
    <col min="10" max="10" width="11.6640625" customWidth="1"/>
    <col min="11" max="14" width="13.109375" bestFit="1" customWidth="1"/>
    <col min="15" max="15" width="12.44140625" customWidth="1"/>
    <col min="16" max="16" width="14.109375" bestFit="1" customWidth="1"/>
    <col min="17" max="17" width="9.109375" customWidth="1"/>
    <col min="18" max="18" width="12.5546875" customWidth="1"/>
    <col min="23" max="23" width="11.33203125" customWidth="1"/>
    <col min="24" max="24" width="12.5546875" customWidth="1"/>
  </cols>
  <sheetData>
    <row r="1" spans="1:18">
      <c r="A1" s="258" t="s">
        <v>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1"/>
    </row>
    <row r="2" spans="1:18">
      <c r="A2" s="258" t="s">
        <v>1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1"/>
    </row>
    <row r="3" spans="1:18" ht="15.75">
      <c r="A3" s="258" t="s">
        <v>322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1"/>
    </row>
    <row r="4" spans="1:18">
      <c r="A4" s="258" t="s">
        <v>32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1"/>
    </row>
    <row r="5" spans="1:18">
      <c r="A5" s="1"/>
      <c r="B5" s="197"/>
      <c r="C5" s="197"/>
      <c r="D5" s="197"/>
      <c r="E5" s="197"/>
      <c r="F5" s="197"/>
      <c r="G5" s="198"/>
      <c r="H5" s="75"/>
      <c r="I5" s="197"/>
      <c r="J5" s="197"/>
      <c r="K5" s="197"/>
      <c r="L5" s="197"/>
      <c r="M5" s="197"/>
      <c r="N5" s="197"/>
      <c r="O5" s="197"/>
      <c r="P5" s="1"/>
      <c r="Q5" s="1"/>
    </row>
    <row r="6" spans="1:18" ht="15.75">
      <c r="A6" s="3" t="str">
        <f>'C.2.2 B 09'!A6</f>
        <v>Data:___X____Base Period________Forecasted Period</v>
      </c>
      <c r="B6" s="154"/>
      <c r="C6" s="3"/>
      <c r="D6" s="1"/>
      <c r="E6" s="1"/>
      <c r="F6" s="1"/>
      <c r="G6" s="1"/>
      <c r="H6" s="199"/>
      <c r="I6" s="1"/>
      <c r="K6" s="200"/>
      <c r="L6" s="1"/>
      <c r="M6" s="1"/>
      <c r="N6" s="197"/>
      <c r="O6" s="197"/>
      <c r="P6" s="155" t="s">
        <v>217</v>
      </c>
      <c r="Q6" s="1"/>
    </row>
    <row r="7" spans="1:18">
      <c r="A7" s="3" t="str">
        <f>'C.2.2 B 09'!A7</f>
        <v>Type of Filing:___X____Original________Updated ________Revised</v>
      </c>
      <c r="B7" s="154"/>
      <c r="C7" s="3"/>
      <c r="D7" s="1"/>
      <c r="E7" s="75"/>
      <c r="F7" s="1"/>
      <c r="G7" s="1"/>
      <c r="H7" s="1"/>
      <c r="I7" s="1"/>
      <c r="J7" s="1"/>
      <c r="K7" s="1"/>
      <c r="L7" s="1"/>
      <c r="M7" s="1"/>
      <c r="N7" s="197"/>
      <c r="O7" s="197"/>
      <c r="P7" s="156" t="s">
        <v>218</v>
      </c>
      <c r="Q7" s="1"/>
    </row>
    <row r="8" spans="1:18">
      <c r="A8" s="3" t="str">
        <f>'C.2.2 B 09'!A8</f>
        <v>Workpaper Reference No(s).____________________</v>
      </c>
      <c r="B8" s="157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157"/>
      <c r="P8" s="158" t="str">
        <f>C.1!J9</f>
        <v>Witness: Waller, Smith</v>
      </c>
      <c r="Q8" s="1"/>
    </row>
    <row r="9" spans="1:18">
      <c r="A9" s="159" t="s">
        <v>12</v>
      </c>
      <c r="B9" s="160" t="s">
        <v>219</v>
      </c>
      <c r="C9" s="161"/>
      <c r="D9" s="58" t="str">
        <f>'C.2.2 B 09'!D9</f>
        <v>actual</v>
      </c>
      <c r="E9" s="58" t="str">
        <f>'C.2.2 B 09'!F9</f>
        <v>actual</v>
      </c>
      <c r="F9" s="58" t="str">
        <f>'C.2.2 B 09'!F9</f>
        <v>actual</v>
      </c>
      <c r="G9" s="58" t="str">
        <f>'C.2.2 B 09'!G9</f>
        <v>actual</v>
      </c>
      <c r="H9" s="58" t="str">
        <f>'C.2.2 B 09'!H9</f>
        <v>actual</v>
      </c>
      <c r="I9" s="58" t="str">
        <f>'C.2.2 B 09'!I9</f>
        <v>actual</v>
      </c>
      <c r="J9" s="58" t="s">
        <v>220</v>
      </c>
      <c r="K9" s="58" t="s">
        <v>220</v>
      </c>
      <c r="L9" s="58" t="str">
        <f>'C.2.2 B 09'!L9</f>
        <v>actual</v>
      </c>
      <c r="M9" s="58" t="str">
        <f>'C.2.2 B 09'!M9</f>
        <v>actual</v>
      </c>
      <c r="N9" s="58" t="str">
        <f>'C.2.2 B 09'!N9</f>
        <v>actual</v>
      </c>
      <c r="O9" s="58" t="str">
        <f>'C.2.2 B 09'!O9</f>
        <v>Budgeted</v>
      </c>
      <c r="P9" s="201"/>
      <c r="Q9" s="1"/>
    </row>
    <row r="10" spans="1:18">
      <c r="A10" s="165" t="s">
        <v>15</v>
      </c>
      <c r="B10" s="62" t="s">
        <v>15</v>
      </c>
      <c r="C10" s="166" t="s">
        <v>222</v>
      </c>
      <c r="D10" s="202">
        <f>'C.2.2 B 09'!D10</f>
        <v>42094</v>
      </c>
      <c r="E10" s="202">
        <f>'C.2.2 B 09'!F10</f>
        <v>42155</v>
      </c>
      <c r="F10" s="202">
        <f>'C.2.2 B 09'!F10</f>
        <v>42155</v>
      </c>
      <c r="G10" s="202">
        <f>'C.2.2 B 09'!G10</f>
        <v>42185</v>
      </c>
      <c r="H10" s="202">
        <f>'C.2.2 B 09'!H10</f>
        <v>42216</v>
      </c>
      <c r="I10" s="202">
        <f>'C.2.2 B 09'!I10</f>
        <v>42247</v>
      </c>
      <c r="J10" s="202">
        <f>'C.2.2 B 09'!J10</f>
        <v>42277</v>
      </c>
      <c r="K10" s="202">
        <f>'C.2.2 B 09'!K10</f>
        <v>42308</v>
      </c>
      <c r="L10" s="202">
        <f>'C.2.2 B 09'!L10</f>
        <v>42338</v>
      </c>
      <c r="M10" s="202">
        <f>'C.2.2 B 09'!M10</f>
        <v>42369</v>
      </c>
      <c r="N10" s="202">
        <f>'C.2.2 B 09'!N10</f>
        <v>42400</v>
      </c>
      <c r="O10" s="202">
        <f>'C.2.2 B 09'!O10</f>
        <v>42429</v>
      </c>
      <c r="P10" s="202" t="str">
        <f>'C.2.2 B 09'!P10</f>
        <v>Total</v>
      </c>
      <c r="Q10" s="1"/>
    </row>
    <row r="11" spans="1:18">
      <c r="A11" s="1"/>
      <c r="B11" s="1"/>
      <c r="C11" s="17"/>
      <c r="D11" s="64" t="s">
        <v>224</v>
      </c>
      <c r="E11" s="64" t="s">
        <v>224</v>
      </c>
      <c r="F11" s="64" t="s">
        <v>224</v>
      </c>
      <c r="G11" s="64" t="s">
        <v>224</v>
      </c>
      <c r="H11" s="64" t="s">
        <v>224</v>
      </c>
      <c r="I11" s="64" t="s">
        <v>224</v>
      </c>
      <c r="J11" s="10" t="s">
        <v>224</v>
      </c>
      <c r="K11" s="10" t="s">
        <v>224</v>
      </c>
      <c r="L11" s="10" t="s">
        <v>224</v>
      </c>
      <c r="M11" s="10" t="s">
        <v>224</v>
      </c>
      <c r="N11" s="10" t="s">
        <v>224</v>
      </c>
      <c r="O11" s="64" t="s">
        <v>224</v>
      </c>
      <c r="P11" s="10" t="s">
        <v>224</v>
      </c>
      <c r="Q11" s="1"/>
    </row>
    <row r="12" spans="1:18">
      <c r="A12" s="1"/>
      <c r="B12" s="171" t="s">
        <v>212</v>
      </c>
      <c r="C12" s="172" t="s">
        <v>225</v>
      </c>
      <c r="D12" s="174">
        <v>188488.59000000358</v>
      </c>
      <c r="E12" s="174">
        <v>243921.77</v>
      </c>
      <c r="F12" s="174">
        <v>682125.79</v>
      </c>
      <c r="G12" s="174">
        <v>1051227.2899999991</v>
      </c>
      <c r="H12" s="174">
        <v>3771359.7</v>
      </c>
      <c r="I12" s="174">
        <v>-1129701.1500000001</v>
      </c>
      <c r="J12" s="174">
        <v>1735510.25</v>
      </c>
      <c r="K12" s="174">
        <v>588797.34000000008</v>
      </c>
      <c r="L12" s="174">
        <v>219738.27000000002</v>
      </c>
      <c r="M12" s="174">
        <v>-21158.229999996722</v>
      </c>
      <c r="N12" s="174">
        <v>-315820</v>
      </c>
      <c r="O12" s="174"/>
      <c r="P12" s="1">
        <f t="shared" ref="P12:P13" si="0">SUM(D12:O12)</f>
        <v>7014489.6200000048</v>
      </c>
      <c r="Q12" s="1"/>
      <c r="R12" s="173"/>
    </row>
    <row r="13" spans="1:18">
      <c r="A13" s="1"/>
      <c r="B13" s="1"/>
      <c r="C13" s="17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1">
        <f t="shared" si="0"/>
        <v>0</v>
      </c>
      <c r="Q13" s="1"/>
    </row>
    <row r="14" spans="1:18">
      <c r="A14" s="9">
        <v>1</v>
      </c>
      <c r="B14" s="141">
        <v>4030</v>
      </c>
      <c r="C14" s="17" t="s">
        <v>63</v>
      </c>
      <c r="D14" s="174">
        <v>-1.1525003174028825E-10</v>
      </c>
      <c r="E14" s="174">
        <v>-8.7311491370201111E-11</v>
      </c>
      <c r="F14" s="174">
        <v>-8.7311491370201111E-11</v>
      </c>
      <c r="G14" s="174">
        <v>-5.8207660913467407E-11</v>
      </c>
      <c r="H14" s="174">
        <v>-1.0186340659856796E-10</v>
      </c>
      <c r="I14" s="174">
        <v>-2.9103830456733704E-11</v>
      </c>
      <c r="J14" s="113">
        <v>0</v>
      </c>
      <c r="K14" s="113">
        <v>5.8207660913467407E-11</v>
      </c>
      <c r="L14" s="113">
        <v>0</v>
      </c>
      <c r="M14" s="113">
        <v>0</v>
      </c>
      <c r="N14" s="113">
        <v>-5.8207660913467407E-11</v>
      </c>
      <c r="O14" s="113">
        <v>0</v>
      </c>
      <c r="P14" s="1">
        <f>SUM(D14:O14)</f>
        <v>-4.7904791244945955E-10</v>
      </c>
      <c r="Q14" s="75"/>
      <c r="R14" s="173"/>
    </row>
    <row r="15" spans="1:18">
      <c r="A15" s="9">
        <f>A14+1</f>
        <v>2</v>
      </c>
      <c r="B15" s="141">
        <v>4081</v>
      </c>
      <c r="C15" s="1" t="s">
        <v>227</v>
      </c>
      <c r="D15" s="174">
        <v>-1.0000000079745774E-2</v>
      </c>
      <c r="E15" s="174">
        <v>1.0000000026138878E-2</v>
      </c>
      <c r="F15" s="174">
        <v>9.9999998451494321E-3</v>
      </c>
      <c r="G15" s="174">
        <v>4.8203219193965197E-11</v>
      </c>
      <c r="H15" s="174">
        <v>2.9999999999899107E-2</v>
      </c>
      <c r="I15" s="174">
        <v>1.9999999955237074E-2</v>
      </c>
      <c r="J15" s="113">
        <v>-2.0000000055460987E-2</v>
      </c>
      <c r="K15" s="113">
        <v>1.0000000045693014E-2</v>
      </c>
      <c r="L15" s="113">
        <v>0</v>
      </c>
      <c r="M15" s="113">
        <v>0</v>
      </c>
      <c r="N15" s="113">
        <v>-9.9999998874409357E-3</v>
      </c>
      <c r="O15" s="174">
        <v>0</v>
      </c>
      <c r="P15" s="1">
        <f>SUM(D15:O15)</f>
        <v>3.9999999897673028E-2</v>
      </c>
      <c r="Q15" s="75"/>
    </row>
    <row r="16" spans="1:18">
      <c r="A16" s="9">
        <f t="shared" ref="A16:A41" si="1">A15+1</f>
        <v>3</v>
      </c>
      <c r="B16" s="141">
        <v>8210</v>
      </c>
      <c r="C16" s="179" t="s">
        <v>260</v>
      </c>
      <c r="D16" s="174"/>
      <c r="E16" s="174"/>
      <c r="F16" s="174"/>
      <c r="G16" s="174"/>
      <c r="H16" s="174"/>
      <c r="I16" s="174"/>
      <c r="J16" s="113">
        <v>1190.75</v>
      </c>
      <c r="K16" s="113">
        <v>0</v>
      </c>
      <c r="L16" s="113"/>
      <c r="M16" s="113"/>
      <c r="N16" s="113"/>
      <c r="O16" s="174"/>
      <c r="P16" s="1">
        <f>SUM(D16:O16)</f>
        <v>1190.75</v>
      </c>
      <c r="Q16" s="75"/>
    </row>
    <row r="17" spans="1:17">
      <c r="A17" s="9">
        <f t="shared" si="1"/>
        <v>4</v>
      </c>
      <c r="B17" s="141">
        <v>8560</v>
      </c>
      <c r="C17" s="1" t="s">
        <v>269</v>
      </c>
      <c r="D17" s="174">
        <v>0</v>
      </c>
      <c r="E17" s="174">
        <v>555.19999999999982</v>
      </c>
      <c r="F17" s="174">
        <v>-229.90999999999985</v>
      </c>
      <c r="G17" s="174">
        <v>68.739999999999995</v>
      </c>
      <c r="H17" s="174">
        <v>46.490000000000023</v>
      </c>
      <c r="I17" s="174">
        <v>109.21</v>
      </c>
      <c r="J17" s="113">
        <v>559.99</v>
      </c>
      <c r="K17" s="113">
        <v>0</v>
      </c>
      <c r="L17" s="113">
        <v>-70.69999999999979</v>
      </c>
      <c r="M17" s="113">
        <v>70.7</v>
      </c>
      <c r="N17" s="113">
        <v>0</v>
      </c>
      <c r="O17" s="174">
        <v>120.80237128735922</v>
      </c>
      <c r="P17" s="1">
        <f t="shared" ref="P17:P36" si="2">SUM(D17:O17)</f>
        <v>1230.5223712873594</v>
      </c>
      <c r="Q17" s="1"/>
    </row>
    <row r="18" spans="1:17">
      <c r="A18" s="9">
        <f t="shared" si="1"/>
        <v>5</v>
      </c>
      <c r="B18" s="141">
        <v>8700</v>
      </c>
      <c r="C18" s="1" t="s">
        <v>275</v>
      </c>
      <c r="D18" s="174">
        <v>12344.87</v>
      </c>
      <c r="E18" s="174">
        <v>6006.1399999999994</v>
      </c>
      <c r="F18" s="174">
        <v>774.10999999999865</v>
      </c>
      <c r="G18" s="174">
        <v>150.88999999999817</v>
      </c>
      <c r="H18" s="174">
        <v>10189.64</v>
      </c>
      <c r="I18" s="174">
        <v>610.85999999999797</v>
      </c>
      <c r="J18" s="113">
        <v>320.64000000000078</v>
      </c>
      <c r="K18" s="113">
        <v>168.46</v>
      </c>
      <c r="L18" s="113">
        <v>0</v>
      </c>
      <c r="M18" s="113">
        <v>656.85999999999854</v>
      </c>
      <c r="N18" s="113">
        <v>172.49999999999994</v>
      </c>
      <c r="O18" s="174">
        <v>6614.7658270827824</v>
      </c>
      <c r="P18" s="1">
        <f t="shared" si="2"/>
        <v>38009.735827082775</v>
      </c>
      <c r="Q18" s="1"/>
    </row>
    <row r="19" spans="1:17">
      <c r="A19" s="9">
        <f t="shared" si="1"/>
        <v>6</v>
      </c>
      <c r="B19" s="141">
        <v>8740</v>
      </c>
      <c r="C19" s="1" t="s">
        <v>279</v>
      </c>
      <c r="D19" s="174">
        <v>13304.42</v>
      </c>
      <c r="E19" s="174">
        <v>2002.1999999999998</v>
      </c>
      <c r="F19" s="174">
        <v>9281.380000000001</v>
      </c>
      <c r="G19" s="174">
        <v>11402.989999999998</v>
      </c>
      <c r="H19" s="174">
        <v>-1564.7399999999991</v>
      </c>
      <c r="I19" s="174">
        <v>10023.68</v>
      </c>
      <c r="J19" s="113">
        <v>11541.4</v>
      </c>
      <c r="K19" s="113">
        <v>13575.060000000001</v>
      </c>
      <c r="L19" s="113">
        <v>8788.4599999999991</v>
      </c>
      <c r="M19" s="113">
        <v>10973.74</v>
      </c>
      <c r="N19" s="113">
        <v>14537.050000000001</v>
      </c>
      <c r="O19" s="174">
        <v>9675.9005190454009</v>
      </c>
      <c r="P19" s="1">
        <f t="shared" si="2"/>
        <v>113541.54051904542</v>
      </c>
      <c r="Q19" s="1"/>
    </row>
    <row r="20" spans="1:17">
      <c r="A20" s="9">
        <f t="shared" si="1"/>
        <v>7</v>
      </c>
      <c r="B20" s="141">
        <v>8780</v>
      </c>
      <c r="C20" s="1" t="s">
        <v>283</v>
      </c>
      <c r="D20" s="174">
        <v>-1002.23</v>
      </c>
      <c r="E20" s="174">
        <v>0</v>
      </c>
      <c r="F20" s="174">
        <v>0</v>
      </c>
      <c r="G20" s="174">
        <v>0</v>
      </c>
      <c r="H20" s="174">
        <v>0</v>
      </c>
      <c r="I20" s="174">
        <v>0</v>
      </c>
      <c r="J20" s="174">
        <v>0</v>
      </c>
      <c r="K20" s="174">
        <v>0</v>
      </c>
      <c r="L20" s="174">
        <v>0</v>
      </c>
      <c r="M20" s="174">
        <v>0</v>
      </c>
      <c r="N20" s="174">
        <v>0</v>
      </c>
      <c r="O20" s="174">
        <v>-182.5836009721601</v>
      </c>
      <c r="P20" s="1">
        <f t="shared" si="2"/>
        <v>-1184.8136009721602</v>
      </c>
      <c r="Q20" s="1"/>
    </row>
    <row r="21" spans="1:17">
      <c r="A21" s="9">
        <f t="shared" si="1"/>
        <v>8</v>
      </c>
      <c r="B21" s="141">
        <v>8800</v>
      </c>
      <c r="C21" s="1" t="s">
        <v>285</v>
      </c>
      <c r="D21" s="174">
        <v>0</v>
      </c>
      <c r="E21" s="174">
        <v>10.81</v>
      </c>
      <c r="F21" s="174">
        <v>0</v>
      </c>
      <c r="G21" s="174">
        <v>517.41999999999996</v>
      </c>
      <c r="H21" s="174">
        <v>40.46</v>
      </c>
      <c r="I21" s="174">
        <v>0</v>
      </c>
      <c r="J21" s="174">
        <v>0</v>
      </c>
      <c r="K21" s="174">
        <v>0</v>
      </c>
      <c r="L21" s="174">
        <v>0</v>
      </c>
      <c r="M21" s="174">
        <v>0</v>
      </c>
      <c r="N21" s="174">
        <v>0</v>
      </c>
      <c r="O21" s="174">
        <v>127.46308027125565</v>
      </c>
      <c r="P21" s="1">
        <f t="shared" si="2"/>
        <v>696.15308027125559</v>
      </c>
      <c r="Q21" s="1"/>
    </row>
    <row r="22" spans="1:17">
      <c r="A22" s="9">
        <f t="shared" si="1"/>
        <v>9</v>
      </c>
      <c r="B22" s="141">
        <v>9010</v>
      </c>
      <c r="C22" s="1" t="s">
        <v>296</v>
      </c>
      <c r="D22" s="174">
        <v>0</v>
      </c>
      <c r="E22" s="174">
        <v>499.76</v>
      </c>
      <c r="F22" s="174">
        <v>7088.05</v>
      </c>
      <c r="G22" s="174">
        <v>153.49</v>
      </c>
      <c r="H22" s="174">
        <v>361.78999999999996</v>
      </c>
      <c r="I22" s="174">
        <v>0</v>
      </c>
      <c r="J22" s="174">
        <v>208.59</v>
      </c>
      <c r="K22" s="174">
        <v>19644.63</v>
      </c>
      <c r="L22" s="174">
        <v>-7074.91</v>
      </c>
      <c r="M22" s="174">
        <v>0</v>
      </c>
      <c r="N22" s="174">
        <v>0</v>
      </c>
      <c r="O22" s="174">
        <v>1803.8278839385414</v>
      </c>
      <c r="P22" s="1">
        <f t="shared" si="2"/>
        <v>22685.227883938544</v>
      </c>
      <c r="Q22" s="1"/>
    </row>
    <row r="23" spans="1:17">
      <c r="A23" s="9">
        <f t="shared" si="1"/>
        <v>10</v>
      </c>
      <c r="B23" s="141">
        <v>9030</v>
      </c>
      <c r="C23" s="1" t="s">
        <v>298</v>
      </c>
      <c r="D23" s="174">
        <v>3706.32</v>
      </c>
      <c r="E23" s="174">
        <v>3706.32</v>
      </c>
      <c r="F23" s="174">
        <v>3537.8300000000004</v>
      </c>
      <c r="G23" s="174">
        <v>3706.31</v>
      </c>
      <c r="H23" s="174">
        <v>3874.81</v>
      </c>
      <c r="I23" s="174">
        <v>3537.84</v>
      </c>
      <c r="J23" s="174">
        <v>3706.2999999999997</v>
      </c>
      <c r="K23" s="174">
        <v>158444.70000000001</v>
      </c>
      <c r="L23" s="174">
        <v>158114.82999999999</v>
      </c>
      <c r="M23" s="174">
        <v>177674.65999999997</v>
      </c>
      <c r="N23" s="174">
        <v>197253.83</v>
      </c>
      <c r="O23" s="174">
        <v>4020.5501739151878</v>
      </c>
      <c r="P23" s="1">
        <f t="shared" si="2"/>
        <v>721284.30017391522</v>
      </c>
      <c r="Q23" s="1"/>
    </row>
    <row r="24" spans="1:17">
      <c r="A24" s="9">
        <f t="shared" si="1"/>
        <v>11</v>
      </c>
      <c r="B24" s="141">
        <v>9100</v>
      </c>
      <c r="C24" s="1" t="s">
        <v>301</v>
      </c>
      <c r="D24" s="174">
        <v>446.95</v>
      </c>
      <c r="E24" s="174">
        <v>0</v>
      </c>
      <c r="F24" s="174">
        <v>0</v>
      </c>
      <c r="G24" s="174">
        <v>0</v>
      </c>
      <c r="H24" s="174">
        <v>0</v>
      </c>
      <c r="I24" s="174">
        <v>0</v>
      </c>
      <c r="J24" s="174">
        <v>0</v>
      </c>
      <c r="K24" s="174">
        <v>0</v>
      </c>
      <c r="L24" s="174">
        <v>0</v>
      </c>
      <c r="M24" s="174">
        <v>0</v>
      </c>
      <c r="N24" s="174">
        <v>0</v>
      </c>
      <c r="O24" s="174">
        <v>99.978747696364238</v>
      </c>
      <c r="P24" s="1">
        <f t="shared" si="2"/>
        <v>546.92874769636421</v>
      </c>
      <c r="Q24" s="1"/>
    </row>
    <row r="25" spans="1:17">
      <c r="A25" s="9">
        <f t="shared" si="1"/>
        <v>12</v>
      </c>
      <c r="B25" s="141">
        <v>9120</v>
      </c>
      <c r="C25" s="142" t="s">
        <v>303</v>
      </c>
      <c r="D25" s="174">
        <v>0</v>
      </c>
      <c r="E25" s="174">
        <v>0</v>
      </c>
      <c r="F25" s="174">
        <v>399.75</v>
      </c>
      <c r="G25" s="174">
        <v>0</v>
      </c>
      <c r="H25" s="174">
        <v>275</v>
      </c>
      <c r="I25" s="174">
        <v>2244.69</v>
      </c>
      <c r="J25" s="174">
        <v>0</v>
      </c>
      <c r="K25" s="174">
        <v>0</v>
      </c>
      <c r="L25" s="174">
        <v>0</v>
      </c>
      <c r="M25" s="174">
        <v>0</v>
      </c>
      <c r="N25" s="174">
        <v>2500</v>
      </c>
      <c r="O25" s="174">
        <v>372.2828968525655</v>
      </c>
      <c r="P25" s="1">
        <f t="shared" si="2"/>
        <v>5791.722896852566</v>
      </c>
      <c r="Q25" s="1"/>
    </row>
    <row r="26" spans="1:17">
      <c r="A26" s="9">
        <f t="shared" si="1"/>
        <v>13</v>
      </c>
      <c r="B26" s="141">
        <v>9200</v>
      </c>
      <c r="C26" s="1" t="s">
        <v>305</v>
      </c>
      <c r="D26" s="174">
        <v>-1579484.34</v>
      </c>
      <c r="E26" s="174">
        <v>-1201722.1799999997</v>
      </c>
      <c r="F26" s="174">
        <v>-261629.64999999959</v>
      </c>
      <c r="G26" s="174">
        <v>-2885600.439999999</v>
      </c>
      <c r="H26" s="174">
        <v>-5481318.5500000045</v>
      </c>
      <c r="I26" s="174">
        <v>-4808653.820000004</v>
      </c>
      <c r="J26" s="174">
        <v>3068359.8200000017</v>
      </c>
      <c r="K26" s="174">
        <v>-1085187.8800000004</v>
      </c>
      <c r="L26" s="174">
        <v>-1236057.94</v>
      </c>
      <c r="M26" s="174">
        <v>-754863.84999999974</v>
      </c>
      <c r="N26" s="174">
        <v>84536.459999999905</v>
      </c>
      <c r="O26" s="174">
        <v>-2717546.9778292608</v>
      </c>
      <c r="P26" s="1">
        <f t="shared" si="2"/>
        <v>-18859169.347829267</v>
      </c>
      <c r="Q26" s="1"/>
    </row>
    <row r="27" spans="1:17">
      <c r="A27" s="9">
        <f t="shared" si="1"/>
        <v>14</v>
      </c>
      <c r="B27" s="141">
        <v>9210</v>
      </c>
      <c r="C27" s="1" t="s">
        <v>306</v>
      </c>
      <c r="D27" s="174">
        <v>1249144.0200000003</v>
      </c>
      <c r="E27" s="174">
        <v>1505038.1899999985</v>
      </c>
      <c r="F27" s="174">
        <v>1602763.9199999997</v>
      </c>
      <c r="G27" s="174">
        <v>1774936.2400000007</v>
      </c>
      <c r="H27" s="174">
        <v>1683390.9000000008</v>
      </c>
      <c r="I27" s="174">
        <v>1837310.1600000008</v>
      </c>
      <c r="J27" s="174">
        <v>181106.81000000041</v>
      </c>
      <c r="K27" s="174">
        <v>1856797.1999999983</v>
      </c>
      <c r="L27" s="174">
        <v>1748685.7299999997</v>
      </c>
      <c r="M27" s="174">
        <v>1764446.2299999979</v>
      </c>
      <c r="N27" s="174">
        <v>1871931.8599999996</v>
      </c>
      <c r="O27" s="174">
        <v>2006137.509979483</v>
      </c>
      <c r="P27" s="1">
        <f t="shared" si="2"/>
        <v>19081688.769979481</v>
      </c>
      <c r="Q27" s="1"/>
    </row>
    <row r="28" spans="1:17">
      <c r="A28" s="9">
        <f t="shared" si="1"/>
        <v>15</v>
      </c>
      <c r="B28" s="141">
        <v>9220</v>
      </c>
      <c r="C28" s="1" t="s">
        <v>307</v>
      </c>
      <c r="D28" s="174">
        <v>-7204502.6800000016</v>
      </c>
      <c r="E28" s="174">
        <v>-6106733.1499999985</v>
      </c>
      <c r="F28" s="174">
        <v>-6844688.9299999932</v>
      </c>
      <c r="G28" s="174">
        <v>-6008451.9700000025</v>
      </c>
      <c r="H28" s="174">
        <v>-14931070.290000014</v>
      </c>
      <c r="I28" s="174">
        <v>2200870.8299999852</v>
      </c>
      <c r="J28" s="174">
        <v>-10811505.770000003</v>
      </c>
      <c r="K28" s="174">
        <v>-6971532.7200000025</v>
      </c>
      <c r="L28" s="174">
        <v>-6637124.7699999968</v>
      </c>
      <c r="M28" s="174">
        <v>-5412864.1899999958</v>
      </c>
      <c r="N28" s="174">
        <v>-8975776.4500000048</v>
      </c>
      <c r="O28" s="203">
        <f t="shared" ref="O28" si="3">-(SUM(O14:O27,O29:O36))</f>
        <v>-6295030.2953333361</v>
      </c>
      <c r="P28" s="1">
        <f t="shared" si="2"/>
        <v>-83998410.385333374</v>
      </c>
      <c r="Q28" s="75"/>
    </row>
    <row r="29" spans="1:17">
      <c r="A29" s="9">
        <f t="shared" si="1"/>
        <v>16</v>
      </c>
      <c r="B29" s="141">
        <v>9230</v>
      </c>
      <c r="C29" s="1" t="s">
        <v>308</v>
      </c>
      <c r="D29" s="174">
        <v>554634.34</v>
      </c>
      <c r="E29" s="174">
        <v>481432.66999999993</v>
      </c>
      <c r="F29" s="174">
        <v>555984.48</v>
      </c>
      <c r="G29" s="174">
        <v>917907.62</v>
      </c>
      <c r="H29" s="174">
        <v>627190.75</v>
      </c>
      <c r="I29" s="174">
        <v>682005.23</v>
      </c>
      <c r="J29" s="174">
        <v>952370.22999999986</v>
      </c>
      <c r="K29" s="174">
        <v>690313.63</v>
      </c>
      <c r="L29" s="174">
        <v>768025.41000000015</v>
      </c>
      <c r="M29" s="174">
        <v>509962.31000000006</v>
      </c>
      <c r="N29" s="174">
        <v>572073.88</v>
      </c>
      <c r="O29" s="174">
        <v>725693.5811876629</v>
      </c>
      <c r="P29" s="1">
        <f t="shared" si="2"/>
        <v>8037594.1311876625</v>
      </c>
      <c r="Q29" s="1"/>
    </row>
    <row r="30" spans="1:17">
      <c r="A30" s="9">
        <f t="shared" si="1"/>
        <v>17</v>
      </c>
      <c r="B30" s="141">
        <v>9240</v>
      </c>
      <c r="C30" s="1" t="s">
        <v>309</v>
      </c>
      <c r="D30" s="174">
        <v>13536.98</v>
      </c>
      <c r="E30" s="174">
        <v>13536.98</v>
      </c>
      <c r="F30" s="174">
        <v>13536.98</v>
      </c>
      <c r="G30" s="174">
        <v>13536.98</v>
      </c>
      <c r="H30" s="174">
        <v>13615.279999999999</v>
      </c>
      <c r="I30" s="174">
        <v>13543.439999999999</v>
      </c>
      <c r="J30" s="174">
        <v>13536.98</v>
      </c>
      <c r="K30" s="174">
        <v>13536.98</v>
      </c>
      <c r="L30" s="174">
        <v>13536.98</v>
      </c>
      <c r="M30" s="174">
        <v>13536.98</v>
      </c>
      <c r="N30" s="174">
        <v>13536.98</v>
      </c>
      <c r="O30" s="174">
        <v>14983.391291534504</v>
      </c>
      <c r="P30" s="1">
        <f t="shared" si="2"/>
        <v>163974.93129153451</v>
      </c>
      <c r="Q30" s="1"/>
    </row>
    <row r="31" spans="1:17">
      <c r="A31" s="9">
        <f t="shared" si="1"/>
        <v>18</v>
      </c>
      <c r="B31" s="141">
        <v>9250</v>
      </c>
      <c r="C31" s="1" t="s">
        <v>310</v>
      </c>
      <c r="D31" s="174">
        <v>1556099.58</v>
      </c>
      <c r="E31" s="174">
        <v>514911.73999999976</v>
      </c>
      <c r="F31" s="174">
        <v>557022.37999999989</v>
      </c>
      <c r="G31" s="174">
        <v>1557218.5799999998</v>
      </c>
      <c r="H31" s="174">
        <v>1560234.16</v>
      </c>
      <c r="I31" s="174">
        <v>1644852.8399999999</v>
      </c>
      <c r="J31" s="174">
        <v>3600680.84</v>
      </c>
      <c r="K31" s="174">
        <v>1654157.68</v>
      </c>
      <c r="L31" s="174">
        <v>1657035.17</v>
      </c>
      <c r="M31" s="174">
        <v>1657435.1099999999</v>
      </c>
      <c r="N31" s="174">
        <v>1778142.0199999998</v>
      </c>
      <c r="O31" s="174">
        <v>1726834.3294408235</v>
      </c>
      <c r="P31" s="1">
        <f t="shared" si="2"/>
        <v>19464624.429440822</v>
      </c>
      <c r="Q31" s="1"/>
    </row>
    <row r="32" spans="1:17">
      <c r="A32" s="9">
        <f t="shared" si="1"/>
        <v>19</v>
      </c>
      <c r="B32" s="141">
        <v>9260</v>
      </c>
      <c r="C32" s="1" t="s">
        <v>311</v>
      </c>
      <c r="D32" s="174">
        <v>3191076.5699999961</v>
      </c>
      <c r="E32" s="174">
        <v>3057681.0599999968</v>
      </c>
      <c r="F32" s="174">
        <v>2761670.4400000027</v>
      </c>
      <c r="G32" s="174">
        <v>8736017.2399999946</v>
      </c>
      <c r="H32" s="174">
        <v>6882904.7500000112</v>
      </c>
      <c r="I32" s="174">
        <v>1762802.3200000015</v>
      </c>
      <c r="J32" s="174">
        <v>2168918.2200000011</v>
      </c>
      <c r="K32" s="174">
        <v>2811885.4800000018</v>
      </c>
      <c r="L32" s="174">
        <v>2675684.7100000004</v>
      </c>
      <c r="M32" s="174">
        <v>1031595.8899999969</v>
      </c>
      <c r="N32" s="174">
        <v>3322193.4999999977</v>
      </c>
      <c r="O32" s="174">
        <v>3643470.3610119428</v>
      </c>
      <c r="P32" s="1">
        <f t="shared" si="2"/>
        <v>42045900.541011952</v>
      </c>
      <c r="Q32" s="1"/>
    </row>
    <row r="33" spans="1:18">
      <c r="A33" s="9">
        <f t="shared" si="1"/>
        <v>20</v>
      </c>
      <c r="B33" s="141">
        <v>9301</v>
      </c>
      <c r="C33" s="1" t="s">
        <v>323</v>
      </c>
      <c r="D33" s="174">
        <v>0</v>
      </c>
      <c r="E33" s="174">
        <v>0</v>
      </c>
      <c r="F33" s="174">
        <v>0</v>
      </c>
      <c r="G33" s="174">
        <v>49000</v>
      </c>
      <c r="H33" s="174">
        <v>0</v>
      </c>
      <c r="I33" s="174">
        <v>0</v>
      </c>
      <c r="J33" s="174">
        <v>0</v>
      </c>
      <c r="K33" s="174">
        <v>0</v>
      </c>
      <c r="L33" s="174">
        <v>0</v>
      </c>
      <c r="M33" s="174">
        <v>0</v>
      </c>
      <c r="N33" s="174">
        <v>0</v>
      </c>
      <c r="O33" s="174">
        <v>6081.6180412482327</v>
      </c>
      <c r="P33" s="1">
        <f t="shared" si="2"/>
        <v>55081.618041248235</v>
      </c>
      <c r="Q33" s="1"/>
    </row>
    <row r="34" spans="1:18">
      <c r="A34" s="9">
        <f t="shared" si="1"/>
        <v>21</v>
      </c>
      <c r="B34" s="141">
        <v>9302</v>
      </c>
      <c r="C34" s="1" t="s">
        <v>314</v>
      </c>
      <c r="D34" s="174">
        <v>1754684.69</v>
      </c>
      <c r="E34" s="174">
        <v>264937.00999999995</v>
      </c>
      <c r="F34" s="174">
        <v>76913.89</v>
      </c>
      <c r="G34" s="174">
        <v>317125.99000000005</v>
      </c>
      <c r="H34" s="174">
        <v>363534.39000000007</v>
      </c>
      <c r="I34" s="174">
        <v>82445.079999999987</v>
      </c>
      <c r="J34" s="174">
        <v>247719.8</v>
      </c>
      <c r="K34" s="174">
        <v>389662.05</v>
      </c>
      <c r="L34" s="174">
        <v>122403.62999999999</v>
      </c>
      <c r="M34" s="174">
        <v>510220.53</v>
      </c>
      <c r="N34" s="174">
        <v>685514.26</v>
      </c>
      <c r="O34" s="174">
        <v>366998.30544584792</v>
      </c>
      <c r="P34" s="1">
        <f t="shared" si="2"/>
        <v>5182159.6254458474</v>
      </c>
      <c r="Q34" s="1"/>
    </row>
    <row r="35" spans="1:18">
      <c r="A35" s="9">
        <f t="shared" si="1"/>
        <v>22</v>
      </c>
      <c r="B35" s="141">
        <v>9310</v>
      </c>
      <c r="C35" s="1" t="s">
        <v>203</v>
      </c>
      <c r="D35" s="174">
        <v>425099.12000000005</v>
      </c>
      <c r="E35" s="174">
        <v>415146.39000000013</v>
      </c>
      <c r="F35" s="174">
        <v>438152.84000000014</v>
      </c>
      <c r="G35" s="174">
        <v>410794.48</v>
      </c>
      <c r="H35" s="174">
        <v>431262.11000000004</v>
      </c>
      <c r="I35" s="174">
        <v>404455.09000000008</v>
      </c>
      <c r="J35" s="174">
        <v>618969.60000000009</v>
      </c>
      <c r="K35" s="174">
        <v>424112.13000000006</v>
      </c>
      <c r="L35" s="174">
        <v>415493.65</v>
      </c>
      <c r="M35" s="174">
        <v>404810.40000000014</v>
      </c>
      <c r="N35" s="174">
        <v>402706.2</v>
      </c>
      <c r="O35" s="174">
        <v>440844.82376788132</v>
      </c>
      <c r="P35" s="1">
        <f t="shared" si="2"/>
        <v>5231846.8337678816</v>
      </c>
      <c r="Q35" s="1"/>
    </row>
    <row r="36" spans="1:18">
      <c r="A36" s="9">
        <f t="shared" si="1"/>
        <v>23</v>
      </c>
      <c r="B36" s="141">
        <v>9320</v>
      </c>
      <c r="C36" s="1" t="s">
        <v>315</v>
      </c>
      <c r="D36" s="174">
        <v>53285.08</v>
      </c>
      <c r="E36" s="174">
        <v>43331.92</v>
      </c>
      <c r="F36" s="174">
        <v>79999.809999999983</v>
      </c>
      <c r="G36" s="174">
        <v>52072.6</v>
      </c>
      <c r="H36" s="174">
        <v>16688.240000000002</v>
      </c>
      <c r="I36" s="174">
        <v>31285.159999999996</v>
      </c>
      <c r="J36" s="174">
        <v>28683.91</v>
      </c>
      <c r="K36" s="174">
        <v>24422.730000000003</v>
      </c>
      <c r="L36" s="174">
        <v>2941.3</v>
      </c>
      <c r="M36" s="174">
        <v>38395.070000000007</v>
      </c>
      <c r="N36" s="174">
        <v>29415.469999999998</v>
      </c>
      <c r="O36" s="174">
        <v>58880.365097055837</v>
      </c>
      <c r="P36" s="1">
        <f t="shared" si="2"/>
        <v>459401.65509705577</v>
      </c>
      <c r="Q36" s="1"/>
    </row>
    <row r="37" spans="1:18" ht="15.75" thickBot="1">
      <c r="A37" s="9">
        <f t="shared" si="1"/>
        <v>24</v>
      </c>
      <c r="B37" s="1" t="s">
        <v>316</v>
      </c>
      <c r="C37" s="204"/>
      <c r="D37" s="191">
        <f t="shared" ref="D37:O37" si="4">SUM(D14:D36)</f>
        <v>42373.679999994914</v>
      </c>
      <c r="E37" s="191">
        <f t="shared" si="4"/>
        <v>-999658.93000000168</v>
      </c>
      <c r="F37" s="191">
        <f t="shared" si="4"/>
        <v>-999422.61999999045</v>
      </c>
      <c r="G37" s="191">
        <f t="shared" si="4"/>
        <v>4950557.1599999946</v>
      </c>
      <c r="H37" s="191">
        <f t="shared" si="4"/>
        <v>-8820344.7800000068</v>
      </c>
      <c r="I37" s="191">
        <f t="shared" si="4"/>
        <v>3867442.6299999831</v>
      </c>
      <c r="J37" s="191">
        <f t="shared" si="4"/>
        <v>86368.089999999938</v>
      </c>
      <c r="K37" s="191">
        <f t="shared" si="4"/>
        <v>0.13999999724182999</v>
      </c>
      <c r="L37" s="191">
        <f t="shared" si="4"/>
        <v>-309618.44999999605</v>
      </c>
      <c r="M37" s="191">
        <f t="shared" si="4"/>
        <v>-47949.560000000813</v>
      </c>
      <c r="N37" s="191">
        <f t="shared" si="4"/>
        <v>-1262.450000007786</v>
      </c>
      <c r="O37" s="191">
        <f t="shared" si="4"/>
        <v>1.0186340659856796E-10</v>
      </c>
      <c r="P37" s="191">
        <f>SUM(P14:P36)</f>
        <v>-2231515.0900000255</v>
      </c>
      <c r="Q37" s="1"/>
    </row>
    <row r="38" spans="1:18" ht="15.75" thickTop="1">
      <c r="A38" s="9">
        <f t="shared" si="1"/>
        <v>25</v>
      </c>
      <c r="B38" s="17"/>
      <c r="C38" s="17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7"/>
      <c r="P38" s="1"/>
      <c r="Q38" s="1"/>
    </row>
    <row r="39" spans="1:18">
      <c r="A39" s="9">
        <f t="shared" si="1"/>
        <v>26</v>
      </c>
      <c r="B39" s="171">
        <f>B28</f>
        <v>9220</v>
      </c>
      <c r="C39" s="171" t="str">
        <f>C28</f>
        <v>A&amp;G-Administrative expense transferred-Credit</v>
      </c>
      <c r="D39" s="205">
        <f>D28</f>
        <v>-7204502.6800000016</v>
      </c>
      <c r="E39" s="205">
        <f t="shared" ref="E39:K39" si="5">E28</f>
        <v>-6106733.1499999985</v>
      </c>
      <c r="F39" s="205">
        <f t="shared" si="5"/>
        <v>-6844688.9299999932</v>
      </c>
      <c r="G39" s="205">
        <f t="shared" si="5"/>
        <v>-6008451.9700000025</v>
      </c>
      <c r="H39" s="205">
        <f t="shared" si="5"/>
        <v>-14931070.290000014</v>
      </c>
      <c r="I39" s="205">
        <f t="shared" si="5"/>
        <v>2200870.8299999852</v>
      </c>
      <c r="J39" s="205">
        <f t="shared" si="5"/>
        <v>-10811505.770000003</v>
      </c>
      <c r="K39" s="205">
        <f t="shared" si="5"/>
        <v>-6971532.7200000025</v>
      </c>
      <c r="L39" s="205">
        <f>L28</f>
        <v>-6637124.7699999968</v>
      </c>
      <c r="M39" s="205">
        <f>M28</f>
        <v>-5412864.1899999958</v>
      </c>
      <c r="N39" s="205">
        <f>N28</f>
        <v>-8975776.4500000048</v>
      </c>
      <c r="O39" s="205">
        <f>O28</f>
        <v>-6295030.2953333361</v>
      </c>
      <c r="P39" s="1">
        <f t="shared" ref="P39" si="6">SUM(D39:O39)</f>
        <v>-83998410.385333374</v>
      </c>
      <c r="Q39" s="1"/>
    </row>
    <row r="40" spans="1:18">
      <c r="A40" s="9">
        <f t="shared" si="1"/>
        <v>27</v>
      </c>
      <c r="B40" s="17"/>
      <c r="C40" s="206" t="s">
        <v>324</v>
      </c>
      <c r="D40" s="207">
        <f>D41/D39</f>
        <v>5.4236575008116995E-2</v>
      </c>
      <c r="E40" s="207">
        <f t="shared" ref="E40:N40" si="7">E41/E39</f>
        <v>5.4800545853227613E-2</v>
      </c>
      <c r="F40" s="207">
        <f t="shared" si="7"/>
        <v>5.4733425263198979E-2</v>
      </c>
      <c r="G40" s="207">
        <f t="shared" si="7"/>
        <v>5.4849201033057411E-2</v>
      </c>
      <c r="H40" s="207">
        <f t="shared" si="7"/>
        <v>5.3945858826976244E-2</v>
      </c>
      <c r="I40" s="207">
        <f t="shared" si="7"/>
        <v>4.9965758326671418E-2</v>
      </c>
      <c r="J40" s="207">
        <f t="shared" si="7"/>
        <v>5.4002133691688332E-2</v>
      </c>
      <c r="K40" s="207">
        <f t="shared" si="7"/>
        <v>5.3199110568041615E-2</v>
      </c>
      <c r="L40" s="207">
        <f t="shared" si="7"/>
        <v>5.7384520134612468E-2</v>
      </c>
      <c r="M40" s="207">
        <f t="shared" si="7"/>
        <v>5.6456923594087112E-2</v>
      </c>
      <c r="N40" s="207">
        <f t="shared" si="7"/>
        <v>5.5201231086810292E-2</v>
      </c>
      <c r="O40" s="207">
        <v>5.2575879716356848E-2</v>
      </c>
      <c r="P40" s="207">
        <f t="shared" ref="P40" si="8">P41/P39</f>
        <v>5.4676265831099399E-2</v>
      </c>
      <c r="Q40" s="1"/>
      <c r="R40" s="173"/>
    </row>
    <row r="41" spans="1:18">
      <c r="A41" s="9">
        <f t="shared" si="1"/>
        <v>28</v>
      </c>
      <c r="B41" s="17"/>
      <c r="C41" s="17" t="s">
        <v>325</v>
      </c>
      <c r="D41" s="17">
        <v>-390747.55</v>
      </c>
      <c r="E41" s="17">
        <v>-334652.31</v>
      </c>
      <c r="F41" s="17">
        <v>-374633.27</v>
      </c>
      <c r="G41" s="17">
        <v>-329558.78999999998</v>
      </c>
      <c r="H41" s="17">
        <v>-805469.41</v>
      </c>
      <c r="I41" s="17">
        <v>109968.18</v>
      </c>
      <c r="J41" s="17">
        <v>-583844.38</v>
      </c>
      <c r="K41" s="17">
        <v>-370879.34</v>
      </c>
      <c r="L41" s="17">
        <v>-380868.22</v>
      </c>
      <c r="M41" s="17">
        <v>-305593.65999999997</v>
      </c>
      <c r="N41" s="17">
        <v>-495473.91</v>
      </c>
      <c r="O41" s="17">
        <f t="shared" ref="O41" si="9">O39*O40</f>
        <v>-330966.75561826781</v>
      </c>
      <c r="P41" s="17">
        <f>SUM(D41:O41)</f>
        <v>-4592719.4156182678</v>
      </c>
      <c r="Q41" s="1"/>
      <c r="R41" s="173"/>
    </row>
    <row r="42" spans="1:18">
      <c r="A42" s="1"/>
      <c r="B42" s="1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208"/>
      <c r="P42" s="208"/>
      <c r="Q42" s="1"/>
    </row>
    <row r="43" spans="1:18">
      <c r="A43" s="1"/>
      <c r="B43" s="1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208"/>
      <c r="P43" s="208"/>
      <c r="Q43" s="1"/>
    </row>
    <row r="44" spans="1:18">
      <c r="A44" s="1"/>
      <c r="B44" s="1" t="s">
        <v>326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208"/>
      <c r="P44" s="208"/>
      <c r="Q44" s="1"/>
    </row>
    <row r="45" spans="1:18">
      <c r="A45" s="1"/>
      <c r="B45" s="1"/>
      <c r="C45" s="1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6"/>
      <c r="Q45" s="1"/>
    </row>
    <row r="46" spans="1:18">
      <c r="A46" s="1"/>
      <c r="B46" s="1"/>
      <c r="C46" s="1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208"/>
      <c r="Q46" s="1"/>
    </row>
    <row r="47" spans="1:18">
      <c r="A47" s="1"/>
      <c r="B47" s="1" t="s">
        <v>319</v>
      </c>
      <c r="C47" s="1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208"/>
      <c r="Q47" s="1"/>
    </row>
    <row r="48" spans="1:18">
      <c r="A48" s="1"/>
      <c r="B48" s="1" t="s">
        <v>320</v>
      </c>
      <c r="C48" s="1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208"/>
      <c r="Q48" s="209"/>
    </row>
    <row r="49" spans="1:17">
      <c r="A49" s="1"/>
      <c r="B49" s="1" t="s">
        <v>321</v>
      </c>
      <c r="C49" s="1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210"/>
      <c r="P49" s="208"/>
      <c r="Q49" s="211"/>
    </row>
    <row r="50" spans="1:17">
      <c r="A50" s="1"/>
      <c r="B50" s="1"/>
      <c r="C50" s="4" t="s">
        <v>327</v>
      </c>
      <c r="D50" s="77">
        <v>3</v>
      </c>
      <c r="E50" s="163">
        <v>4</v>
      </c>
      <c r="F50" s="163">
        <v>5</v>
      </c>
      <c r="G50" s="77">
        <v>6</v>
      </c>
      <c r="H50" s="77">
        <v>7</v>
      </c>
      <c r="I50" s="77">
        <v>8</v>
      </c>
      <c r="J50" s="163">
        <v>9</v>
      </c>
      <c r="K50" s="163">
        <v>10</v>
      </c>
      <c r="L50" s="77">
        <v>11</v>
      </c>
      <c r="M50" s="77">
        <v>12</v>
      </c>
      <c r="N50" s="77">
        <v>13</v>
      </c>
      <c r="O50" s="77">
        <v>14</v>
      </c>
      <c r="P50" s="208"/>
      <c r="Q50" s="211"/>
    </row>
    <row r="51" spans="1:17">
      <c r="A51" s="1"/>
      <c r="B51" s="1"/>
      <c r="C51" s="1"/>
      <c r="D51" s="33"/>
      <c r="E51" s="33"/>
      <c r="F51" s="33"/>
      <c r="G51" s="33"/>
      <c r="H51" s="33"/>
      <c r="I51" s="33"/>
      <c r="J51" s="33"/>
      <c r="K51" s="212"/>
      <c r="L51" s="212"/>
      <c r="M51" s="212"/>
      <c r="N51" s="212"/>
      <c r="O51" s="155"/>
      <c r="P51" s="208"/>
      <c r="Q51" s="211"/>
    </row>
    <row r="52" spans="1:17">
      <c r="A52" s="1"/>
      <c r="B52" s="75"/>
      <c r="C52" s="75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208"/>
      <c r="P52" s="208"/>
      <c r="Q52" s="211"/>
    </row>
    <row r="53" spans="1:17">
      <c r="A53" s="1"/>
      <c r="B53" s="1"/>
      <c r="C53" s="1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211"/>
    </row>
    <row r="54" spans="1:17">
      <c r="A54" s="1"/>
      <c r="B54" s="1"/>
      <c r="C54" s="1"/>
      <c r="D54" s="17"/>
      <c r="E54" s="17"/>
      <c r="F54" s="17"/>
      <c r="G54" s="17"/>
      <c r="H54" s="17"/>
      <c r="I54" s="17"/>
      <c r="J54" s="17"/>
      <c r="K54" s="179"/>
      <c r="L54" s="17"/>
      <c r="M54" s="17"/>
      <c r="N54" s="17"/>
      <c r="O54" s="17"/>
      <c r="P54" s="17"/>
      <c r="Q54" s="1"/>
    </row>
    <row r="55" spans="1:17">
      <c r="A55" s="1"/>
      <c r="B55" s="1"/>
      <c r="C55" s="1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"/>
    </row>
    <row r="56" spans="1:17">
      <c r="A56" s="1"/>
      <c r="B56" s="1"/>
      <c r="C56" s="75"/>
      <c r="D56" s="17"/>
      <c r="E56" s="17"/>
      <c r="F56" s="17"/>
      <c r="G56" s="17"/>
      <c r="H56" s="17"/>
      <c r="I56" s="17"/>
      <c r="J56" s="17"/>
      <c r="K56" s="17"/>
      <c r="L56" s="17"/>
      <c r="M56" s="175"/>
      <c r="N56" s="17"/>
      <c r="O56" s="17"/>
      <c r="P56" s="17"/>
      <c r="Q56" s="1"/>
    </row>
    <row r="57" spans="1:17">
      <c r="A57" s="1"/>
      <c r="B57" s="1"/>
      <c r="C57" s="75"/>
      <c r="D57" s="17"/>
      <c r="E57" s="17"/>
      <c r="F57" s="17"/>
      <c r="G57" s="17"/>
      <c r="H57" s="17"/>
      <c r="I57" s="17"/>
      <c r="J57" s="17"/>
      <c r="K57" s="17"/>
      <c r="L57" s="1"/>
      <c r="M57" s="1"/>
      <c r="N57" s="1"/>
      <c r="O57" s="17"/>
      <c r="P57" s="1"/>
      <c r="Q57" s="1"/>
    </row>
    <row r="58" spans="1:17">
      <c r="O58" s="4"/>
      <c r="P58" s="179"/>
    </row>
    <row r="59" spans="1:17">
      <c r="O59" s="155"/>
    </row>
    <row r="60" spans="1:17">
      <c r="O60" s="155"/>
      <c r="P60" s="179"/>
    </row>
    <row r="62" spans="1:17">
      <c r="C62" s="75"/>
    </row>
  </sheetData>
  <mergeCells count="4">
    <mergeCell ref="A1:P1"/>
    <mergeCell ref="A2:P2"/>
    <mergeCell ref="A3:P3"/>
    <mergeCell ref="A4:P4"/>
  </mergeCells>
  <printOptions horizontalCentered="1"/>
  <pageMargins left="0.5" right="0.5" top="0.75" bottom="0.65" header="0.25" footer="0.25"/>
  <pageSetup scale="48" fitToHeight="2" orientation="landscape" verticalDpi="300" r:id="rId1"/>
  <headerFooter alignWithMargins="0">
    <oddHeader>&amp;RCASE NO. 2015-00343
ATTACHMENT 1
TO STAFF DR NO. 1-45
(SUPPLEMENT 02-18-16)</oddHeader>
    <oddFooter>&amp;RSchedule &amp;A
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view="pageBreakPreview" zoomScale="60" zoomScaleNormal="70" workbookViewId="0">
      <selection sqref="A1:P1"/>
    </sheetView>
  </sheetViews>
  <sheetFormatPr defaultColWidth="7.109375" defaultRowHeight="15"/>
  <cols>
    <col min="1" max="1" width="4.6640625" customWidth="1"/>
    <col min="2" max="2" width="7.21875" customWidth="1"/>
    <col min="3" max="3" width="54.21875" customWidth="1"/>
    <col min="4" max="4" width="13.109375" bestFit="1" customWidth="1"/>
    <col min="5" max="5" width="11.109375" customWidth="1"/>
    <col min="6" max="6" width="12" customWidth="1"/>
    <col min="7" max="8" width="13.109375" bestFit="1" customWidth="1"/>
    <col min="9" max="10" width="11.44140625" customWidth="1"/>
    <col min="11" max="14" width="13.109375" bestFit="1" customWidth="1"/>
    <col min="15" max="15" width="12.44140625" customWidth="1"/>
    <col min="16" max="16" width="12.44140625" bestFit="1" customWidth="1"/>
    <col min="17" max="17" width="12.44140625" customWidth="1"/>
    <col min="18" max="18" width="12.5546875" customWidth="1"/>
    <col min="19" max="19" width="11.33203125" bestFit="1" customWidth="1"/>
  </cols>
  <sheetData>
    <row r="1" spans="1:17">
      <c r="A1" s="258" t="s">
        <v>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1"/>
    </row>
    <row r="2" spans="1:17">
      <c r="A2" s="258" t="s">
        <v>1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1"/>
    </row>
    <row r="3" spans="1:17" ht="15.75">
      <c r="A3" s="258" t="s">
        <v>328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1"/>
    </row>
    <row r="4" spans="1:17">
      <c r="A4" s="258" t="s">
        <v>32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1"/>
    </row>
    <row r="5" spans="1:17">
      <c r="A5" s="1"/>
      <c r="B5" s="197"/>
      <c r="C5" s="197"/>
      <c r="D5" s="197"/>
      <c r="E5" s="197"/>
      <c r="F5" s="197"/>
      <c r="G5" s="198"/>
      <c r="H5" s="197"/>
      <c r="I5" s="197"/>
      <c r="J5" s="197"/>
      <c r="K5" s="197"/>
      <c r="L5" s="197"/>
      <c r="M5" s="197"/>
      <c r="N5" s="197"/>
      <c r="O5" s="213"/>
      <c r="P5" s="1"/>
      <c r="Q5" s="1"/>
    </row>
    <row r="6" spans="1:17" ht="15.75">
      <c r="A6" s="3" t="str">
        <f>'C.2.2 B 09'!A6</f>
        <v>Data:___X____Base Period________Forecasted Period</v>
      </c>
      <c r="B6" s="154"/>
      <c r="C6" s="3"/>
      <c r="D6" s="199"/>
      <c r="E6" s="1"/>
      <c r="F6" s="1"/>
      <c r="G6" s="1"/>
      <c r="H6" s="1"/>
      <c r="I6" s="1"/>
      <c r="J6" s="1"/>
      <c r="K6" s="1"/>
      <c r="L6" s="1"/>
      <c r="M6" s="1"/>
      <c r="N6" s="154"/>
      <c r="O6" s="154"/>
      <c r="P6" s="155" t="s">
        <v>217</v>
      </c>
      <c r="Q6" s="1"/>
    </row>
    <row r="7" spans="1:17">
      <c r="A7" s="3" t="str">
        <f>'C.2.2 B 09'!A7</f>
        <v>Type of Filing:___X____Original________Updated ________Revised</v>
      </c>
      <c r="B7" s="154"/>
      <c r="C7" s="3"/>
      <c r="D7" s="1"/>
      <c r="E7" s="1"/>
      <c r="F7" s="1"/>
      <c r="G7" s="1"/>
      <c r="H7" s="1"/>
      <c r="I7" s="1"/>
      <c r="J7" s="1"/>
      <c r="K7" s="1"/>
      <c r="L7" s="1"/>
      <c r="M7" s="1"/>
      <c r="N7" s="154"/>
      <c r="O7" s="154"/>
      <c r="P7" s="156" t="s">
        <v>218</v>
      </c>
      <c r="Q7" s="1"/>
    </row>
    <row r="8" spans="1:17">
      <c r="A8" s="53" t="str">
        <f>'C.2.2 B 09'!A8</f>
        <v>Workpaper Reference No(s).____________________</v>
      </c>
      <c r="B8" s="157"/>
      <c r="C8" s="6"/>
      <c r="D8" s="7"/>
      <c r="E8" s="7"/>
      <c r="F8" s="7"/>
      <c r="G8" s="7"/>
      <c r="H8" s="7"/>
      <c r="I8" s="7"/>
      <c r="J8" s="7"/>
      <c r="K8" s="7"/>
      <c r="L8" s="7"/>
      <c r="M8" s="55"/>
      <c r="N8" s="157"/>
      <c r="O8" s="157"/>
      <c r="P8" s="158" t="str">
        <f>C.1!J9</f>
        <v>Witness: Waller, Smith</v>
      </c>
      <c r="Q8" s="1"/>
    </row>
    <row r="9" spans="1:17">
      <c r="A9" s="159" t="s">
        <v>12</v>
      </c>
      <c r="B9" s="160" t="s">
        <v>219</v>
      </c>
      <c r="C9" s="161"/>
      <c r="D9" s="58" t="str">
        <f>'C.2.2 B 09'!D9</f>
        <v>actual</v>
      </c>
      <c r="E9" s="58" t="str">
        <f>'C.2.2 B 09'!F9</f>
        <v>actual</v>
      </c>
      <c r="F9" s="58" t="str">
        <f>'C.2.2 B 09'!F9</f>
        <v>actual</v>
      </c>
      <c r="G9" s="58" t="str">
        <f>'C.2.2 B 09'!G9</f>
        <v>actual</v>
      </c>
      <c r="H9" s="58" t="str">
        <f>'C.2.2 B 09'!H9</f>
        <v>actual</v>
      </c>
      <c r="I9" s="58" t="str">
        <f>'C.2.2 B 09'!I9</f>
        <v>actual</v>
      </c>
      <c r="J9" s="58" t="str">
        <f>'C.2.2 B 09'!J9</f>
        <v>actual</v>
      </c>
      <c r="K9" s="58" t="str">
        <f>'C.2.2 B 09'!K9</f>
        <v>actual</v>
      </c>
      <c r="L9" s="58" t="str">
        <f>'C.2.2 B 09'!L9</f>
        <v>actual</v>
      </c>
      <c r="M9" s="58" t="str">
        <f>'C.2.2 B 09'!M9</f>
        <v>actual</v>
      </c>
      <c r="N9" s="58" t="str">
        <f>'C.2.2 B 09'!N9</f>
        <v>actual</v>
      </c>
      <c r="O9" s="58" t="str">
        <f>'C.2.2 B 09'!O9</f>
        <v>Budgeted</v>
      </c>
      <c r="P9" s="201"/>
      <c r="Q9" s="9"/>
    </row>
    <row r="10" spans="1:17">
      <c r="A10" s="165" t="s">
        <v>15</v>
      </c>
      <c r="B10" s="62" t="s">
        <v>15</v>
      </c>
      <c r="C10" s="166" t="s">
        <v>222</v>
      </c>
      <c r="D10" s="202">
        <f>'C.2.2 B 09'!D10</f>
        <v>42094</v>
      </c>
      <c r="E10" s="202">
        <f>'C.2.2 B 09'!F10</f>
        <v>42155</v>
      </c>
      <c r="F10" s="202">
        <f>'C.2.2 B 09'!F10</f>
        <v>42155</v>
      </c>
      <c r="G10" s="202">
        <f>'C.2.2 B 09'!G10</f>
        <v>42185</v>
      </c>
      <c r="H10" s="202">
        <f>'C.2.2 B 09'!H10</f>
        <v>42216</v>
      </c>
      <c r="I10" s="202">
        <f>'C.2.2 B 09'!I10</f>
        <v>42247</v>
      </c>
      <c r="J10" s="202">
        <f>'C.2.2 B 09'!J10</f>
        <v>42277</v>
      </c>
      <c r="K10" s="202">
        <f>'C.2.2 B 09'!K10</f>
        <v>42308</v>
      </c>
      <c r="L10" s="202">
        <f>'C.2.2 B 09'!L10</f>
        <v>42338</v>
      </c>
      <c r="M10" s="202">
        <f>'C.2.2 B 09'!M10</f>
        <v>42369</v>
      </c>
      <c r="N10" s="202">
        <f>'C.2.2 B 09'!N10</f>
        <v>42400</v>
      </c>
      <c r="O10" s="202">
        <f>'C.2.2 B 09'!O10</f>
        <v>42429</v>
      </c>
      <c r="P10" s="202" t="str">
        <f>'C.2.2 B 09'!P10</f>
        <v>Total</v>
      </c>
      <c r="Q10" s="170"/>
    </row>
    <row r="11" spans="1:17">
      <c r="A11" s="154"/>
      <c r="B11" s="1"/>
      <c r="C11" s="1"/>
      <c r="D11" s="10" t="s">
        <v>224</v>
      </c>
      <c r="E11" s="10" t="s">
        <v>224</v>
      </c>
      <c r="F11" s="10" t="s">
        <v>224</v>
      </c>
      <c r="G11" s="10" t="s">
        <v>224</v>
      </c>
      <c r="H11" s="10" t="s">
        <v>224</v>
      </c>
      <c r="I11" s="10" t="s">
        <v>224</v>
      </c>
      <c r="J11" s="10" t="s">
        <v>224</v>
      </c>
      <c r="K11" s="10" t="s">
        <v>224</v>
      </c>
      <c r="L11" s="10" t="s">
        <v>224</v>
      </c>
      <c r="M11" s="10" t="s">
        <v>224</v>
      </c>
      <c r="N11" s="10" t="s">
        <v>224</v>
      </c>
      <c r="O11" s="64" t="s">
        <v>224</v>
      </c>
      <c r="P11" s="10" t="s">
        <v>224</v>
      </c>
      <c r="Q11" s="10"/>
    </row>
    <row r="12" spans="1:17">
      <c r="A12" s="9">
        <v>1</v>
      </c>
      <c r="B12" s="141">
        <v>4030</v>
      </c>
      <c r="C12" s="1" t="s">
        <v>63</v>
      </c>
      <c r="D12" s="174">
        <v>2.9103830456733704E-11</v>
      </c>
      <c r="E12" s="174">
        <v>2.9103830456733704E-11</v>
      </c>
      <c r="F12" s="174">
        <v>1.0186340659856796E-10</v>
      </c>
      <c r="G12" s="174">
        <v>-5.8207660913467407E-11</v>
      </c>
      <c r="H12" s="174">
        <v>-1.1641532182693481E-10</v>
      </c>
      <c r="I12" s="174">
        <v>7.2759576141834259E-12</v>
      </c>
      <c r="J12" s="113">
        <v>5.8207660913467407E-11</v>
      </c>
      <c r="K12" s="113">
        <v>0</v>
      </c>
      <c r="L12" s="113">
        <v>0</v>
      </c>
      <c r="M12" s="113">
        <v>0</v>
      </c>
      <c r="N12" s="113">
        <v>0</v>
      </c>
      <c r="O12" s="113">
        <v>0</v>
      </c>
      <c r="P12" s="1">
        <f t="shared" ref="P12:P25" si="0">SUM(D12:O12)</f>
        <v>5.0931703299283981E-11</v>
      </c>
      <c r="Q12" s="75"/>
    </row>
    <row r="13" spans="1:17">
      <c r="A13" s="9">
        <f>A12+1</f>
        <v>2</v>
      </c>
      <c r="B13" s="141">
        <v>4081</v>
      </c>
      <c r="C13" s="1" t="s">
        <v>227</v>
      </c>
      <c r="D13" s="174">
        <v>-2.9103830456733704E-11</v>
      </c>
      <c r="E13" s="174">
        <v>1.0000000052968971E-2</v>
      </c>
      <c r="F13" s="174">
        <v>-2.4318325131389429E-11</v>
      </c>
      <c r="G13" s="174">
        <v>-9.99999999275758E-3</v>
      </c>
      <c r="H13" s="174">
        <v>1.4551915228366852E-11</v>
      </c>
      <c r="I13" s="174">
        <v>-1.9099388737231493E-11</v>
      </c>
      <c r="J13" s="113">
        <v>9.43245481721533E-12</v>
      </c>
      <c r="K13" s="113">
        <v>3.446798402251261E-11</v>
      </c>
      <c r="L13" s="113">
        <v>0</v>
      </c>
      <c r="M13" s="113">
        <v>0</v>
      </c>
      <c r="N13" s="113">
        <v>0</v>
      </c>
      <c r="O13" s="113">
        <v>0</v>
      </c>
      <c r="P13" s="1">
        <f t="shared" si="0"/>
        <v>4.6142201171051056E-11</v>
      </c>
      <c r="Q13" s="1"/>
    </row>
    <row r="14" spans="1:17">
      <c r="A14" s="9">
        <f t="shared" ref="A14:A36" si="1">A13+1</f>
        <v>3</v>
      </c>
      <c r="B14" s="141">
        <v>8700</v>
      </c>
      <c r="C14" s="1" t="s">
        <v>275</v>
      </c>
      <c r="D14" s="174">
        <v>0</v>
      </c>
      <c r="E14" s="174">
        <v>0</v>
      </c>
      <c r="F14" s="174">
        <v>110.8</v>
      </c>
      <c r="G14" s="174">
        <v>0</v>
      </c>
      <c r="H14" s="174">
        <v>0</v>
      </c>
      <c r="I14" s="174">
        <v>0</v>
      </c>
      <c r="J14" s="174">
        <v>0</v>
      </c>
      <c r="K14" s="174">
        <v>0</v>
      </c>
      <c r="L14" s="174">
        <v>347.53999999999996</v>
      </c>
      <c r="M14" s="174">
        <v>1.5999999999999943</v>
      </c>
      <c r="N14" s="174">
        <v>-13.55</v>
      </c>
      <c r="O14" s="113">
        <v>9.3742030285335787</v>
      </c>
      <c r="P14" s="1">
        <f t="shared" si="0"/>
        <v>455.76420302853353</v>
      </c>
      <c r="Q14" s="1"/>
    </row>
    <row r="15" spans="1:17">
      <c r="A15" s="9">
        <f t="shared" si="1"/>
        <v>4</v>
      </c>
      <c r="B15" s="141">
        <v>8740</v>
      </c>
      <c r="C15" s="1" t="s">
        <v>279</v>
      </c>
      <c r="D15" s="174">
        <v>576.29</v>
      </c>
      <c r="E15" s="174">
        <v>2015.51</v>
      </c>
      <c r="F15" s="174">
        <v>1092.17</v>
      </c>
      <c r="G15" s="174">
        <v>1424.9099999999999</v>
      </c>
      <c r="H15" s="174">
        <v>1268.17</v>
      </c>
      <c r="I15" s="174">
        <v>3850.36</v>
      </c>
      <c r="J15" s="113">
        <v>2283.2299999999996</v>
      </c>
      <c r="K15" s="113">
        <v>1953.8600000000001</v>
      </c>
      <c r="L15" s="113">
        <v>1542.5900000000001</v>
      </c>
      <c r="M15" s="113">
        <v>1806.01</v>
      </c>
      <c r="N15" s="113">
        <v>2156.2799999999997</v>
      </c>
      <c r="O15" s="113">
        <v>1944.2721978116338</v>
      </c>
      <c r="P15" s="1">
        <f t="shared" si="0"/>
        <v>21913.652197811633</v>
      </c>
      <c r="Q15" s="1"/>
    </row>
    <row r="16" spans="1:17">
      <c r="A16" s="9">
        <f t="shared" si="1"/>
        <v>5</v>
      </c>
      <c r="B16" s="141">
        <v>8800</v>
      </c>
      <c r="C16" s="1" t="s">
        <v>285</v>
      </c>
      <c r="D16" s="174">
        <v>0</v>
      </c>
      <c r="E16" s="174">
        <v>0</v>
      </c>
      <c r="F16" s="174">
        <v>0</v>
      </c>
      <c r="G16" s="174">
        <v>0</v>
      </c>
      <c r="H16" s="174">
        <v>86.64</v>
      </c>
      <c r="I16" s="174">
        <v>0</v>
      </c>
      <c r="J16" s="113">
        <v>0</v>
      </c>
      <c r="K16" s="113">
        <v>0</v>
      </c>
      <c r="L16" s="113">
        <v>0</v>
      </c>
      <c r="M16" s="113">
        <v>0</v>
      </c>
      <c r="N16" s="113">
        <v>0</v>
      </c>
      <c r="O16" s="113">
        <v>6.0170460944030433</v>
      </c>
      <c r="P16" s="1">
        <f t="shared" si="0"/>
        <v>92.657046094403043</v>
      </c>
      <c r="Q16" s="1"/>
    </row>
    <row r="17" spans="1:17">
      <c r="A17" s="9">
        <f t="shared" si="1"/>
        <v>6</v>
      </c>
      <c r="B17" s="141">
        <v>9010</v>
      </c>
      <c r="C17" s="1" t="s">
        <v>296</v>
      </c>
      <c r="D17" s="174">
        <v>492128.35</v>
      </c>
      <c r="E17" s="174">
        <v>506968.62999999983</v>
      </c>
      <c r="F17" s="174">
        <v>484013.91</v>
      </c>
      <c r="G17" s="174">
        <v>513243.63000000006</v>
      </c>
      <c r="H17" s="174">
        <v>517441.16000000015</v>
      </c>
      <c r="I17" s="174">
        <v>482174.60000000015</v>
      </c>
      <c r="J17" s="113">
        <v>661049.49999999988</v>
      </c>
      <c r="K17" s="113">
        <v>404651.16999999993</v>
      </c>
      <c r="L17" s="113">
        <v>442295.43</v>
      </c>
      <c r="M17" s="113">
        <v>476227.88</v>
      </c>
      <c r="N17" s="113">
        <v>422091.97000000003</v>
      </c>
      <c r="O17" s="113">
        <v>468584.52730546973</v>
      </c>
      <c r="P17" s="1">
        <f t="shared" si="0"/>
        <v>5870870.7573054694</v>
      </c>
      <c r="Q17" s="1"/>
    </row>
    <row r="18" spans="1:17">
      <c r="A18" s="9">
        <f t="shared" si="1"/>
        <v>7</v>
      </c>
      <c r="B18" s="141">
        <v>9020</v>
      </c>
      <c r="C18" s="1" t="s">
        <v>297</v>
      </c>
      <c r="D18" s="174">
        <v>0</v>
      </c>
      <c r="E18" s="174">
        <v>0</v>
      </c>
      <c r="F18" s="174">
        <v>0</v>
      </c>
      <c r="G18" s="174">
        <v>0</v>
      </c>
      <c r="H18" s="174">
        <v>647.53</v>
      </c>
      <c r="I18" s="174">
        <v>0</v>
      </c>
      <c r="J18" s="113">
        <v>0</v>
      </c>
      <c r="K18" s="113">
        <v>0</v>
      </c>
      <c r="L18" s="113">
        <v>0</v>
      </c>
      <c r="M18" s="113">
        <v>0</v>
      </c>
      <c r="N18" s="113">
        <v>0</v>
      </c>
      <c r="O18" s="113">
        <v>54.784094648613255</v>
      </c>
      <c r="P18" s="1">
        <f t="shared" si="0"/>
        <v>702.31409464861326</v>
      </c>
      <c r="Q18" s="1"/>
    </row>
    <row r="19" spans="1:17">
      <c r="A19" s="9">
        <f t="shared" si="1"/>
        <v>8</v>
      </c>
      <c r="B19" s="141">
        <v>9030</v>
      </c>
      <c r="C19" s="1" t="s">
        <v>298</v>
      </c>
      <c r="D19" s="174">
        <v>2002011.2499999998</v>
      </c>
      <c r="E19" s="174">
        <v>2081127.2300000002</v>
      </c>
      <c r="F19" s="174">
        <v>1934126.7400000002</v>
      </c>
      <c r="G19" s="174">
        <v>1931715.2699999998</v>
      </c>
      <c r="H19" s="174">
        <v>2068679.1599999997</v>
      </c>
      <c r="I19" s="174">
        <v>1808885.1700000004</v>
      </c>
      <c r="J19" s="113">
        <v>2027960.24</v>
      </c>
      <c r="K19" s="113">
        <v>1903503.8099999998</v>
      </c>
      <c r="L19" s="113">
        <v>1788652.4499999997</v>
      </c>
      <c r="M19" s="113">
        <v>1978878.4500000002</v>
      </c>
      <c r="N19" s="113">
        <v>1868609.2999999998</v>
      </c>
      <c r="O19" s="113">
        <v>1903225.0414688229</v>
      </c>
      <c r="P19" s="1">
        <f t="shared" si="0"/>
        <v>23297374.111468822</v>
      </c>
      <c r="Q19" s="1"/>
    </row>
    <row r="20" spans="1:17">
      <c r="A20" s="9">
        <f t="shared" si="1"/>
        <v>9</v>
      </c>
      <c r="B20" s="141">
        <v>9200</v>
      </c>
      <c r="C20" s="1" t="s">
        <v>305</v>
      </c>
      <c r="D20" s="174">
        <v>397661.68</v>
      </c>
      <c r="E20" s="174">
        <v>345241.76</v>
      </c>
      <c r="F20" s="174">
        <v>332031.28999999998</v>
      </c>
      <c r="G20" s="174">
        <v>327601.55</v>
      </c>
      <c r="H20" s="174">
        <v>366879.32</v>
      </c>
      <c r="I20" s="174">
        <v>374650.87</v>
      </c>
      <c r="J20" s="113">
        <v>355938.00999999995</v>
      </c>
      <c r="K20" s="113">
        <v>353592.99</v>
      </c>
      <c r="L20" s="113">
        <v>345950.69</v>
      </c>
      <c r="M20" s="113">
        <v>381818.41</v>
      </c>
      <c r="N20" s="113">
        <v>349090.36</v>
      </c>
      <c r="O20" s="113">
        <v>349065.23505700979</v>
      </c>
      <c r="P20" s="1">
        <f t="shared" si="0"/>
        <v>4279522.1650570091</v>
      </c>
      <c r="Q20" s="1"/>
    </row>
    <row r="21" spans="1:17">
      <c r="A21" s="9">
        <f t="shared" si="1"/>
        <v>10</v>
      </c>
      <c r="B21" s="141">
        <v>9210</v>
      </c>
      <c r="C21" s="1" t="s">
        <v>306</v>
      </c>
      <c r="D21" s="174">
        <v>827251.4</v>
      </c>
      <c r="E21" s="174">
        <v>819939.57999999961</v>
      </c>
      <c r="F21" s="174">
        <v>894493.91</v>
      </c>
      <c r="G21" s="174">
        <v>879145.65</v>
      </c>
      <c r="H21" s="174">
        <v>936394.11999999988</v>
      </c>
      <c r="I21" s="174">
        <v>874386.96000000031</v>
      </c>
      <c r="J21" s="113">
        <v>1176678.0099999998</v>
      </c>
      <c r="K21" s="113">
        <v>646093.44999999984</v>
      </c>
      <c r="L21" s="113">
        <v>731309.88999999978</v>
      </c>
      <c r="M21" s="113">
        <v>806950.55</v>
      </c>
      <c r="N21" s="113">
        <v>777766.02999999991</v>
      </c>
      <c r="O21" s="113">
        <v>208814.04274894169</v>
      </c>
      <c r="P21" s="1">
        <f t="shared" si="0"/>
        <v>9579223.59274894</v>
      </c>
      <c r="Q21" s="1"/>
    </row>
    <row r="22" spans="1:17">
      <c r="A22" s="9">
        <f t="shared" si="1"/>
        <v>11</v>
      </c>
      <c r="B22" s="141">
        <v>9220</v>
      </c>
      <c r="C22" s="1" t="s">
        <v>307</v>
      </c>
      <c r="D22" s="174">
        <v>-5012946.4200000009</v>
      </c>
      <c r="E22" s="174">
        <v>-5016265.3699999992</v>
      </c>
      <c r="F22" s="174">
        <v>-4967862.3299999991</v>
      </c>
      <c r="G22" s="174">
        <v>-4893450.7599999988</v>
      </c>
      <c r="H22" s="174">
        <v>-5310774.2</v>
      </c>
      <c r="I22" s="174">
        <v>-4726287.3599999975</v>
      </c>
      <c r="J22" s="113">
        <v>-5578984.0800000038</v>
      </c>
      <c r="K22" s="113">
        <v>-4409855.3499999996</v>
      </c>
      <c r="L22" s="113">
        <v>-4403959.0099999988</v>
      </c>
      <c r="M22" s="113">
        <v>-4811826.6399999997</v>
      </c>
      <c r="N22" s="113">
        <v>-4636146.790000001</v>
      </c>
      <c r="O22" s="113">
        <f>-(SUM(O12:O21)+SUM(O23:O29))</f>
        <v>-4042121.9699999997</v>
      </c>
      <c r="P22" s="1">
        <f t="shared" si="0"/>
        <v>-57810480.279999994</v>
      </c>
      <c r="Q22" s="75"/>
    </row>
    <row r="23" spans="1:17">
      <c r="A23" s="9">
        <f t="shared" si="1"/>
        <v>12</v>
      </c>
      <c r="B23" s="141">
        <v>9230</v>
      </c>
      <c r="C23" s="1" t="s">
        <v>308</v>
      </c>
      <c r="D23" s="174">
        <v>45897.87</v>
      </c>
      <c r="E23" s="174">
        <v>39094.75</v>
      </c>
      <c r="F23" s="174">
        <v>61427.96</v>
      </c>
      <c r="G23" s="174">
        <v>49206.939999999995</v>
      </c>
      <c r="H23" s="174">
        <v>408.03</v>
      </c>
      <c r="I23" s="174">
        <v>68225.12000000001</v>
      </c>
      <c r="J23" s="113">
        <v>97698.78</v>
      </c>
      <c r="K23" s="113">
        <v>16920.78</v>
      </c>
      <c r="L23" s="113">
        <v>15053.22</v>
      </c>
      <c r="M23" s="113">
        <v>18282.16</v>
      </c>
      <c r="N23" s="113">
        <v>54913.05</v>
      </c>
      <c r="O23" s="113">
        <v>17884.130417478467</v>
      </c>
      <c r="P23" s="1">
        <f t="shared" si="0"/>
        <v>485012.79041747836</v>
      </c>
      <c r="Q23" s="1"/>
    </row>
    <row r="24" spans="1:17">
      <c r="A24" s="9">
        <f t="shared" si="1"/>
        <v>13</v>
      </c>
      <c r="B24" s="141">
        <v>9240</v>
      </c>
      <c r="C24" s="1" t="s">
        <v>309</v>
      </c>
      <c r="D24" s="174">
        <v>10471.56</v>
      </c>
      <c r="E24" s="174">
        <v>10471.56</v>
      </c>
      <c r="F24" s="174">
        <v>10471.56</v>
      </c>
      <c r="G24" s="174">
        <v>10471.56</v>
      </c>
      <c r="H24" s="174">
        <v>10471.56</v>
      </c>
      <c r="I24" s="174">
        <v>10471.56</v>
      </c>
      <c r="J24" s="113">
        <v>10471.56</v>
      </c>
      <c r="K24" s="113">
        <v>10471.56</v>
      </c>
      <c r="L24" s="113">
        <v>10471.56</v>
      </c>
      <c r="M24" s="113">
        <v>10471.56</v>
      </c>
      <c r="N24" s="113">
        <v>10471.56</v>
      </c>
      <c r="O24" s="113">
        <v>0</v>
      </c>
      <c r="P24" s="1">
        <f t="shared" si="0"/>
        <v>115187.15999999999</v>
      </c>
      <c r="Q24" s="1"/>
    </row>
    <row r="25" spans="1:17">
      <c r="A25" s="9">
        <f t="shared" si="1"/>
        <v>14</v>
      </c>
      <c r="B25" s="141">
        <v>9250</v>
      </c>
      <c r="C25" t="s">
        <v>310</v>
      </c>
      <c r="D25" s="174">
        <v>0</v>
      </c>
      <c r="E25" s="174">
        <v>263.10000000000002</v>
      </c>
      <c r="F25" s="174">
        <v>0</v>
      </c>
      <c r="G25" s="174">
        <v>0</v>
      </c>
      <c r="H25" s="174">
        <v>0</v>
      </c>
      <c r="I25" s="174">
        <v>0</v>
      </c>
      <c r="J25" s="174">
        <v>0</v>
      </c>
      <c r="K25" s="174">
        <v>0</v>
      </c>
      <c r="L25" s="174">
        <v>0</v>
      </c>
      <c r="M25" s="174">
        <v>0</v>
      </c>
      <c r="N25" s="174">
        <v>0</v>
      </c>
      <c r="O25" s="113">
        <v>16.128740866532681</v>
      </c>
      <c r="P25" s="1">
        <f t="shared" si="0"/>
        <v>279.22874086653269</v>
      </c>
      <c r="Q25" s="1"/>
    </row>
    <row r="26" spans="1:17">
      <c r="A26" s="9">
        <f t="shared" si="1"/>
        <v>15</v>
      </c>
      <c r="B26" s="141">
        <v>9260</v>
      </c>
      <c r="C26" s="1" t="s">
        <v>311</v>
      </c>
      <c r="D26" s="174">
        <v>1082828.1199999996</v>
      </c>
      <c r="E26" s="174">
        <v>1057005.1400000001</v>
      </c>
      <c r="F26" s="174">
        <v>1090778.6600000001</v>
      </c>
      <c r="G26" s="174">
        <v>1030066.7700000003</v>
      </c>
      <c r="H26" s="174">
        <v>1252829.4999999998</v>
      </c>
      <c r="I26" s="174">
        <v>951298.00999999989</v>
      </c>
      <c r="J26" s="113">
        <v>1095729.3399999999</v>
      </c>
      <c r="K26" s="113">
        <v>918223.87999999954</v>
      </c>
      <c r="L26" s="113">
        <v>914592.95999999985</v>
      </c>
      <c r="M26" s="113">
        <v>984246.32000000053</v>
      </c>
      <c r="N26" s="113">
        <v>909376.75999999954</v>
      </c>
      <c r="O26" s="113">
        <v>959194.79637543834</v>
      </c>
      <c r="P26" s="1">
        <f>SUM(D26:O26)</f>
        <v>12246170.256375438</v>
      </c>
      <c r="Q26" s="1"/>
    </row>
    <row r="27" spans="1:17">
      <c r="A27" s="255">
        <f t="shared" si="1"/>
        <v>16</v>
      </c>
      <c r="B27" s="141">
        <v>9302</v>
      </c>
      <c r="C27" s="1" t="s">
        <v>314</v>
      </c>
      <c r="D27" s="174"/>
      <c r="E27" s="174"/>
      <c r="F27" s="174"/>
      <c r="G27" s="174"/>
      <c r="H27" s="174"/>
      <c r="I27" s="174"/>
      <c r="J27" s="113"/>
      <c r="K27" s="113"/>
      <c r="L27" s="113"/>
      <c r="M27" s="113"/>
      <c r="N27" s="113">
        <v>88361.85</v>
      </c>
      <c r="O27" s="113"/>
      <c r="P27" s="1"/>
      <c r="Q27" s="1"/>
    </row>
    <row r="28" spans="1:17">
      <c r="A28" s="255">
        <f t="shared" si="1"/>
        <v>17</v>
      </c>
      <c r="B28" s="141">
        <v>9310</v>
      </c>
      <c r="C28" s="1" t="s">
        <v>203</v>
      </c>
      <c r="D28" s="174">
        <v>151119.92000000001</v>
      </c>
      <c r="E28" s="174">
        <v>150819.15</v>
      </c>
      <c r="F28" s="174">
        <v>150915.37999999998</v>
      </c>
      <c r="G28" s="174">
        <v>150928.35999999999</v>
      </c>
      <c r="H28" s="174">
        <v>150935.1</v>
      </c>
      <c r="I28" s="174">
        <v>151108.78</v>
      </c>
      <c r="J28" s="113">
        <v>151153.76999999999</v>
      </c>
      <c r="K28" s="113">
        <v>153415.07</v>
      </c>
      <c r="L28" s="113">
        <v>153670.82</v>
      </c>
      <c r="M28" s="113">
        <v>153143.65</v>
      </c>
      <c r="N28" s="113">
        <v>153091.35</v>
      </c>
      <c r="O28" s="113">
        <v>133313.26431375064</v>
      </c>
      <c r="P28" s="1">
        <f>SUM(D28:O28)</f>
        <v>1803614.6143137508</v>
      </c>
      <c r="Q28" s="1"/>
    </row>
    <row r="29" spans="1:17">
      <c r="A29" s="255">
        <f t="shared" si="1"/>
        <v>18</v>
      </c>
      <c r="B29" s="141">
        <v>9320</v>
      </c>
      <c r="C29" s="1" t="s">
        <v>315</v>
      </c>
      <c r="D29" s="174">
        <v>3000</v>
      </c>
      <c r="E29" s="174">
        <v>3318.9800000000005</v>
      </c>
      <c r="F29" s="174">
        <v>8399.9599999999991</v>
      </c>
      <c r="G29" s="174">
        <v>144.44999999999999</v>
      </c>
      <c r="H29" s="174">
        <v>4235.5200000000004</v>
      </c>
      <c r="I29" s="174">
        <v>1235.8900000000001</v>
      </c>
      <c r="J29" s="113">
        <v>21.64</v>
      </c>
      <c r="K29" s="113">
        <v>1028.77</v>
      </c>
      <c r="L29" s="113">
        <v>71.86</v>
      </c>
      <c r="M29" s="113">
        <v>0</v>
      </c>
      <c r="N29" s="113">
        <v>231.83</v>
      </c>
      <c r="O29" s="113">
        <v>10.356030639027152</v>
      </c>
      <c r="P29" s="1">
        <f>SUM(D29:O29)</f>
        <v>21699.25603063903</v>
      </c>
      <c r="Q29" s="1"/>
    </row>
    <row r="30" spans="1:17">
      <c r="A30" s="255">
        <f t="shared" si="1"/>
        <v>19</v>
      </c>
      <c r="B30" s="1"/>
      <c r="C30" s="204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"/>
      <c r="Q30" s="1"/>
    </row>
    <row r="31" spans="1:17" ht="15.75" thickBot="1">
      <c r="A31" s="255">
        <f t="shared" si="1"/>
        <v>20</v>
      </c>
      <c r="B31" s="1" t="s">
        <v>316</v>
      </c>
      <c r="C31" s="204"/>
      <c r="D31" s="214">
        <f>SUM(D12:D29)</f>
        <v>1.9999998708954081E-2</v>
      </c>
      <c r="E31" s="214">
        <f t="shared" ref="E31:P31" si="2">SUM(E12:E30)</f>
        <v>3.0000000367181201E-2</v>
      </c>
      <c r="F31" s="214">
        <f t="shared" si="2"/>
        <v>1.0000001297157723E-2</v>
      </c>
      <c r="G31" s="214">
        <f t="shared" si="2"/>
        <v>498.32000000092665</v>
      </c>
      <c r="H31" s="214">
        <f t="shared" si="2"/>
        <v>-498.39000000070155</v>
      </c>
      <c r="I31" s="214">
        <f t="shared" si="2"/>
        <v>-3.9999996587766873E-2</v>
      </c>
      <c r="J31" s="214">
        <f t="shared" si="2"/>
        <v>-4.583270651892235E-9</v>
      </c>
      <c r="K31" s="214">
        <f t="shared" si="2"/>
        <v>-1.000000020258085E-2</v>
      </c>
      <c r="L31" s="214">
        <f t="shared" si="2"/>
        <v>4.2142289657931542E-10</v>
      </c>
      <c r="M31" s="214">
        <f t="shared" si="2"/>
        <v>-4.9999998795101419E-2</v>
      </c>
      <c r="N31" s="214">
        <f t="shared" si="2"/>
        <v>-1.6461001450807089E-9</v>
      </c>
      <c r="O31" s="214">
        <f t="shared" si="2"/>
        <v>2.0270185530080198E-10</v>
      </c>
      <c r="P31" s="191">
        <f t="shared" si="2"/>
        <v>-88361.959999998478</v>
      </c>
      <c r="Q31" s="193"/>
    </row>
    <row r="32" spans="1:17" ht="15.75" thickTop="1">
      <c r="A32" s="255">
        <f t="shared" si="1"/>
        <v>21</v>
      </c>
      <c r="B32" s="1"/>
      <c r="C32" s="204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"/>
      <c r="Q32" s="1"/>
    </row>
    <row r="33" spans="1:17">
      <c r="A33" s="255">
        <f t="shared" si="1"/>
        <v>22</v>
      </c>
      <c r="B33" s="171">
        <f>B22</f>
        <v>9220</v>
      </c>
      <c r="C33" s="215" t="str">
        <f>C22</f>
        <v>A&amp;G-Administrative expense transferred-Credit</v>
      </c>
      <c r="D33" s="205">
        <f>D22</f>
        <v>-5012946.4200000009</v>
      </c>
      <c r="E33" s="205">
        <f t="shared" ref="E33:K33" si="3">E22</f>
        <v>-5016265.3699999992</v>
      </c>
      <c r="F33" s="205">
        <f t="shared" si="3"/>
        <v>-4967862.3299999991</v>
      </c>
      <c r="G33" s="205">
        <f t="shared" si="3"/>
        <v>-4893450.7599999988</v>
      </c>
      <c r="H33" s="205">
        <f t="shared" si="3"/>
        <v>-5310774.2</v>
      </c>
      <c r="I33" s="205">
        <f t="shared" si="3"/>
        <v>-4726287.3599999975</v>
      </c>
      <c r="J33" s="205">
        <f t="shared" si="3"/>
        <v>-5578984.0800000038</v>
      </c>
      <c r="K33" s="205">
        <f t="shared" si="3"/>
        <v>-4409855.3499999996</v>
      </c>
      <c r="L33" s="216">
        <f>L22</f>
        <v>-4403959.0099999988</v>
      </c>
      <c r="M33" s="216">
        <f>M22</f>
        <v>-4811826.6399999997</v>
      </c>
      <c r="N33" s="216">
        <f>N22</f>
        <v>-4636146.790000001</v>
      </c>
      <c r="O33" s="216">
        <f>O22</f>
        <v>-4042121.9699999997</v>
      </c>
      <c r="P33" s="1">
        <f t="shared" ref="P33" si="4">SUM(D33:O33)</f>
        <v>-57810480.279999994</v>
      </c>
      <c r="Q33" s="1"/>
    </row>
    <row r="34" spans="1:17">
      <c r="A34" s="255">
        <f t="shared" si="1"/>
        <v>23</v>
      </c>
      <c r="B34" s="17"/>
      <c r="C34" s="206" t="s">
        <v>324</v>
      </c>
      <c r="D34" s="207">
        <f>D35/D33</f>
        <v>5.729041684032201E-2</v>
      </c>
      <c r="E34" s="207">
        <f t="shared" ref="E34:N34" si="5">E35/E33</f>
        <v>5.7295505480803553E-2</v>
      </c>
      <c r="F34" s="207">
        <f t="shared" si="5"/>
        <v>5.7427173107673465E-2</v>
      </c>
      <c r="G34" s="207">
        <f t="shared" si="5"/>
        <v>5.7290170832331025E-2</v>
      </c>
      <c r="H34" s="207">
        <f t="shared" si="5"/>
        <v>5.7398273494662984E-2</v>
      </c>
      <c r="I34" s="207">
        <f t="shared" si="5"/>
        <v>5.7270584579943981E-2</v>
      </c>
      <c r="J34" s="207">
        <f t="shared" si="5"/>
        <v>5.7280197508647449E-2</v>
      </c>
      <c r="K34" s="207">
        <f t="shared" si="5"/>
        <v>6.0557491982134982E-2</v>
      </c>
      <c r="L34" s="207">
        <f t="shared" si="5"/>
        <v>5.3071845007930732E-2</v>
      </c>
      <c r="M34" s="207">
        <f t="shared" si="5"/>
        <v>5.6828558146059895E-2</v>
      </c>
      <c r="N34" s="207">
        <f t="shared" si="5"/>
        <v>5.6823862990757451E-2</v>
      </c>
      <c r="O34" s="207">
        <v>5.712253040952902E-2</v>
      </c>
      <c r="P34" s="207">
        <f t="shared" ref="P34" si="6">P35/P33</f>
        <v>5.7150142312402709E-2</v>
      </c>
      <c r="Q34" s="1"/>
    </row>
    <row r="35" spans="1:17">
      <c r="A35" s="255">
        <f t="shared" si="1"/>
        <v>24</v>
      </c>
      <c r="B35" s="17"/>
      <c r="C35" s="17" t="s">
        <v>325</v>
      </c>
      <c r="D35" s="17">
        <v>-287193.78999999998</v>
      </c>
      <c r="E35" s="17">
        <v>-287409.46000000002</v>
      </c>
      <c r="F35" s="17">
        <v>-285290.28999999998</v>
      </c>
      <c r="G35" s="17">
        <v>-280346.63</v>
      </c>
      <c r="H35" s="17">
        <v>-304829.27</v>
      </c>
      <c r="I35" s="17">
        <v>-270677.24</v>
      </c>
      <c r="J35" s="17">
        <v>-319565.31</v>
      </c>
      <c r="K35" s="17">
        <v>-267049.78000000003</v>
      </c>
      <c r="L35" s="17">
        <v>-233726.23</v>
      </c>
      <c r="M35" s="17">
        <v>-273449.17</v>
      </c>
      <c r="N35" s="17">
        <v>-263443.77</v>
      </c>
      <c r="O35" s="17">
        <f t="shared" ref="O35" si="7">O33*O34</f>
        <v>-230896.23515035035</v>
      </c>
      <c r="P35" s="1">
        <f>SUM(D35:O35)</f>
        <v>-3303877.1751503502</v>
      </c>
      <c r="Q35" s="1"/>
    </row>
    <row r="36" spans="1:17">
      <c r="A36" s="9">
        <f t="shared" si="1"/>
        <v>25</v>
      </c>
      <c r="B36" s="1"/>
      <c r="C36" s="204"/>
      <c r="D36" s="1"/>
      <c r="E36" s="1"/>
      <c r="F36" s="1"/>
      <c r="G36" s="1"/>
      <c r="H36" s="1"/>
      <c r="I36" s="17"/>
      <c r="J36" s="17"/>
      <c r="K36" s="1"/>
      <c r="L36" s="1"/>
      <c r="M36" s="1"/>
      <c r="N36" s="1"/>
      <c r="O36" s="208"/>
      <c r="P36" s="217"/>
      <c r="Q36" s="1"/>
    </row>
    <row r="37" spans="1:17">
      <c r="A37" s="1"/>
      <c r="B37" s="1"/>
      <c r="C37" s="204"/>
      <c r="D37" s="1"/>
      <c r="E37" s="1"/>
      <c r="F37" s="1"/>
      <c r="G37" s="1"/>
      <c r="H37" s="1"/>
      <c r="I37" s="17"/>
      <c r="J37" s="17"/>
      <c r="K37" s="1"/>
      <c r="L37" s="1"/>
      <c r="M37" s="1"/>
      <c r="N37" s="1"/>
      <c r="O37" s="208"/>
      <c r="P37" s="96"/>
      <c r="Q37" s="1"/>
    </row>
    <row r="38" spans="1:17">
      <c r="A38" s="1"/>
      <c r="B38" s="1" t="s">
        <v>326</v>
      </c>
      <c r="C38" s="204"/>
      <c r="D38" s="193"/>
      <c r="E38" s="193"/>
      <c r="F38" s="193"/>
      <c r="G38" s="193"/>
      <c r="H38" s="193"/>
      <c r="I38" s="218"/>
      <c r="J38" s="17"/>
      <c r="K38" s="1"/>
      <c r="L38" s="1"/>
      <c r="M38" s="1"/>
      <c r="N38" s="1"/>
      <c r="O38" s="1"/>
      <c r="P38" s="193"/>
      <c r="Q38" s="1"/>
    </row>
    <row r="39" spans="1:17">
      <c r="A39" s="1"/>
      <c r="B39" s="1"/>
      <c r="C39" s="1"/>
      <c r="D39" s="96"/>
      <c r="E39" s="96"/>
      <c r="F39" s="96"/>
      <c r="G39" s="96"/>
      <c r="H39" s="96"/>
      <c r="I39" s="208"/>
      <c r="J39" s="17"/>
      <c r="K39" s="96"/>
      <c r="L39" s="96"/>
      <c r="M39" s="96"/>
      <c r="N39" s="96"/>
      <c r="O39" s="208"/>
      <c r="P39" s="96"/>
      <c r="Q39" s="96"/>
    </row>
    <row r="40" spans="1:17">
      <c r="A40" s="1"/>
      <c r="B40" s="1"/>
      <c r="C40" s="1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75"/>
      <c r="Q40" s="208"/>
    </row>
    <row r="41" spans="1:17">
      <c r="A41" s="1"/>
      <c r="B41" s="1" t="s">
        <v>319</v>
      </c>
      <c r="C41" s="1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96"/>
      <c r="Q41" s="96"/>
    </row>
    <row r="42" spans="1:17">
      <c r="A42" s="1"/>
      <c r="B42" s="1" t="s">
        <v>329</v>
      </c>
      <c r="C42" s="1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09"/>
      <c r="Q42" s="1"/>
    </row>
    <row r="43" spans="1:17">
      <c r="A43" s="1"/>
      <c r="B43" s="1" t="s">
        <v>330</v>
      </c>
      <c r="C43" s="1"/>
      <c r="D43" s="195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"/>
      <c r="Q43" s="1"/>
    </row>
    <row r="44" spans="1:17">
      <c r="A44" s="1"/>
      <c r="B44" s="1"/>
      <c r="C44" s="1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208"/>
      <c r="P44" s="96"/>
      <c r="Q44" s="1"/>
    </row>
    <row r="45" spans="1:17">
      <c r="A45" s="1"/>
      <c r="B45" s="1"/>
      <c r="C45" s="1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208"/>
      <c r="P45" s="96"/>
      <c r="Q45" s="1"/>
    </row>
    <row r="46" spans="1:17">
      <c r="A46" s="1"/>
      <c r="B46" s="1"/>
      <c r="C46" s="1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208"/>
      <c r="P46" s="96"/>
      <c r="Q46" s="1"/>
    </row>
    <row r="47" spans="1:17">
      <c r="A47" s="1"/>
      <c r="B47" s="1"/>
      <c r="C47" s="75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"/>
      <c r="Q47" s="1"/>
    </row>
    <row r="48" spans="1:17">
      <c r="A48" s="1"/>
      <c r="B48" s="1"/>
      <c r="C48" s="1"/>
      <c r="D48" s="1"/>
      <c r="E48" s="1"/>
      <c r="F48" s="1"/>
      <c r="G48" s="1"/>
      <c r="H48" s="1"/>
      <c r="I48" s="17"/>
      <c r="J48" s="17"/>
      <c r="K48" s="17"/>
      <c r="L48" s="1"/>
      <c r="M48" s="1"/>
      <c r="N48" s="1"/>
      <c r="O48" s="17"/>
      <c r="P48" s="1"/>
      <c r="Q48" s="1"/>
    </row>
    <row r="49" spans="1:17">
      <c r="A49" s="1"/>
      <c r="B49" s="1"/>
      <c r="C49" s="1"/>
      <c r="D49" s="1"/>
      <c r="E49" s="1"/>
      <c r="F49" s="1"/>
      <c r="G49" s="1"/>
      <c r="H49" s="1"/>
      <c r="I49" s="17"/>
      <c r="J49" s="17"/>
      <c r="K49" s="17"/>
      <c r="L49" s="1"/>
      <c r="M49" s="1"/>
      <c r="N49" s="1"/>
      <c r="O49" s="17"/>
      <c r="P49" s="1"/>
      <c r="Q49" s="1"/>
    </row>
    <row r="50" spans="1:1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7"/>
      <c r="P50" s="1"/>
      <c r="Q50" s="1"/>
    </row>
    <row r="51" spans="1:17">
      <c r="A51" s="1"/>
    </row>
    <row r="53" spans="1:17">
      <c r="C53" s="75"/>
    </row>
  </sheetData>
  <mergeCells count="4">
    <mergeCell ref="A1:P1"/>
    <mergeCell ref="A2:P2"/>
    <mergeCell ref="A3:P3"/>
    <mergeCell ref="A4:P4"/>
  </mergeCells>
  <printOptions horizontalCentered="1"/>
  <pageMargins left="0.5" right="0.5" top="0.75" bottom="0.63" header="0.5" footer="0.25"/>
  <pageSetup scale="46" fitToHeight="2" orientation="landscape" verticalDpi="300" r:id="rId1"/>
  <headerFooter alignWithMargins="0">
    <oddHeader>&amp;RCASE NO. 2015-00343
ATTACHMENT 1
TO STAFF DR NO. 1-45
(SUPPLEMENT 02-18-16)</oddHeader>
    <oddFooter>&amp;RSchedule &amp;A
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"/>
  <sheetViews>
    <sheetView view="pageBreakPreview" zoomScale="70" zoomScaleNormal="70" zoomScaleSheetLayoutView="70" workbookViewId="0">
      <pane xSplit="3" ySplit="11" topLeftCell="D12" activePane="bottomRight" state="frozen"/>
      <selection activeCell="E45" sqref="E45"/>
      <selection pane="topRight" activeCell="E45" sqref="E45"/>
      <selection pane="bottomLeft" activeCell="E45" sqref="E45"/>
      <selection pane="bottomRight" activeCell="D12" sqref="D12"/>
    </sheetView>
  </sheetViews>
  <sheetFormatPr defaultColWidth="7.109375" defaultRowHeight="15"/>
  <cols>
    <col min="1" max="1" width="6.21875" customWidth="1"/>
    <col min="2" max="2" width="7.21875" customWidth="1"/>
    <col min="3" max="3" width="38.88671875" customWidth="1"/>
    <col min="4" max="5" width="11.109375" customWidth="1"/>
    <col min="6" max="6" width="11.77734375" bestFit="1" customWidth="1"/>
    <col min="7" max="7" width="11.33203125" bestFit="1" customWidth="1"/>
    <col min="8" max="8" width="11.109375" customWidth="1"/>
    <col min="9" max="9" width="12" bestFit="1" customWidth="1"/>
    <col min="10" max="13" width="11.33203125" bestFit="1" customWidth="1"/>
    <col min="14" max="14" width="12.44140625" customWidth="1"/>
    <col min="15" max="15" width="11.109375" customWidth="1"/>
    <col min="16" max="16" width="12.44140625" customWidth="1"/>
    <col min="17" max="17" width="12.5546875" customWidth="1"/>
  </cols>
  <sheetData>
    <row r="1" spans="1:18">
      <c r="A1" s="258" t="s">
        <v>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1"/>
      <c r="R1" s="1"/>
    </row>
    <row r="2" spans="1:18">
      <c r="A2" s="258" t="s">
        <v>1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1"/>
      <c r="R2" s="1"/>
    </row>
    <row r="3" spans="1:18" ht="15.75">
      <c r="A3" s="258" t="s">
        <v>331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1"/>
      <c r="R3" s="1"/>
    </row>
    <row r="4" spans="1:18">
      <c r="A4" s="258" t="s">
        <v>32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1"/>
      <c r="R4" s="1"/>
    </row>
    <row r="5" spans="1:18">
      <c r="A5" s="1"/>
      <c r="B5" s="197"/>
      <c r="C5" s="197"/>
      <c r="D5" s="197"/>
      <c r="E5" s="197"/>
      <c r="F5" s="197"/>
      <c r="G5" s="198"/>
      <c r="H5" s="197"/>
      <c r="I5" s="197"/>
      <c r="J5" s="197"/>
      <c r="K5" s="197"/>
      <c r="L5" s="197"/>
      <c r="M5" s="197"/>
      <c r="N5" s="197"/>
      <c r="O5" s="197"/>
      <c r="P5" s="1"/>
      <c r="Q5" s="1"/>
      <c r="R5" s="1"/>
    </row>
    <row r="6" spans="1:18" ht="15.75">
      <c r="A6" s="3" t="str">
        <f>'C.2.2 B 09'!A6</f>
        <v>Data:___X____Base Period________Forecasted Period</v>
      </c>
      <c r="B6" s="154"/>
      <c r="C6" s="3"/>
      <c r="D6" s="1"/>
      <c r="E6" s="1"/>
      <c r="F6" s="199"/>
      <c r="G6" s="1"/>
      <c r="H6" s="1"/>
      <c r="I6" s="1"/>
      <c r="J6" s="1"/>
      <c r="K6" s="1"/>
      <c r="L6" s="1"/>
      <c r="M6" s="1"/>
      <c r="N6" s="1"/>
      <c r="O6" s="1"/>
      <c r="P6" s="155" t="s">
        <v>217</v>
      </c>
      <c r="Q6" s="1"/>
      <c r="R6" s="1"/>
    </row>
    <row r="7" spans="1:18">
      <c r="A7" s="3" t="str">
        <f>'C.2.2 B 09'!A7</f>
        <v>Type of Filing:___X____Original________Updated ________Revised</v>
      </c>
      <c r="B7" s="154"/>
      <c r="C7" s="3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56" t="s">
        <v>218</v>
      </c>
      <c r="Q7" s="1"/>
      <c r="R7" s="1"/>
    </row>
    <row r="8" spans="1:18">
      <c r="A8" s="53" t="str">
        <f>'C.2.2 B 09'!A8</f>
        <v>Workpaper Reference No(s).____________________</v>
      </c>
      <c r="B8" s="157"/>
      <c r="C8" s="6"/>
      <c r="D8" s="7"/>
      <c r="E8" s="7"/>
      <c r="F8" s="7"/>
      <c r="G8" s="7"/>
      <c r="H8" s="7"/>
      <c r="I8" s="7"/>
      <c r="J8" s="7"/>
      <c r="K8" s="7"/>
      <c r="L8" s="7"/>
      <c r="M8" s="55"/>
      <c r="N8" s="157"/>
      <c r="O8" s="157"/>
      <c r="P8" s="158" t="str">
        <f>C.1!J9</f>
        <v>Witness: Waller, Smith</v>
      </c>
      <c r="Q8" s="1"/>
      <c r="R8" s="1"/>
    </row>
    <row r="9" spans="1:18">
      <c r="A9" s="159" t="s">
        <v>12</v>
      </c>
      <c r="B9" s="160" t="s">
        <v>219</v>
      </c>
      <c r="C9" s="161"/>
      <c r="D9" s="58" t="str">
        <f>'C.2.2 B 09'!D9</f>
        <v>actual</v>
      </c>
      <c r="E9" s="58" t="str">
        <f>'C.2.2 B 09'!F9</f>
        <v>actual</v>
      </c>
      <c r="F9" s="58" t="str">
        <f>'C.2.2 B 09'!F9</f>
        <v>actual</v>
      </c>
      <c r="G9" s="58" t="str">
        <f>'C.2.2 B 09'!G9</f>
        <v>actual</v>
      </c>
      <c r="H9" s="58" t="str">
        <f>'C.2.2 B 09'!H9</f>
        <v>actual</v>
      </c>
      <c r="I9" s="58" t="str">
        <f>'C.2.2 B 09'!I9</f>
        <v>actual</v>
      </c>
      <c r="J9" s="58" t="str">
        <f>'C.2.2 B 09'!J9</f>
        <v>actual</v>
      </c>
      <c r="K9" s="58" t="str">
        <f>'C.2.2 B 09'!K9</f>
        <v>actual</v>
      </c>
      <c r="L9" s="58" t="str">
        <f>'C.2.2 B 09'!L9</f>
        <v>actual</v>
      </c>
      <c r="M9" s="58" t="str">
        <f>'C.2.2 B 09'!M9</f>
        <v>actual</v>
      </c>
      <c r="N9" s="58" t="str">
        <f>'C.2.2 B 09'!N9</f>
        <v>actual</v>
      </c>
      <c r="O9" s="58" t="str">
        <f>'C.2.2 B 09'!O9</f>
        <v>Budgeted</v>
      </c>
      <c r="P9" s="201"/>
      <c r="Q9" s="9"/>
      <c r="R9" s="9"/>
    </row>
    <row r="10" spans="1:18">
      <c r="A10" s="165" t="s">
        <v>15</v>
      </c>
      <c r="B10" s="62" t="s">
        <v>15</v>
      </c>
      <c r="C10" s="166" t="s">
        <v>222</v>
      </c>
      <c r="D10" s="202">
        <f>'C.2.2 B 09'!D10</f>
        <v>42094</v>
      </c>
      <c r="E10" s="202">
        <f>'C.2.2 B 09'!E10</f>
        <v>42095</v>
      </c>
      <c r="F10" s="202">
        <f>'C.2.2 B 09'!F10</f>
        <v>42155</v>
      </c>
      <c r="G10" s="202">
        <f>'C.2.2 B 09'!G10</f>
        <v>42185</v>
      </c>
      <c r="H10" s="202">
        <f>'C.2.2 B 09'!H10</f>
        <v>42216</v>
      </c>
      <c r="I10" s="202">
        <f>'C.2.2 B 09'!I10</f>
        <v>42247</v>
      </c>
      <c r="J10" s="202">
        <f>'C.2.2 B 09'!J10</f>
        <v>42277</v>
      </c>
      <c r="K10" s="202">
        <f>'C.2.2 B 09'!K10</f>
        <v>42308</v>
      </c>
      <c r="L10" s="202">
        <f>'C.2.2 B 09'!L10</f>
        <v>42338</v>
      </c>
      <c r="M10" s="202">
        <f>'C.2.2 B 09'!M10</f>
        <v>42369</v>
      </c>
      <c r="N10" s="202">
        <f>'C.2.2 B 09'!N10</f>
        <v>42400</v>
      </c>
      <c r="O10" s="202">
        <f>'C.2.2 B 09'!O10</f>
        <v>42429</v>
      </c>
      <c r="P10" s="202" t="str">
        <f>'C.2.2 B 09'!P10</f>
        <v>Total</v>
      </c>
      <c r="Q10" s="170"/>
      <c r="R10" s="9"/>
    </row>
    <row r="11" spans="1:18">
      <c r="A11" s="1"/>
      <c r="B11" s="1"/>
      <c r="C11" s="1"/>
      <c r="D11" s="10" t="s">
        <v>224</v>
      </c>
      <c r="E11" s="10" t="s">
        <v>224</v>
      </c>
      <c r="F11" s="10" t="s">
        <v>224</v>
      </c>
      <c r="G11" s="10" t="s">
        <v>224</v>
      </c>
      <c r="H11" s="10" t="s">
        <v>224</v>
      </c>
      <c r="I11" s="10" t="s">
        <v>224</v>
      </c>
      <c r="J11" s="10" t="s">
        <v>224</v>
      </c>
      <c r="K11" s="10" t="s">
        <v>224</v>
      </c>
      <c r="L11" s="10" t="s">
        <v>224</v>
      </c>
      <c r="M11" s="10" t="s">
        <v>224</v>
      </c>
      <c r="N11" s="10" t="s">
        <v>224</v>
      </c>
      <c r="O11" s="64" t="s">
        <v>224</v>
      </c>
      <c r="P11" s="10" t="s">
        <v>224</v>
      </c>
      <c r="Q11" s="10"/>
      <c r="R11" s="1"/>
    </row>
    <row r="12" spans="1:18">
      <c r="A12" s="1"/>
      <c r="B12" s="171" t="s">
        <v>212</v>
      </c>
      <c r="C12" s="172" t="s">
        <v>225</v>
      </c>
      <c r="D12" s="174">
        <v>2841005.8499999996</v>
      </c>
      <c r="E12" s="174">
        <v>3329272.2600000002</v>
      </c>
      <c r="F12" s="174">
        <v>89772.510000000009</v>
      </c>
      <c r="G12" s="174">
        <v>-280720.73999999929</v>
      </c>
      <c r="H12" s="174">
        <v>-545820.43999999994</v>
      </c>
      <c r="I12" s="174">
        <v>612234.46</v>
      </c>
      <c r="J12" s="174">
        <v>-20105540.399999999</v>
      </c>
      <c r="K12" s="174">
        <v>1016425.49</v>
      </c>
      <c r="L12" s="174">
        <v>1850041.8</v>
      </c>
      <c r="M12" s="174">
        <v>3332735.3100000005</v>
      </c>
      <c r="N12" s="174">
        <v>4611257.87</v>
      </c>
      <c r="O12" s="113"/>
      <c r="P12" s="1">
        <f t="shared" ref="P12:P15" si="0">SUM(D12:O12)</f>
        <v>-3249336.0299999984</v>
      </c>
      <c r="Q12" s="10"/>
      <c r="R12" s="1"/>
    </row>
    <row r="13" spans="1:18">
      <c r="A13" s="1"/>
      <c r="B13" s="1"/>
      <c r="C13" s="1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1">
        <f t="shared" si="0"/>
        <v>0</v>
      </c>
      <c r="Q13" s="10"/>
      <c r="R13" s="1"/>
    </row>
    <row r="14" spans="1:18">
      <c r="A14" s="9">
        <v>1</v>
      </c>
      <c r="B14" s="141">
        <v>4030</v>
      </c>
      <c r="C14" s="1" t="s">
        <v>63</v>
      </c>
      <c r="D14" s="174">
        <v>-3.637978807091713E-12</v>
      </c>
      <c r="E14" s="174">
        <v>-7.9580786405131221E-13</v>
      </c>
      <c r="F14" s="174">
        <v>1.4495071809506044E-12</v>
      </c>
      <c r="G14" s="174">
        <v>-1.0231815394945443E-12</v>
      </c>
      <c r="H14" s="174">
        <v>1.7053025658242404E-12</v>
      </c>
      <c r="I14" s="174">
        <v>2.2026824808563106E-13</v>
      </c>
      <c r="J14" s="113">
        <v>3.637978807091713E-12</v>
      </c>
      <c r="K14" s="113">
        <v>-2.1600499167107046E-12</v>
      </c>
      <c r="L14" s="113">
        <v>0</v>
      </c>
      <c r="M14" s="113">
        <v>0</v>
      </c>
      <c r="N14" s="113">
        <v>0</v>
      </c>
      <c r="O14" s="113">
        <v>0</v>
      </c>
      <c r="P14" s="1">
        <f t="shared" si="0"/>
        <v>-6.0396132539608516E-13</v>
      </c>
      <c r="Q14" s="75"/>
      <c r="R14" s="1"/>
    </row>
    <row r="15" spans="1:18">
      <c r="A15" s="9">
        <f>A14+1</f>
        <v>2</v>
      </c>
      <c r="B15" s="141" t="s">
        <v>332</v>
      </c>
      <c r="C15" s="1" t="s">
        <v>226</v>
      </c>
      <c r="D15" s="174">
        <v>0</v>
      </c>
      <c r="E15" s="174">
        <v>0</v>
      </c>
      <c r="F15" s="174">
        <v>0</v>
      </c>
      <c r="G15" s="174">
        <v>0</v>
      </c>
      <c r="H15" s="174">
        <v>0</v>
      </c>
      <c r="I15" s="174">
        <v>0</v>
      </c>
      <c r="J15" s="113">
        <v>0</v>
      </c>
      <c r="K15" s="113">
        <v>0</v>
      </c>
      <c r="L15" s="113"/>
      <c r="M15" s="113"/>
      <c r="N15" s="113"/>
      <c r="O15" s="113"/>
      <c r="P15" s="1">
        <f t="shared" si="0"/>
        <v>0</v>
      </c>
      <c r="Q15" s="75"/>
      <c r="R15" s="1"/>
    </row>
    <row r="16" spans="1:18">
      <c r="A16" s="9">
        <f t="shared" ref="A16:A55" si="1">A15+1</f>
        <v>3</v>
      </c>
      <c r="B16" s="141">
        <v>4081</v>
      </c>
      <c r="C16" s="1" t="s">
        <v>227</v>
      </c>
      <c r="D16" s="174">
        <v>1.4551915228366852E-11</v>
      </c>
      <c r="E16" s="174">
        <v>2.000000000800356E-2</v>
      </c>
      <c r="F16" s="174">
        <v>9.9999999990814104E-3</v>
      </c>
      <c r="G16" s="174">
        <v>-9.9999999972624209E-3</v>
      </c>
      <c r="H16" s="174">
        <v>1.9099388737231493E-11</v>
      </c>
      <c r="I16" s="174">
        <v>-1.9999999989522621E-2</v>
      </c>
      <c r="J16" s="113">
        <v>1.0516032489249483E-12</v>
      </c>
      <c r="K16" s="113">
        <v>5.8153759585621856E-12</v>
      </c>
      <c r="L16" s="113">
        <v>0</v>
      </c>
      <c r="M16" s="113">
        <v>0</v>
      </c>
      <c r="N16" s="113">
        <v>0</v>
      </c>
      <c r="O16" s="113">
        <v>0</v>
      </c>
      <c r="P16" s="1">
        <f t="shared" ref="P16:P49" si="2">SUM(D16:O16)</f>
        <v>6.0818211577995385E-11</v>
      </c>
      <c r="Q16" s="1"/>
      <c r="R16" s="1"/>
    </row>
    <row r="17" spans="1:18">
      <c r="A17" s="9">
        <f t="shared" si="1"/>
        <v>4</v>
      </c>
      <c r="B17" s="141">
        <v>8170</v>
      </c>
      <c r="C17" s="1" t="s">
        <v>256</v>
      </c>
      <c r="D17" s="174">
        <v>41.25</v>
      </c>
      <c r="E17" s="174">
        <v>40.92</v>
      </c>
      <c r="F17" s="174">
        <v>38.36</v>
      </c>
      <c r="G17" s="174">
        <v>37.630000000000003</v>
      </c>
      <c r="H17" s="174">
        <v>41.48</v>
      </c>
      <c r="I17" s="174">
        <v>42.81</v>
      </c>
      <c r="J17" s="113">
        <v>47.94</v>
      </c>
      <c r="K17" s="113">
        <v>47.23</v>
      </c>
      <c r="L17" s="113">
        <v>43.07</v>
      </c>
      <c r="M17" s="113">
        <v>42.2</v>
      </c>
      <c r="N17" s="113">
        <v>42.84</v>
      </c>
      <c r="O17" s="113">
        <v>48.143642935461813</v>
      </c>
      <c r="P17" s="1">
        <f t="shared" si="2"/>
        <v>513.87364293546182</v>
      </c>
      <c r="Q17" s="1"/>
      <c r="R17" s="1"/>
    </row>
    <row r="18" spans="1:18">
      <c r="A18" s="9">
        <f t="shared" si="1"/>
        <v>5</v>
      </c>
      <c r="B18" s="141">
        <v>8180</v>
      </c>
      <c r="C18" s="1" t="s">
        <v>257</v>
      </c>
      <c r="D18" s="174">
        <v>43.100000000000023</v>
      </c>
      <c r="E18" s="174">
        <v>42.759999999999991</v>
      </c>
      <c r="F18" s="174">
        <v>40.080000000000013</v>
      </c>
      <c r="G18" s="174">
        <v>39.319999999999965</v>
      </c>
      <c r="H18" s="174">
        <v>43.349999999999994</v>
      </c>
      <c r="I18" s="174">
        <v>30.579999999999984</v>
      </c>
      <c r="J18" s="113">
        <v>50.099999999999966</v>
      </c>
      <c r="K18" s="113">
        <v>51.019999999999982</v>
      </c>
      <c r="L18" s="113">
        <v>44.78000000000003</v>
      </c>
      <c r="M18" s="113">
        <v>43.879999999999967</v>
      </c>
      <c r="N18" s="113">
        <v>44.54000000000002</v>
      </c>
      <c r="O18" s="113">
        <v>47.496300077265801</v>
      </c>
      <c r="P18" s="1">
        <f t="shared" si="2"/>
        <v>521.00630007726568</v>
      </c>
      <c r="Q18" s="1"/>
      <c r="R18" s="1"/>
    </row>
    <row r="19" spans="1:18">
      <c r="A19" s="9">
        <f t="shared" si="1"/>
        <v>6</v>
      </c>
      <c r="B19" s="141">
        <v>8190</v>
      </c>
      <c r="C19" s="1" t="s">
        <v>258</v>
      </c>
      <c r="D19" s="174">
        <v>880.41</v>
      </c>
      <c r="E19" s="174">
        <v>553.48</v>
      </c>
      <c r="F19" s="174">
        <v>1520.59</v>
      </c>
      <c r="G19" s="174">
        <v>4.5</v>
      </c>
      <c r="H19" s="174">
        <v>0</v>
      </c>
      <c r="I19" s="174">
        <v>5.48</v>
      </c>
      <c r="J19" s="113">
        <v>702.48</v>
      </c>
      <c r="K19" s="113">
        <v>3572.08</v>
      </c>
      <c r="L19" s="113">
        <v>4.83</v>
      </c>
      <c r="M19" s="113">
        <v>480.62</v>
      </c>
      <c r="N19" s="113">
        <v>276.92</v>
      </c>
      <c r="O19" s="113">
        <v>588.65705810047075</v>
      </c>
      <c r="P19" s="1">
        <f t="shared" si="2"/>
        <v>8590.0470581004702</v>
      </c>
      <c r="Q19" s="1"/>
      <c r="R19" s="1"/>
    </row>
    <row r="20" spans="1:18">
      <c r="A20" s="9">
        <f t="shared" si="1"/>
        <v>7</v>
      </c>
      <c r="B20" s="141">
        <v>8210</v>
      </c>
      <c r="C20" s="1" t="s">
        <v>260</v>
      </c>
      <c r="D20" s="174">
        <v>778.32999999999993</v>
      </c>
      <c r="E20" s="174">
        <v>213.39999999999998</v>
      </c>
      <c r="F20" s="174">
        <v>119.17999999999999</v>
      </c>
      <c r="G20" s="174">
        <v>151.1</v>
      </c>
      <c r="H20" s="174">
        <v>139.33000000000001</v>
      </c>
      <c r="I20" s="174">
        <v>15.97</v>
      </c>
      <c r="J20" s="113">
        <v>129.28</v>
      </c>
      <c r="K20" s="113">
        <v>118.59</v>
      </c>
      <c r="L20" s="113">
        <v>123.11</v>
      </c>
      <c r="M20" s="113">
        <v>129.13</v>
      </c>
      <c r="N20" s="113">
        <v>216.23000000000002</v>
      </c>
      <c r="O20" s="113">
        <v>281.43727188640696</v>
      </c>
      <c r="P20" s="1">
        <f t="shared" si="2"/>
        <v>2415.0872718864066</v>
      </c>
      <c r="Q20" s="1"/>
      <c r="R20" s="1"/>
    </row>
    <row r="21" spans="1:18">
      <c r="A21" s="9">
        <f t="shared" si="1"/>
        <v>8</v>
      </c>
      <c r="B21" s="141">
        <v>8240</v>
      </c>
      <c r="C21" s="1" t="s">
        <v>261</v>
      </c>
      <c r="D21" s="174">
        <v>58.33</v>
      </c>
      <c r="E21" s="174">
        <v>39.68</v>
      </c>
      <c r="F21" s="174">
        <v>15.11</v>
      </c>
      <c r="G21" s="174">
        <v>4.7699999999999996</v>
      </c>
      <c r="H21" s="174">
        <v>0</v>
      </c>
      <c r="I21" s="174">
        <v>0</v>
      </c>
      <c r="J21" s="113">
        <v>2.8</v>
      </c>
      <c r="K21" s="113">
        <v>0</v>
      </c>
      <c r="L21" s="113">
        <v>0</v>
      </c>
      <c r="M21" s="113">
        <v>0</v>
      </c>
      <c r="N21" s="113">
        <v>0</v>
      </c>
      <c r="O21" s="113">
        <v>23.409585752367878</v>
      </c>
      <c r="P21" s="1">
        <f t="shared" si="2"/>
        <v>144.09958575236786</v>
      </c>
      <c r="Q21" s="1"/>
      <c r="R21" s="1"/>
    </row>
    <row r="22" spans="1:18">
      <c r="A22" s="9">
        <f t="shared" si="1"/>
        <v>9</v>
      </c>
      <c r="B22" s="141">
        <v>8250</v>
      </c>
      <c r="C22" s="1" t="s">
        <v>262</v>
      </c>
      <c r="D22" s="174">
        <v>2558.46</v>
      </c>
      <c r="E22" s="174">
        <v>3774.05</v>
      </c>
      <c r="F22" s="174">
        <v>2399.5500000000002</v>
      </c>
      <c r="G22" s="174">
        <v>1008.2900000000001</v>
      </c>
      <c r="H22" s="174">
        <v>289.12</v>
      </c>
      <c r="I22" s="174">
        <v>544.21</v>
      </c>
      <c r="J22" s="113">
        <v>255.27</v>
      </c>
      <c r="K22" s="113">
        <v>987.15</v>
      </c>
      <c r="L22" s="113">
        <v>597.11</v>
      </c>
      <c r="M22" s="113">
        <v>639.83000000000004</v>
      </c>
      <c r="N22" s="113">
        <v>2350.3500000000004</v>
      </c>
      <c r="O22" s="113">
        <v>2099.6307462727736</v>
      </c>
      <c r="P22" s="1">
        <f t="shared" si="2"/>
        <v>17503.020746272778</v>
      </c>
      <c r="Q22" s="1"/>
      <c r="R22" s="1"/>
    </row>
    <row r="23" spans="1:18">
      <c r="A23" s="9">
        <f t="shared" si="1"/>
        <v>10</v>
      </c>
      <c r="B23" s="141">
        <v>8500</v>
      </c>
      <c r="C23" s="179" t="s">
        <v>144</v>
      </c>
      <c r="D23" s="174"/>
      <c r="E23" s="174"/>
      <c r="F23" s="174"/>
      <c r="G23" s="174"/>
      <c r="H23" s="174"/>
      <c r="I23" s="174"/>
      <c r="J23" s="113">
        <v>0</v>
      </c>
      <c r="K23" s="113">
        <v>61.84</v>
      </c>
      <c r="L23" s="113">
        <v>0</v>
      </c>
      <c r="M23" s="113"/>
      <c r="N23" s="113"/>
      <c r="O23" s="113"/>
      <c r="P23" s="1">
        <f t="shared" si="2"/>
        <v>61.84</v>
      </c>
      <c r="Q23" s="1"/>
      <c r="R23" s="1"/>
    </row>
    <row r="24" spans="1:18">
      <c r="A24" s="9">
        <f t="shared" si="1"/>
        <v>11</v>
      </c>
      <c r="B24" s="141">
        <v>8560</v>
      </c>
      <c r="C24" s="1" t="s">
        <v>269</v>
      </c>
      <c r="D24" s="174">
        <v>615.09999999999991</v>
      </c>
      <c r="E24" s="174">
        <v>54.980000000000018</v>
      </c>
      <c r="F24" s="174">
        <v>51.529999999999973</v>
      </c>
      <c r="G24" s="174">
        <v>50.56</v>
      </c>
      <c r="H24" s="174">
        <v>55.729999999999961</v>
      </c>
      <c r="I24" s="174">
        <v>125.81</v>
      </c>
      <c r="J24" s="113">
        <v>1357.86</v>
      </c>
      <c r="K24" s="113">
        <v>227.89999999999998</v>
      </c>
      <c r="L24" s="113">
        <v>139.92000000000007</v>
      </c>
      <c r="M24" s="113">
        <v>56.420000000000016</v>
      </c>
      <c r="N24" s="113">
        <v>57.269999999999982</v>
      </c>
      <c r="O24" s="113">
        <v>189.55526525305982</v>
      </c>
      <c r="P24" s="1">
        <f t="shared" si="2"/>
        <v>2982.6352652530595</v>
      </c>
      <c r="Q24" s="1"/>
      <c r="R24" s="1"/>
    </row>
    <row r="25" spans="1:18">
      <c r="A25" s="9">
        <f t="shared" si="1"/>
        <v>12</v>
      </c>
      <c r="B25" s="141">
        <v>8570</v>
      </c>
      <c r="C25" s="1" t="s">
        <v>270</v>
      </c>
      <c r="D25" s="174">
        <v>82.49</v>
      </c>
      <c r="E25" s="174">
        <v>81.84</v>
      </c>
      <c r="F25" s="174">
        <v>76.709999999999994</v>
      </c>
      <c r="G25" s="174">
        <v>75.260000000000005</v>
      </c>
      <c r="H25" s="174">
        <v>82.96</v>
      </c>
      <c r="I25" s="174">
        <v>85.63</v>
      </c>
      <c r="J25" s="113">
        <v>95.88</v>
      </c>
      <c r="K25" s="113">
        <v>94.46</v>
      </c>
      <c r="L25" s="113">
        <v>86.13</v>
      </c>
      <c r="M25" s="113">
        <v>84.4</v>
      </c>
      <c r="N25" s="113">
        <v>103.65</v>
      </c>
      <c r="O25" s="113">
        <v>96.285300156634662</v>
      </c>
      <c r="P25" s="1">
        <f t="shared" si="2"/>
        <v>1045.6953001566346</v>
      </c>
      <c r="Q25" s="1"/>
      <c r="R25" s="185"/>
    </row>
    <row r="26" spans="1:18">
      <c r="A26" s="9">
        <f t="shared" si="1"/>
        <v>13</v>
      </c>
      <c r="B26" s="141">
        <v>8650</v>
      </c>
      <c r="C26" s="219" t="s">
        <v>333</v>
      </c>
      <c r="D26" s="174">
        <v>0</v>
      </c>
      <c r="E26" s="174">
        <v>0</v>
      </c>
      <c r="F26" s="174">
        <v>0</v>
      </c>
      <c r="G26" s="174">
        <v>0</v>
      </c>
      <c r="H26" s="174">
        <v>0</v>
      </c>
      <c r="I26" s="174">
        <v>15.5</v>
      </c>
      <c r="J26" s="113">
        <v>0</v>
      </c>
      <c r="K26" s="113">
        <v>0</v>
      </c>
      <c r="L26" s="113">
        <v>0</v>
      </c>
      <c r="M26" s="113">
        <v>52.4</v>
      </c>
      <c r="N26" s="113">
        <v>0</v>
      </c>
      <c r="O26" s="113">
        <v>3.5106920959932033</v>
      </c>
      <c r="P26" s="1">
        <f t="shared" si="2"/>
        <v>71.410692095993213</v>
      </c>
      <c r="Q26" s="1"/>
      <c r="R26" s="185"/>
    </row>
    <row r="27" spans="1:18">
      <c r="A27" s="9">
        <f t="shared" si="1"/>
        <v>14</v>
      </c>
      <c r="B27" s="141">
        <v>8700</v>
      </c>
      <c r="C27" s="1" t="s">
        <v>275</v>
      </c>
      <c r="D27" s="174">
        <v>275478.31000000006</v>
      </c>
      <c r="E27" s="174">
        <v>270493.21999999997</v>
      </c>
      <c r="F27" s="174">
        <v>291757.97999999969</v>
      </c>
      <c r="G27" s="174">
        <v>254036.04999999987</v>
      </c>
      <c r="H27" s="174">
        <v>320551.94000000024</v>
      </c>
      <c r="I27" s="174">
        <v>247207.14000000016</v>
      </c>
      <c r="J27" s="113">
        <v>372559.04000000027</v>
      </c>
      <c r="K27" s="113">
        <v>247519.00999999995</v>
      </c>
      <c r="L27" s="113">
        <v>247770.52000000002</v>
      </c>
      <c r="M27" s="113">
        <v>248462.65999999997</v>
      </c>
      <c r="N27" s="113">
        <v>240852.35000000009</v>
      </c>
      <c r="O27" s="113">
        <v>405791.55289602425</v>
      </c>
      <c r="P27" s="1">
        <f t="shared" si="2"/>
        <v>3422479.7728960244</v>
      </c>
      <c r="Q27" s="1"/>
      <c r="R27" s="185"/>
    </row>
    <row r="28" spans="1:18">
      <c r="A28" s="9">
        <f t="shared" si="1"/>
        <v>15</v>
      </c>
      <c r="B28" s="141">
        <v>8711</v>
      </c>
      <c r="C28" s="1" t="s">
        <v>277</v>
      </c>
      <c r="D28" s="174">
        <v>7997.85</v>
      </c>
      <c r="E28" s="174">
        <v>16844.57</v>
      </c>
      <c r="F28" s="174">
        <v>0</v>
      </c>
      <c r="G28" s="174">
        <v>156.66999999999999</v>
      </c>
      <c r="H28" s="174">
        <v>0</v>
      </c>
      <c r="I28" s="174">
        <v>4309.78</v>
      </c>
      <c r="J28" s="113">
        <v>17993.39</v>
      </c>
      <c r="K28" s="113">
        <v>0</v>
      </c>
      <c r="L28" s="113">
        <v>0</v>
      </c>
      <c r="M28" s="113">
        <v>0</v>
      </c>
      <c r="N28" s="113">
        <v>141.94</v>
      </c>
      <c r="O28" s="113">
        <v>6638.3495646124074</v>
      </c>
      <c r="P28" s="1">
        <f t="shared" si="2"/>
        <v>54082.549564612404</v>
      </c>
      <c r="Q28" s="1"/>
      <c r="R28" s="185"/>
    </row>
    <row r="29" spans="1:18">
      <c r="A29" s="9">
        <f t="shared" si="1"/>
        <v>16</v>
      </c>
      <c r="B29" s="141">
        <v>8740</v>
      </c>
      <c r="C29" s="1" t="s">
        <v>279</v>
      </c>
      <c r="D29" s="174">
        <v>7666.4500000000007</v>
      </c>
      <c r="E29" s="174">
        <v>12004.859999999999</v>
      </c>
      <c r="F29" s="174">
        <v>4450.4000000000005</v>
      </c>
      <c r="G29" s="174">
        <v>5701.5299999999979</v>
      </c>
      <c r="H29" s="174">
        <v>11810.709999999997</v>
      </c>
      <c r="I29" s="174">
        <v>9252.1499999999978</v>
      </c>
      <c r="J29" s="113">
        <v>6195.3899999999985</v>
      </c>
      <c r="K29" s="113">
        <v>22048.6</v>
      </c>
      <c r="L29" s="113">
        <v>-4149.2400000000016</v>
      </c>
      <c r="M29" s="113">
        <v>11006.48</v>
      </c>
      <c r="N29" s="113">
        <v>4249.51</v>
      </c>
      <c r="O29" s="113">
        <v>452.12725049548129</v>
      </c>
      <c r="P29" s="1">
        <f t="shared" si="2"/>
        <v>90688.967250495465</v>
      </c>
      <c r="Q29" s="1"/>
      <c r="R29" s="185"/>
    </row>
    <row r="30" spans="1:18">
      <c r="A30" s="9">
        <f t="shared" si="1"/>
        <v>17</v>
      </c>
      <c r="B30" s="141">
        <v>8750</v>
      </c>
      <c r="C30" s="1" t="s">
        <v>280</v>
      </c>
      <c r="D30" s="174">
        <v>270.56</v>
      </c>
      <c r="E30" s="174">
        <v>517</v>
      </c>
      <c r="F30" s="174">
        <v>1497.26</v>
      </c>
      <c r="G30" s="174">
        <v>2584.36</v>
      </c>
      <c r="H30" s="174">
        <v>292.10000000000002</v>
      </c>
      <c r="I30" s="174">
        <v>6783.24</v>
      </c>
      <c r="J30" s="113">
        <v>1366.22</v>
      </c>
      <c r="K30" s="113">
        <v>5945.92</v>
      </c>
      <c r="L30" s="113">
        <v>10286.349999999999</v>
      </c>
      <c r="M30" s="113">
        <v>8529.43</v>
      </c>
      <c r="N30" s="113">
        <v>8468.02</v>
      </c>
      <c r="O30" s="113">
        <v>10985.741271633295</v>
      </c>
      <c r="P30" s="1">
        <f t="shared" si="2"/>
        <v>57526.201271633297</v>
      </c>
      <c r="Q30" s="1"/>
      <c r="R30" s="185"/>
    </row>
    <row r="31" spans="1:18">
      <c r="A31" s="9">
        <f t="shared" si="1"/>
        <v>18</v>
      </c>
      <c r="B31" s="141">
        <v>8760</v>
      </c>
      <c r="C31" t="s">
        <v>281</v>
      </c>
      <c r="D31" s="174">
        <v>0</v>
      </c>
      <c r="E31" s="174">
        <v>0</v>
      </c>
      <c r="F31" s="174">
        <v>0</v>
      </c>
      <c r="G31" s="174">
        <v>720</v>
      </c>
      <c r="H31" s="174">
        <v>0</v>
      </c>
      <c r="I31" s="174">
        <v>0</v>
      </c>
      <c r="J31" s="113">
        <v>0</v>
      </c>
      <c r="K31" s="113">
        <v>0</v>
      </c>
      <c r="L31" s="113">
        <v>0</v>
      </c>
      <c r="M31" s="113">
        <v>0</v>
      </c>
      <c r="N31" s="113">
        <v>0</v>
      </c>
      <c r="O31" s="113">
        <v>163.07731026549072</v>
      </c>
      <c r="P31" s="1">
        <f t="shared" si="2"/>
        <v>883.07731026549072</v>
      </c>
      <c r="Q31" s="1"/>
      <c r="R31" s="185"/>
    </row>
    <row r="32" spans="1:18">
      <c r="A32" s="9">
        <f t="shared" si="1"/>
        <v>19</v>
      </c>
      <c r="B32" s="141">
        <v>8770</v>
      </c>
      <c r="C32" s="1" t="s">
        <v>282</v>
      </c>
      <c r="D32" s="174">
        <v>572.4</v>
      </c>
      <c r="E32" s="174">
        <v>15.5</v>
      </c>
      <c r="F32" s="174">
        <v>15</v>
      </c>
      <c r="G32" s="174">
        <v>3590.5</v>
      </c>
      <c r="H32" s="174">
        <v>0</v>
      </c>
      <c r="I32" s="174">
        <v>0</v>
      </c>
      <c r="J32" s="113">
        <v>0</v>
      </c>
      <c r="K32" s="113">
        <v>0</v>
      </c>
      <c r="L32" s="113">
        <v>906.71</v>
      </c>
      <c r="M32" s="113">
        <v>54.4</v>
      </c>
      <c r="N32" s="113">
        <v>0</v>
      </c>
      <c r="O32" s="113">
        <v>893.951716412049</v>
      </c>
      <c r="P32" s="1">
        <f t="shared" si="2"/>
        <v>6048.4617164120482</v>
      </c>
      <c r="Q32" s="1"/>
      <c r="R32" s="185"/>
    </row>
    <row r="33" spans="1:18">
      <c r="A33" s="9">
        <f t="shared" si="1"/>
        <v>20</v>
      </c>
      <c r="B33" s="141">
        <v>8800</v>
      </c>
      <c r="C33" s="1" t="s">
        <v>285</v>
      </c>
      <c r="D33" s="174">
        <v>0</v>
      </c>
      <c r="E33" s="174">
        <v>0</v>
      </c>
      <c r="F33" s="174">
        <v>503.71000000000004</v>
      </c>
      <c r="G33" s="174">
        <v>0</v>
      </c>
      <c r="H33" s="174">
        <v>0</v>
      </c>
      <c r="I33" s="174">
        <v>0</v>
      </c>
      <c r="J33" s="113">
        <v>0</v>
      </c>
      <c r="K33" s="113">
        <v>0</v>
      </c>
      <c r="L33" s="113">
        <v>0</v>
      </c>
      <c r="M33" s="113">
        <v>0</v>
      </c>
      <c r="N33" s="113">
        <v>847.94999999999993</v>
      </c>
      <c r="O33" s="113">
        <v>87.317310778426901</v>
      </c>
      <c r="P33" s="1">
        <f t="shared" si="2"/>
        <v>1438.9773107784267</v>
      </c>
      <c r="Q33" s="1"/>
      <c r="R33" s="185"/>
    </row>
    <row r="34" spans="1:18">
      <c r="A34" s="9">
        <f t="shared" si="1"/>
        <v>21</v>
      </c>
      <c r="B34" s="141">
        <v>8810</v>
      </c>
      <c r="C34" s="1" t="s">
        <v>286</v>
      </c>
      <c r="D34" s="174">
        <v>25712.25</v>
      </c>
      <c r="E34" s="174">
        <v>27867.590000000004</v>
      </c>
      <c r="F34" s="174">
        <v>22685.14</v>
      </c>
      <c r="G34" s="174">
        <v>24792.54</v>
      </c>
      <c r="H34" s="174">
        <v>23789.679999999993</v>
      </c>
      <c r="I34" s="174">
        <v>25854.180000000008</v>
      </c>
      <c r="J34" s="113">
        <v>26199.440000000002</v>
      </c>
      <c r="K34" s="113">
        <v>26296.239999999998</v>
      </c>
      <c r="L34" s="113">
        <v>25823.759999999998</v>
      </c>
      <c r="M34" s="113">
        <v>28451.599999999999</v>
      </c>
      <c r="N34" s="113">
        <v>27072.959999999999</v>
      </c>
      <c r="O34" s="113">
        <v>29924.988362966993</v>
      </c>
      <c r="P34" s="1">
        <f t="shared" si="2"/>
        <v>314470.36836296698</v>
      </c>
      <c r="Q34" s="1"/>
      <c r="R34" s="185"/>
    </row>
    <row r="35" spans="1:18">
      <c r="A35" s="9">
        <f t="shared" si="1"/>
        <v>22</v>
      </c>
      <c r="B35" s="141">
        <v>9010</v>
      </c>
      <c r="C35" t="s">
        <v>296</v>
      </c>
      <c r="D35" s="174">
        <v>0</v>
      </c>
      <c r="E35" s="174">
        <v>0</v>
      </c>
      <c r="F35" s="174">
        <v>5000</v>
      </c>
      <c r="G35" s="174">
        <v>0</v>
      </c>
      <c r="H35" s="174">
        <v>0</v>
      </c>
      <c r="I35" s="174">
        <v>0</v>
      </c>
      <c r="J35" s="113">
        <v>0</v>
      </c>
      <c r="K35" s="113">
        <v>0</v>
      </c>
      <c r="L35" s="113">
        <v>0</v>
      </c>
      <c r="M35" s="113">
        <v>0</v>
      </c>
      <c r="N35" s="113">
        <v>0</v>
      </c>
      <c r="O35" s="113">
        <v>3439.51083849305</v>
      </c>
      <c r="P35" s="1">
        <f t="shared" si="2"/>
        <v>8439.51083849305</v>
      </c>
      <c r="Q35" s="1"/>
      <c r="R35" s="185"/>
    </row>
    <row r="36" spans="1:18">
      <c r="A36" s="9">
        <f t="shared" si="1"/>
        <v>23</v>
      </c>
      <c r="B36" s="141">
        <v>9030</v>
      </c>
      <c r="C36" s="1" t="s">
        <v>298</v>
      </c>
      <c r="D36" s="174">
        <v>261150.09999999998</v>
      </c>
      <c r="E36" s="174">
        <v>262590.69</v>
      </c>
      <c r="F36" s="174">
        <v>235445.98</v>
      </c>
      <c r="G36" s="174">
        <v>239238.05000000002</v>
      </c>
      <c r="H36" s="174">
        <v>222692.06</v>
      </c>
      <c r="I36" s="174">
        <v>220918.12</v>
      </c>
      <c r="J36" s="113">
        <v>225749.77</v>
      </c>
      <c r="K36" s="113">
        <v>229341.15</v>
      </c>
      <c r="L36" s="113">
        <v>232399.89</v>
      </c>
      <c r="M36" s="113">
        <v>223746.80999999997</v>
      </c>
      <c r="N36" s="113">
        <v>229236.99000000002</v>
      </c>
      <c r="O36" s="113">
        <v>302813.92033512215</v>
      </c>
      <c r="P36" s="1">
        <f t="shared" si="2"/>
        <v>2885323.5303351227</v>
      </c>
      <c r="Q36" s="1"/>
      <c r="R36" s="185"/>
    </row>
    <row r="37" spans="1:18">
      <c r="A37" s="9">
        <f t="shared" si="1"/>
        <v>24</v>
      </c>
      <c r="B37" s="141">
        <v>9100</v>
      </c>
      <c r="C37" s="1" t="s">
        <v>301</v>
      </c>
      <c r="D37" s="174">
        <v>80.69</v>
      </c>
      <c r="E37" s="174">
        <v>6.83</v>
      </c>
      <c r="F37" s="174">
        <v>0</v>
      </c>
      <c r="G37" s="174">
        <v>0</v>
      </c>
      <c r="H37" s="174">
        <v>61.29</v>
      </c>
      <c r="I37" s="174">
        <v>72.63</v>
      </c>
      <c r="J37" s="113">
        <v>1830.93</v>
      </c>
      <c r="K37" s="113">
        <v>16.43</v>
      </c>
      <c r="L37" s="113">
        <v>50.29</v>
      </c>
      <c r="M37" s="113">
        <v>59.59</v>
      </c>
      <c r="N37" s="113">
        <v>86.44</v>
      </c>
      <c r="O37" s="113">
        <v>152.32905601518019</v>
      </c>
      <c r="P37" s="1">
        <f t="shared" si="2"/>
        <v>2417.4490560151798</v>
      </c>
      <c r="Q37" s="1"/>
      <c r="R37" s="185"/>
    </row>
    <row r="38" spans="1:18">
      <c r="A38" s="9">
        <f t="shared" si="1"/>
        <v>25</v>
      </c>
      <c r="B38" s="141">
        <v>9110</v>
      </c>
      <c r="C38" s="1" t="s">
        <v>302</v>
      </c>
      <c r="D38" s="174">
        <v>8143.9500000000007</v>
      </c>
      <c r="E38" s="174">
        <v>11938.72</v>
      </c>
      <c r="F38" s="174">
        <v>8546.0499999999993</v>
      </c>
      <c r="G38" s="174">
        <v>15853.81</v>
      </c>
      <c r="H38" s="174">
        <v>9151.119999999999</v>
      </c>
      <c r="I38" s="174">
        <v>9859.86</v>
      </c>
      <c r="J38" s="113">
        <v>14322.850000000002</v>
      </c>
      <c r="K38" s="113">
        <v>9061.49</v>
      </c>
      <c r="L38" s="113">
        <v>8328.66</v>
      </c>
      <c r="M38" s="113">
        <v>14387.19</v>
      </c>
      <c r="N38" s="113">
        <v>7869.59</v>
      </c>
      <c r="O38" s="113">
        <v>11999.957307701816</v>
      </c>
      <c r="P38" s="1">
        <f t="shared" si="2"/>
        <v>129463.24730770182</v>
      </c>
      <c r="Q38" s="1"/>
      <c r="R38" s="185"/>
    </row>
    <row r="39" spans="1:18">
      <c r="A39" s="9">
        <f t="shared" si="1"/>
        <v>26</v>
      </c>
      <c r="B39" s="141">
        <v>9120</v>
      </c>
      <c r="C39" s="1" t="s">
        <v>303</v>
      </c>
      <c r="D39" s="174">
        <v>138.62</v>
      </c>
      <c r="E39" s="174">
        <v>0</v>
      </c>
      <c r="F39" s="174">
        <v>0</v>
      </c>
      <c r="G39" s="174">
        <v>0</v>
      </c>
      <c r="H39" s="174">
        <v>0</v>
      </c>
      <c r="I39" s="174">
        <v>0</v>
      </c>
      <c r="J39" s="113">
        <v>2720.54</v>
      </c>
      <c r="K39" s="113">
        <v>0</v>
      </c>
      <c r="L39" s="113">
        <v>0</v>
      </c>
      <c r="M39" s="113">
        <v>0</v>
      </c>
      <c r="N39" s="113">
        <v>0</v>
      </c>
      <c r="O39" s="113">
        <v>95.356998486381315</v>
      </c>
      <c r="P39" s="1">
        <f t="shared" si="2"/>
        <v>2954.516998486381</v>
      </c>
      <c r="Q39" s="1"/>
      <c r="R39" s="185"/>
    </row>
    <row r="40" spans="1:18">
      <c r="A40" s="9">
        <f t="shared" si="1"/>
        <v>27</v>
      </c>
      <c r="B40" s="141">
        <v>9130</v>
      </c>
      <c r="C40" s="1" t="s">
        <v>304</v>
      </c>
      <c r="D40" s="174">
        <v>0</v>
      </c>
      <c r="E40" s="174">
        <v>0</v>
      </c>
      <c r="F40" s="174">
        <v>2321.0499999999997</v>
      </c>
      <c r="G40" s="174">
        <v>149.52000000000001</v>
      </c>
      <c r="H40" s="174">
        <v>0</v>
      </c>
      <c r="I40" s="174">
        <v>0</v>
      </c>
      <c r="J40" s="113">
        <v>1581.39</v>
      </c>
      <c r="K40" s="113">
        <v>0</v>
      </c>
      <c r="L40" s="113">
        <v>525.04</v>
      </c>
      <c r="M40" s="113">
        <v>3414.33</v>
      </c>
      <c r="N40" s="113">
        <v>0</v>
      </c>
      <c r="O40" s="113">
        <v>1699.5104584511546</v>
      </c>
      <c r="P40" s="1">
        <f t="shared" si="2"/>
        <v>9690.8404584511554</v>
      </c>
      <c r="Q40" s="1"/>
      <c r="R40" s="185"/>
    </row>
    <row r="41" spans="1:18">
      <c r="A41" s="9">
        <f t="shared" si="1"/>
        <v>28</v>
      </c>
      <c r="B41" s="141">
        <v>9200</v>
      </c>
      <c r="C41" s="1" t="s">
        <v>305</v>
      </c>
      <c r="D41" s="174">
        <v>-4567.08</v>
      </c>
      <c r="E41" s="174">
        <v>-4656.62</v>
      </c>
      <c r="F41" s="174">
        <v>-5150.38</v>
      </c>
      <c r="G41" s="174">
        <v>-4164.2</v>
      </c>
      <c r="H41" s="174">
        <v>-4788.71</v>
      </c>
      <c r="I41" s="174">
        <v>-3965.03</v>
      </c>
      <c r="J41" s="113">
        <v>-3756.77</v>
      </c>
      <c r="K41" s="113">
        <v>-4222.3500000000004</v>
      </c>
      <c r="L41" s="113">
        <v>-3431.03</v>
      </c>
      <c r="M41" s="113">
        <v>-13269.76</v>
      </c>
      <c r="N41" s="113">
        <v>-5965.69</v>
      </c>
      <c r="O41" s="113">
        <v>201.99809256353538</v>
      </c>
      <c r="P41" s="1">
        <f t="shared" si="2"/>
        <v>-57735.621907436471</v>
      </c>
      <c r="Q41" s="1"/>
      <c r="R41" s="185"/>
    </row>
    <row r="42" spans="1:18">
      <c r="A42" s="9">
        <f t="shared" si="1"/>
        <v>29</v>
      </c>
      <c r="B42" s="141">
        <v>9210</v>
      </c>
      <c r="C42" s="1" t="s">
        <v>306</v>
      </c>
      <c r="D42" s="174">
        <v>0</v>
      </c>
      <c r="E42" s="174">
        <v>579.5200000000001</v>
      </c>
      <c r="F42" s="174">
        <v>358</v>
      </c>
      <c r="G42" s="174">
        <v>46.04</v>
      </c>
      <c r="H42" s="174">
        <v>2250</v>
      </c>
      <c r="I42" s="174">
        <v>-1.04</v>
      </c>
      <c r="J42" s="113">
        <v>68000</v>
      </c>
      <c r="K42" s="113">
        <v>122.84</v>
      </c>
      <c r="L42" s="113">
        <v>482.75</v>
      </c>
      <c r="M42" s="113">
        <v>-67733.02</v>
      </c>
      <c r="N42" s="113">
        <v>9.98</v>
      </c>
      <c r="O42" s="113">
        <v>643.74142306234444</v>
      </c>
      <c r="P42" s="1">
        <f t="shared" si="2"/>
        <v>4758.8114230623405</v>
      </c>
      <c r="Q42" s="1"/>
      <c r="R42" s="1"/>
    </row>
    <row r="43" spans="1:18">
      <c r="A43" s="9">
        <f t="shared" si="1"/>
        <v>30</v>
      </c>
      <c r="B43" s="141">
        <v>9220</v>
      </c>
      <c r="C43" s="1" t="s">
        <v>307</v>
      </c>
      <c r="D43" s="174">
        <v>-755677.71999999962</v>
      </c>
      <c r="E43" s="174">
        <v>-785580.09999999974</v>
      </c>
      <c r="F43" s="174">
        <v>-919770.84000000008</v>
      </c>
      <c r="G43" s="174">
        <v>-721489.99999999977</v>
      </c>
      <c r="H43" s="174">
        <v>-1326376.6400000004</v>
      </c>
      <c r="I43" s="174">
        <v>-697810.12999999977</v>
      </c>
      <c r="J43" s="113">
        <v>-839729.2100000002</v>
      </c>
      <c r="K43" s="113">
        <v>-658624.57000000007</v>
      </c>
      <c r="L43" s="113">
        <v>-708414.47999999975</v>
      </c>
      <c r="M43" s="113">
        <v>-651085.56999999995</v>
      </c>
      <c r="N43" s="113">
        <v>-736707.56000000029</v>
      </c>
      <c r="O43" s="113">
        <f>-(SUM(O14:O42,O44:O49))</f>
        <v>-1026475.31204</v>
      </c>
      <c r="P43" s="1">
        <f t="shared" si="2"/>
        <v>-9827742.1320399996</v>
      </c>
      <c r="Q43" s="75"/>
      <c r="R43" s="1"/>
    </row>
    <row r="44" spans="1:18">
      <c r="A44" s="9">
        <f t="shared" si="1"/>
        <v>31</v>
      </c>
      <c r="B44" s="141">
        <v>9230</v>
      </c>
      <c r="C44" s="1" t="s">
        <v>308</v>
      </c>
      <c r="D44" s="174">
        <v>22567.24</v>
      </c>
      <c r="E44" s="174">
        <v>12254.419999999998</v>
      </c>
      <c r="F44" s="174">
        <v>15853.769999999999</v>
      </c>
      <c r="G44" s="174">
        <v>9835.6299999999992</v>
      </c>
      <c r="H44" s="174">
        <v>0</v>
      </c>
      <c r="I44" s="174">
        <v>16709.309999999998</v>
      </c>
      <c r="J44" s="113">
        <v>21950.12</v>
      </c>
      <c r="K44" s="113">
        <v>15735.78</v>
      </c>
      <c r="L44" s="113">
        <v>15078.74</v>
      </c>
      <c r="M44" s="113">
        <v>12547.49</v>
      </c>
      <c r="N44" s="113">
        <v>11864.230000000001</v>
      </c>
      <c r="O44" s="113">
        <v>16284.024839064059</v>
      </c>
      <c r="P44" s="1">
        <f t="shared" si="2"/>
        <v>170680.75483906406</v>
      </c>
      <c r="Q44" s="1"/>
      <c r="R44" s="1"/>
    </row>
    <row r="45" spans="1:18">
      <c r="A45" s="9">
        <f t="shared" si="1"/>
        <v>32</v>
      </c>
      <c r="B45" s="141">
        <v>9240</v>
      </c>
      <c r="C45" s="1" t="s">
        <v>309</v>
      </c>
      <c r="D45" s="174">
        <v>-668.09000000000015</v>
      </c>
      <c r="E45" s="174">
        <v>-827.91000000000008</v>
      </c>
      <c r="F45" s="174">
        <v>-800.05</v>
      </c>
      <c r="G45" s="174">
        <v>-873.82999999999993</v>
      </c>
      <c r="H45" s="174">
        <v>-836.98</v>
      </c>
      <c r="I45" s="174">
        <v>-886.79</v>
      </c>
      <c r="J45" s="113">
        <v>-890.73</v>
      </c>
      <c r="K45" s="113">
        <v>-836.60000000000014</v>
      </c>
      <c r="L45" s="113">
        <v>-802.45</v>
      </c>
      <c r="M45" s="113">
        <v>-830.72</v>
      </c>
      <c r="N45" s="113">
        <v>-1258.72</v>
      </c>
      <c r="O45" s="113">
        <v>-7021.7424994796829</v>
      </c>
      <c r="P45" s="1">
        <f t="shared" si="2"/>
        <v>-16534.612499479681</v>
      </c>
      <c r="Q45" s="1"/>
      <c r="R45" s="1"/>
    </row>
    <row r="46" spans="1:18">
      <c r="A46" s="9">
        <f t="shared" si="1"/>
        <v>33</v>
      </c>
      <c r="B46" s="141">
        <v>9250</v>
      </c>
      <c r="C46" s="1" t="s">
        <v>310</v>
      </c>
      <c r="D46" s="174">
        <v>25270.67</v>
      </c>
      <c r="E46" s="174">
        <v>14117.62</v>
      </c>
      <c r="F46" s="174">
        <v>24049.98</v>
      </c>
      <c r="G46" s="174">
        <v>23671.69</v>
      </c>
      <c r="H46" s="174">
        <v>23973.800000000003</v>
      </c>
      <c r="I46" s="174">
        <v>72437.69</v>
      </c>
      <c r="J46" s="113">
        <v>22813.88</v>
      </c>
      <c r="K46" s="113">
        <v>21078.57</v>
      </c>
      <c r="L46" s="113">
        <v>19852.650000000001</v>
      </c>
      <c r="M46" s="113">
        <v>19638.759999999995</v>
      </c>
      <c r="N46" s="113">
        <v>55351.92</v>
      </c>
      <c r="O46" s="113">
        <v>56691.125887914241</v>
      </c>
      <c r="P46" s="1">
        <f t="shared" si="2"/>
        <v>378948.35588791419</v>
      </c>
      <c r="Q46" s="1"/>
      <c r="R46" s="1"/>
    </row>
    <row r="47" spans="1:18">
      <c r="A47" s="9">
        <f t="shared" si="1"/>
        <v>34</v>
      </c>
      <c r="B47" s="220">
        <v>9260</v>
      </c>
      <c r="C47" s="1" t="s">
        <v>311</v>
      </c>
      <c r="D47" s="174">
        <v>113470.74999999996</v>
      </c>
      <c r="E47" s="174">
        <v>149784.31999999998</v>
      </c>
      <c r="F47" s="174">
        <v>293007.1499999995</v>
      </c>
      <c r="G47" s="174">
        <v>137531.18000000014</v>
      </c>
      <c r="H47" s="174">
        <v>709528.64</v>
      </c>
      <c r="I47" s="174">
        <v>81144.219999999987</v>
      </c>
      <c r="J47" s="113">
        <v>46803.249999999956</v>
      </c>
      <c r="K47" s="113">
        <v>74091.659999999974</v>
      </c>
      <c r="L47" s="113">
        <v>146987.32999999987</v>
      </c>
      <c r="M47" s="113">
        <v>153825.91</v>
      </c>
      <c r="N47" s="113">
        <v>154788.29</v>
      </c>
      <c r="O47" s="113">
        <v>172358.82403770534</v>
      </c>
      <c r="P47" s="1">
        <f t="shared" si="2"/>
        <v>2233321.5240377048</v>
      </c>
      <c r="Q47" s="1"/>
      <c r="R47" s="1"/>
    </row>
    <row r="48" spans="1:18">
      <c r="A48" s="9">
        <f t="shared" si="1"/>
        <v>35</v>
      </c>
      <c r="B48" s="141">
        <v>9302</v>
      </c>
      <c r="C48" s="1" t="s">
        <v>314</v>
      </c>
      <c r="D48" s="174">
        <v>7323.2</v>
      </c>
      <c r="E48" s="174">
        <v>7243.6</v>
      </c>
      <c r="F48" s="174">
        <v>15963.6</v>
      </c>
      <c r="G48" s="174">
        <v>7243.6</v>
      </c>
      <c r="H48" s="174">
        <v>7243.6</v>
      </c>
      <c r="I48" s="174">
        <v>7243.6</v>
      </c>
      <c r="J48" s="113">
        <v>11643.6</v>
      </c>
      <c r="K48" s="113">
        <v>7265.55</v>
      </c>
      <c r="L48" s="113">
        <v>7265.55</v>
      </c>
      <c r="M48" s="113">
        <v>7265.55</v>
      </c>
      <c r="N48" s="113">
        <v>0</v>
      </c>
      <c r="O48" s="113">
        <v>8793.8826905976894</v>
      </c>
      <c r="P48" s="1">
        <f t="shared" si="2"/>
        <v>94495.332690597686</v>
      </c>
      <c r="Q48" s="1"/>
      <c r="R48" s="1"/>
    </row>
    <row r="49" spans="1:18">
      <c r="A49" s="9">
        <f t="shared" si="1"/>
        <v>36</v>
      </c>
      <c r="B49" s="141">
        <v>9310</v>
      </c>
      <c r="C49" s="1" t="s">
        <v>203</v>
      </c>
      <c r="D49" s="174">
        <v>12.38</v>
      </c>
      <c r="E49" s="174">
        <v>5.0599999999999996</v>
      </c>
      <c r="F49" s="174">
        <v>5.0599999999999996</v>
      </c>
      <c r="G49" s="174">
        <v>5.44</v>
      </c>
      <c r="H49" s="174">
        <v>5.44</v>
      </c>
      <c r="I49" s="174">
        <v>5.0999999999999996</v>
      </c>
      <c r="J49" s="113">
        <v>5.28</v>
      </c>
      <c r="K49" s="113">
        <v>0</v>
      </c>
      <c r="L49" s="113">
        <v>0</v>
      </c>
      <c r="M49" s="113">
        <v>0</v>
      </c>
      <c r="N49" s="113">
        <v>0</v>
      </c>
      <c r="O49" s="113">
        <v>7.6410285838588194</v>
      </c>
      <c r="P49" s="1">
        <f t="shared" si="2"/>
        <v>51.401028583858825</v>
      </c>
      <c r="Q49" s="1"/>
      <c r="R49" s="1"/>
    </row>
    <row r="50" spans="1:18">
      <c r="A50" s="9">
        <f t="shared" si="1"/>
        <v>37</v>
      </c>
      <c r="B50" s="1"/>
      <c r="C50" s="204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7"/>
      <c r="P50" s="1"/>
      <c r="Q50" s="1"/>
      <c r="R50" s="1"/>
    </row>
    <row r="51" spans="1:18" ht="15.75" thickBot="1">
      <c r="A51" s="9">
        <f t="shared" si="1"/>
        <v>38</v>
      </c>
      <c r="B51" s="1" t="s">
        <v>316</v>
      </c>
      <c r="C51" s="204"/>
      <c r="D51" s="214">
        <f t="shared" ref="D51:O51" si="3">SUM(D14:D50)</f>
        <v>3.9097436399515573E-10</v>
      </c>
      <c r="E51" s="214">
        <f t="shared" si="3"/>
        <v>2.0000000219224212E-2</v>
      </c>
      <c r="F51" s="214">
        <f t="shared" si="3"/>
        <v>-2.0000000749351265E-2</v>
      </c>
      <c r="G51" s="214">
        <f t="shared" si="3"/>
        <v>4.2877257300233396E-10</v>
      </c>
      <c r="H51" s="214">
        <f t="shared" si="3"/>
        <v>1.9999999981737737E-2</v>
      </c>
      <c r="I51" s="214">
        <f t="shared" si="3"/>
        <v>3.8162362159255281E-10</v>
      </c>
      <c r="J51" s="214">
        <f t="shared" si="3"/>
        <v>-9.9999999553981311E-3</v>
      </c>
      <c r="K51" s="214">
        <f t="shared" si="3"/>
        <v>-1.0000000113905116E-2</v>
      </c>
      <c r="L51" s="214">
        <f t="shared" si="3"/>
        <v>-9.9999999392821337E-3</v>
      </c>
      <c r="M51" s="214">
        <f t="shared" si="3"/>
        <v>9.9999999920328264E-3</v>
      </c>
      <c r="N51" s="214">
        <f t="shared" si="3"/>
        <v>-1.4551915228366852E-10</v>
      </c>
      <c r="O51" s="214">
        <f t="shared" si="3"/>
        <v>8.6899376583460253E-12</v>
      </c>
      <c r="P51" s="191">
        <f>SUM(P14:P50)</f>
        <v>1.2071907917743374E-9</v>
      </c>
      <c r="Q51" s="1"/>
      <c r="R51" s="1"/>
    </row>
    <row r="52" spans="1:18" ht="15.75" thickTop="1">
      <c r="A52" s="9">
        <f t="shared" si="1"/>
        <v>39</v>
      </c>
      <c r="B52" s="1"/>
      <c r="C52" s="204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"/>
      <c r="Q52" s="1"/>
      <c r="R52" s="1"/>
    </row>
    <row r="53" spans="1:18">
      <c r="A53" s="9">
        <f t="shared" si="1"/>
        <v>40</v>
      </c>
      <c r="B53" s="141">
        <f>B43</f>
        <v>9220</v>
      </c>
      <c r="C53" s="38" t="str">
        <f>C43</f>
        <v>A&amp;G-Administrative expense transferred-Credit</v>
      </c>
      <c r="D53" s="205">
        <f t="shared" ref="D53:L53" si="4">-(D51-D43)</f>
        <v>-755677.72</v>
      </c>
      <c r="E53" s="205">
        <f t="shared" si="4"/>
        <v>-785580.12</v>
      </c>
      <c r="F53" s="205">
        <f t="shared" si="4"/>
        <v>-919770.81999999937</v>
      </c>
      <c r="G53" s="205">
        <f t="shared" si="4"/>
        <v>-721490.00000000023</v>
      </c>
      <c r="H53" s="205">
        <f t="shared" si="4"/>
        <v>-1326376.6600000004</v>
      </c>
      <c r="I53" s="205">
        <f t="shared" si="4"/>
        <v>-697810.13000000012</v>
      </c>
      <c r="J53" s="205">
        <f t="shared" si="4"/>
        <v>-839729.20000000019</v>
      </c>
      <c r="K53" s="205">
        <f t="shared" si="4"/>
        <v>-658624.55999999994</v>
      </c>
      <c r="L53" s="205">
        <f t="shared" si="4"/>
        <v>-708414.46999999986</v>
      </c>
      <c r="M53" s="33">
        <f>M43</f>
        <v>-651085.56999999995</v>
      </c>
      <c r="N53" s="33">
        <f>N43</f>
        <v>-736707.56000000029</v>
      </c>
      <c r="O53" s="33">
        <f>O43</f>
        <v>-1026475.31204</v>
      </c>
      <c r="P53" s="1">
        <f t="shared" ref="P53" si="5">SUM(D53:O53)</f>
        <v>-9827742.122039998</v>
      </c>
      <c r="Q53" s="1"/>
      <c r="R53" s="1"/>
    </row>
    <row r="54" spans="1:18">
      <c r="A54" s="9">
        <f t="shared" si="1"/>
        <v>41</v>
      </c>
      <c r="B54" s="1"/>
      <c r="C54" s="206" t="s">
        <v>324</v>
      </c>
      <c r="D54" s="207">
        <f>D55/D53</f>
        <v>0.49099999931187599</v>
      </c>
      <c r="E54" s="207">
        <f t="shared" ref="E54:N54" si="6">E55/E53</f>
        <v>0.4909999886453339</v>
      </c>
      <c r="F54" s="207">
        <f t="shared" si="6"/>
        <v>0.49099999715146464</v>
      </c>
      <c r="G54" s="207">
        <f t="shared" si="6"/>
        <v>0.49099999999999988</v>
      </c>
      <c r="H54" s="207">
        <f t="shared" si="6"/>
        <v>0.49099999995476379</v>
      </c>
      <c r="I54" s="207">
        <f t="shared" si="6"/>
        <v>0.49100000884194667</v>
      </c>
      <c r="J54" s="207">
        <f t="shared" si="6"/>
        <v>0.49100000333440813</v>
      </c>
      <c r="K54" s="207">
        <f t="shared" si="6"/>
        <v>0.52220000723932924</v>
      </c>
      <c r="L54" s="207">
        <f t="shared" si="6"/>
        <v>0.522200005316097</v>
      </c>
      <c r="M54" s="207">
        <f t="shared" si="6"/>
        <v>0.5222000082109024</v>
      </c>
      <c r="N54" s="207">
        <f t="shared" si="6"/>
        <v>0.52220000294282287</v>
      </c>
      <c r="O54" s="207">
        <v>0.49090457251500325</v>
      </c>
      <c r="P54" s="207">
        <f t="shared" ref="P54" si="7">P55/P53</f>
        <v>0.49973576262649644</v>
      </c>
      <c r="Q54" s="1"/>
      <c r="R54" s="1"/>
    </row>
    <row r="55" spans="1:18">
      <c r="A55" s="9">
        <f t="shared" si="1"/>
        <v>42</v>
      </c>
      <c r="B55" s="1"/>
      <c r="C55" s="17" t="s">
        <v>325</v>
      </c>
      <c r="D55" s="17">
        <v>-371037.76</v>
      </c>
      <c r="E55" s="17">
        <v>-385719.83</v>
      </c>
      <c r="F55" s="17">
        <v>-451607.47</v>
      </c>
      <c r="G55" s="17">
        <v>-354251.59</v>
      </c>
      <c r="H55" s="17">
        <v>-651250.93999999994</v>
      </c>
      <c r="I55" s="17">
        <v>-342624.78</v>
      </c>
      <c r="J55" s="17">
        <v>-412307.04</v>
      </c>
      <c r="K55" s="17">
        <v>-343933.75</v>
      </c>
      <c r="L55" s="17">
        <v>-369934.04</v>
      </c>
      <c r="M55" s="17">
        <v>-339996.89</v>
      </c>
      <c r="N55" s="17">
        <v>-384708.69</v>
      </c>
      <c r="O55" s="17">
        <f t="shared" ref="O55" si="8">O53*O54</f>
        <v>-503901.42425420077</v>
      </c>
      <c r="P55" s="1">
        <f>SUM(D55:O55)</f>
        <v>-4911274.2042542007</v>
      </c>
      <c r="Q55" s="1"/>
      <c r="R55" s="1"/>
    </row>
    <row r="56" spans="1:18">
      <c r="A56" s="1"/>
      <c r="B56" s="1"/>
      <c r="C56" s="204"/>
      <c r="D56" s="221"/>
      <c r="E56" s="221"/>
      <c r="F56" s="221"/>
      <c r="G56" s="221"/>
      <c r="H56" s="221"/>
      <c r="I56" s="221"/>
      <c r="J56" s="208"/>
      <c r="K56" s="96"/>
      <c r="L56" s="96"/>
      <c r="M56" s="96"/>
      <c r="N56" s="208"/>
      <c r="O56" s="96"/>
      <c r="P56" s="96"/>
      <c r="Q56" s="1"/>
      <c r="R56" s="1"/>
    </row>
    <row r="57" spans="1:18">
      <c r="A57" s="1"/>
      <c r="B57" s="1"/>
      <c r="C57" s="204"/>
      <c r="D57" s="1"/>
      <c r="E57" s="1"/>
      <c r="F57" s="1"/>
      <c r="G57" s="1"/>
      <c r="H57" s="1"/>
      <c r="I57" s="1"/>
      <c r="J57" s="1"/>
      <c r="K57" s="1"/>
      <c r="L57" s="1"/>
      <c r="M57" s="1"/>
      <c r="N57" s="208"/>
      <c r="O57" s="96"/>
      <c r="P57" s="1"/>
      <c r="Q57" s="1"/>
      <c r="R57" s="1"/>
    </row>
    <row r="58" spans="1:18">
      <c r="A58" s="1"/>
      <c r="B58" s="1" t="s">
        <v>326</v>
      </c>
      <c r="C58" s="204"/>
      <c r="D58" s="1"/>
      <c r="E58" s="1"/>
      <c r="F58" s="1"/>
      <c r="G58" s="1"/>
      <c r="H58" s="1"/>
      <c r="I58" s="1"/>
      <c r="J58" s="1"/>
      <c r="K58" s="1"/>
      <c r="L58" s="1"/>
      <c r="M58" s="1"/>
      <c r="N58" s="208"/>
      <c r="O58" s="96"/>
      <c r="P58" s="1"/>
      <c r="Q58" s="1"/>
      <c r="R58" s="1"/>
    </row>
    <row r="59" spans="1:18">
      <c r="A59" s="1"/>
      <c r="B59" s="1"/>
      <c r="C59" s="204"/>
      <c r="D59" s="1"/>
      <c r="E59" s="1"/>
      <c r="F59" s="1"/>
      <c r="G59" s="1"/>
      <c r="H59" s="1"/>
      <c r="I59" s="1"/>
      <c r="J59" s="1"/>
      <c r="K59" s="1"/>
      <c r="L59" s="1"/>
      <c r="M59" s="1"/>
      <c r="N59" s="208"/>
      <c r="O59" s="96"/>
      <c r="P59" s="1"/>
      <c r="Q59" s="1"/>
      <c r="R59" s="1"/>
    </row>
    <row r="60" spans="1:18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208"/>
      <c r="O60" s="96"/>
      <c r="P60" s="1"/>
      <c r="Q60" s="1"/>
      <c r="R60" s="1"/>
    </row>
    <row r="61" spans="1:18">
      <c r="A61" s="1"/>
      <c r="B61" s="1" t="s">
        <v>319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208"/>
      <c r="O61" s="96"/>
      <c r="P61" s="1"/>
      <c r="Q61" s="1"/>
      <c r="R61" s="1"/>
    </row>
    <row r="62" spans="1:18">
      <c r="A62" s="1"/>
      <c r="B62" s="1" t="s">
        <v>334</v>
      </c>
      <c r="C62" s="17"/>
      <c r="D62" s="1"/>
      <c r="E62" s="1"/>
      <c r="F62" s="1"/>
      <c r="G62" s="1"/>
      <c r="H62" s="1"/>
      <c r="I62" s="1"/>
      <c r="J62" s="1"/>
      <c r="K62" s="1"/>
      <c r="L62" s="1"/>
      <c r="M62" s="1"/>
      <c r="N62" s="208"/>
      <c r="O62" s="96"/>
      <c r="P62" s="1"/>
      <c r="Q62" s="209"/>
      <c r="R62" s="1"/>
    </row>
    <row r="63" spans="1:18">
      <c r="A63" s="1"/>
      <c r="B63" s="1" t="s">
        <v>330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208"/>
      <c r="O63" s="96"/>
      <c r="P63" s="1"/>
      <c r="Q63" s="1"/>
      <c r="R63" s="1"/>
    </row>
    <row r="64" spans="1:18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208"/>
      <c r="O64" s="96"/>
      <c r="P64" s="1"/>
      <c r="Q64" s="1"/>
      <c r="R64" s="1"/>
    </row>
    <row r="65" spans="1:18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208"/>
      <c r="O65" s="96"/>
      <c r="P65" s="1"/>
      <c r="Q65" s="1"/>
      <c r="R65" s="1"/>
    </row>
    <row r="66" spans="1:18">
      <c r="A66" s="1"/>
      <c r="B66" s="1"/>
      <c r="C66" s="75"/>
      <c r="D66" s="1"/>
      <c r="E66" s="1"/>
      <c r="F66" s="1"/>
      <c r="G66" s="1"/>
      <c r="H66" s="1"/>
      <c r="I66" s="1"/>
      <c r="J66" s="1"/>
      <c r="K66" s="1"/>
      <c r="L66" s="1"/>
      <c r="M66" s="1"/>
      <c r="N66" s="208"/>
      <c r="O66" s="96"/>
      <c r="P66" s="1"/>
      <c r="Q66" s="75"/>
      <c r="R66" s="1"/>
    </row>
    <row r="67" spans="1:18">
      <c r="A67" s="1"/>
      <c r="B67" s="1"/>
      <c r="C67" s="1"/>
      <c r="D67" s="1"/>
      <c r="E67" s="17"/>
      <c r="F67" s="17"/>
      <c r="G67" s="17"/>
      <c r="H67" s="17"/>
      <c r="I67" s="17"/>
      <c r="J67" s="17"/>
      <c r="K67" s="17"/>
      <c r="L67" s="1"/>
      <c r="M67" s="1"/>
      <c r="N67" s="17"/>
      <c r="O67" s="4"/>
      <c r="P67" s="17"/>
      <c r="Q67" s="1"/>
      <c r="R67" s="1"/>
    </row>
    <row r="68" spans="1:18">
      <c r="A68" s="1"/>
      <c r="B68" s="1"/>
      <c r="C68" s="1"/>
      <c r="D68" s="1"/>
      <c r="E68" s="1"/>
      <c r="F68" s="1"/>
      <c r="G68" s="1"/>
      <c r="H68" s="1"/>
      <c r="I68" s="17"/>
      <c r="J68" s="17"/>
      <c r="K68" s="17"/>
      <c r="L68" s="1"/>
      <c r="M68" s="1"/>
      <c r="N68" s="17"/>
      <c r="O68" s="155"/>
      <c r="P68" s="17"/>
      <c r="Q68" s="1"/>
      <c r="R68" s="1"/>
    </row>
    <row r="69" spans="1:18">
      <c r="A69" s="1"/>
      <c r="B69" s="1"/>
      <c r="C69" s="1"/>
      <c r="D69" s="1"/>
      <c r="E69" s="1"/>
      <c r="F69" s="1"/>
      <c r="G69" s="1"/>
      <c r="H69" s="1"/>
      <c r="I69" s="17"/>
      <c r="J69" s="17"/>
      <c r="K69" s="17"/>
      <c r="L69" s="1"/>
      <c r="M69" s="1"/>
      <c r="N69" s="17"/>
      <c r="O69" s="155"/>
      <c r="P69" s="17"/>
      <c r="Q69" s="1"/>
      <c r="R69" s="1"/>
    </row>
    <row r="70" spans="1:18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7"/>
      <c r="O70" s="1"/>
      <c r="P70" s="1"/>
      <c r="Q70" s="1"/>
      <c r="R70" s="1"/>
    </row>
    <row r="71" spans="1:18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7"/>
      <c r="O71" s="1"/>
      <c r="P71" s="1"/>
      <c r="Q71" s="1"/>
      <c r="R71" s="1"/>
    </row>
    <row r="73" spans="1:18">
      <c r="C73" s="75"/>
    </row>
  </sheetData>
  <mergeCells count="4">
    <mergeCell ref="A1:P1"/>
    <mergeCell ref="A2:P2"/>
    <mergeCell ref="A3:P3"/>
    <mergeCell ref="A4:P4"/>
  </mergeCells>
  <printOptions horizontalCentered="1"/>
  <pageMargins left="0.5" right="0.5" top="0.75" bottom="0.59" header="0.5" footer="0.25"/>
  <pageSetup scale="49" fitToHeight="2" orientation="landscape" verticalDpi="300" r:id="rId1"/>
  <headerFooter alignWithMargins="0">
    <oddHeader>&amp;RCASE NO. 2015-00343
ATTACHMENT 1
TO STAFF DR NO. 1-45
(SUPPLEMENT 02-18-16)</oddHeader>
    <oddFooter>&amp;RSchedule &amp;A
Page &amp;P of &amp;N</oddFooter>
  </headerFooter>
  <rowBreaks count="1" manualBreakCount="1">
    <brk id="59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3"/>
  <sheetViews>
    <sheetView view="pageBreakPreview" zoomScale="60" zoomScaleNormal="90" workbookViewId="0">
      <selection sqref="A1:H1"/>
    </sheetView>
  </sheetViews>
  <sheetFormatPr defaultColWidth="13.88671875" defaultRowHeight="15"/>
  <cols>
    <col min="1" max="1" width="3.6640625" style="222" customWidth="1"/>
    <col min="2" max="2" width="16.21875" style="222" customWidth="1"/>
    <col min="3" max="3" width="11" style="222" customWidth="1"/>
    <col min="4" max="4" width="12.33203125" style="222" customWidth="1"/>
    <col min="5" max="5" width="14.44140625" style="222" customWidth="1"/>
    <col min="6" max="6" width="12.5546875" style="222" customWidth="1"/>
    <col min="7" max="7" width="14.77734375" style="222" customWidth="1"/>
    <col min="8" max="8" width="8.6640625" style="222" customWidth="1"/>
    <col min="9" max="9" width="13.88671875" style="222" customWidth="1"/>
    <col min="10" max="10" width="15.109375" style="222" customWidth="1"/>
    <col min="11" max="16384" width="13.88671875" style="222"/>
  </cols>
  <sheetData>
    <row r="1" spans="1:16">
      <c r="A1" s="260" t="s">
        <v>0</v>
      </c>
      <c r="B1" s="260"/>
      <c r="C1" s="260"/>
      <c r="D1" s="260"/>
      <c r="E1" s="260"/>
      <c r="F1" s="260"/>
      <c r="G1" s="260"/>
      <c r="H1" s="260"/>
      <c r="I1" s="197"/>
      <c r="M1" s="223"/>
      <c r="O1" s="223"/>
      <c r="P1" s="223"/>
    </row>
    <row r="2" spans="1:16">
      <c r="A2" s="260" t="s">
        <v>1</v>
      </c>
      <c r="B2" s="260"/>
      <c r="C2" s="260"/>
      <c r="D2" s="260"/>
      <c r="E2" s="260"/>
      <c r="F2" s="260"/>
      <c r="G2" s="260"/>
      <c r="H2" s="260"/>
      <c r="I2" s="197"/>
      <c r="P2" s="223"/>
    </row>
    <row r="3" spans="1:16">
      <c r="A3" s="260" t="s">
        <v>335</v>
      </c>
      <c r="B3" s="260"/>
      <c r="C3" s="260"/>
      <c r="D3" s="260"/>
      <c r="E3" s="260"/>
      <c r="F3" s="260"/>
      <c r="G3" s="260"/>
      <c r="H3" s="260"/>
      <c r="I3" s="197"/>
    </row>
    <row r="4" spans="1:16">
      <c r="A4" s="260" t="s">
        <v>32</v>
      </c>
      <c r="B4" s="260"/>
      <c r="C4" s="260"/>
      <c r="D4" s="260"/>
      <c r="E4" s="260"/>
      <c r="F4" s="260"/>
      <c r="G4" s="260"/>
      <c r="H4" s="260"/>
      <c r="I4" s="197"/>
      <c r="M4" s="223"/>
      <c r="O4" s="223"/>
      <c r="P4" s="223"/>
    </row>
    <row r="5" spans="1:16">
      <c r="A5" s="260" t="s">
        <v>3</v>
      </c>
      <c r="B5" s="260"/>
      <c r="C5" s="260"/>
      <c r="D5" s="260"/>
      <c r="E5" s="260"/>
      <c r="F5" s="260"/>
      <c r="G5" s="260"/>
      <c r="H5" s="260"/>
      <c r="I5" s="197"/>
      <c r="M5" s="223"/>
      <c r="O5" s="223"/>
      <c r="P5" s="223"/>
    </row>
    <row r="6" spans="1:16">
      <c r="A6" s="3"/>
      <c r="B6" s="224"/>
      <c r="C6" s="224"/>
      <c r="D6" s="225"/>
      <c r="P6" s="223"/>
    </row>
    <row r="7" spans="1:16">
      <c r="B7" s="225"/>
      <c r="C7" s="225"/>
      <c r="D7" s="225"/>
      <c r="H7" s="4" t="s">
        <v>336</v>
      </c>
      <c r="I7" s="3"/>
    </row>
    <row r="8" spans="1:16">
      <c r="A8" s="3" t="s">
        <v>6</v>
      </c>
      <c r="B8" s="225"/>
      <c r="C8" s="225"/>
      <c r="D8" s="225"/>
      <c r="H8" s="5" t="s">
        <v>337</v>
      </c>
      <c r="I8" s="3"/>
      <c r="M8" s="223"/>
      <c r="O8" s="223"/>
      <c r="P8" s="223"/>
    </row>
    <row r="9" spans="1:16">
      <c r="A9" s="53" t="s">
        <v>8</v>
      </c>
      <c r="B9" s="226"/>
      <c r="C9" s="226"/>
      <c r="D9" s="226"/>
      <c r="E9" s="227"/>
      <c r="F9" s="227"/>
      <c r="G9" s="227"/>
      <c r="H9" s="8" t="s">
        <v>338</v>
      </c>
      <c r="I9" s="225"/>
      <c r="M9" s="223"/>
      <c r="P9" s="223"/>
    </row>
    <row r="10" spans="1:16">
      <c r="E10" s="225"/>
      <c r="F10" s="224"/>
      <c r="G10" s="225"/>
      <c r="H10" s="224"/>
      <c r="I10" s="225"/>
    </row>
    <row r="11" spans="1:16">
      <c r="A11" s="223" t="s">
        <v>12</v>
      </c>
      <c r="E11" s="228" t="s">
        <v>339</v>
      </c>
      <c r="F11" s="10"/>
      <c r="G11" s="9" t="s">
        <v>340</v>
      </c>
      <c r="H11" s="9" t="s">
        <v>341</v>
      </c>
      <c r="I11" s="170"/>
    </row>
    <row r="12" spans="1:16">
      <c r="A12" s="229" t="s">
        <v>15</v>
      </c>
      <c r="B12" s="229" t="s">
        <v>16</v>
      </c>
      <c r="C12" s="226"/>
      <c r="D12" s="226"/>
      <c r="E12" s="12" t="s">
        <v>72</v>
      </c>
      <c r="F12" s="12" t="s">
        <v>47</v>
      </c>
      <c r="G12" s="12" t="s">
        <v>342</v>
      </c>
      <c r="H12" s="12" t="s">
        <v>48</v>
      </c>
      <c r="I12" s="228"/>
    </row>
    <row r="13" spans="1:16">
      <c r="E13" s="10" t="s">
        <v>76</v>
      </c>
      <c r="F13" s="10" t="s">
        <v>343</v>
      </c>
      <c r="G13" s="10" t="s">
        <v>344</v>
      </c>
      <c r="H13" s="10"/>
      <c r="I13" s="228"/>
    </row>
    <row r="14" spans="1:16">
      <c r="E14" s="10"/>
      <c r="F14" s="10"/>
      <c r="G14" s="10"/>
      <c r="H14" s="10"/>
      <c r="I14" s="228"/>
    </row>
    <row r="15" spans="1:16">
      <c r="A15" s="9">
        <v>1</v>
      </c>
      <c r="B15" s="222" t="s">
        <v>345</v>
      </c>
      <c r="E15" s="230">
        <f>+C.2!D14-SUM(C.2!D17:D27)</f>
        <v>29789732.580133319</v>
      </c>
      <c r="F15" s="230">
        <f>+G15-E15</f>
        <v>6617471.3394248486</v>
      </c>
      <c r="G15" s="230">
        <f>C.2!O14-SUM(C.2!O17:O27)</f>
        <v>36407203.919558167</v>
      </c>
      <c r="H15" s="10" t="s">
        <v>346</v>
      </c>
      <c r="I15" s="228"/>
    </row>
    <row r="16" spans="1:16">
      <c r="A16" s="9"/>
      <c r="E16" s="231"/>
      <c r="F16" s="231"/>
      <c r="G16" s="231"/>
      <c r="H16" s="10"/>
      <c r="I16" s="10"/>
    </row>
    <row r="17" spans="1:34">
      <c r="A17" s="9">
        <v>2</v>
      </c>
      <c r="B17" s="222" t="s">
        <v>347</v>
      </c>
      <c r="E17" s="232">
        <f>+E32</f>
        <v>7229770.0861559128</v>
      </c>
      <c r="F17" s="232">
        <f>+G17-E17</f>
        <v>527963.88604324218</v>
      </c>
      <c r="G17" s="232">
        <f>+G32</f>
        <v>7757733.972199155</v>
      </c>
      <c r="H17" s="10" t="s">
        <v>56</v>
      </c>
      <c r="I17" s="10"/>
    </row>
    <row r="18" spans="1:34">
      <c r="A18" s="9"/>
      <c r="E18" s="231"/>
      <c r="F18" s="231"/>
      <c r="G18" s="231"/>
      <c r="H18" s="10"/>
      <c r="I18" s="10"/>
    </row>
    <row r="19" spans="1:34">
      <c r="A19" s="9">
        <v>3</v>
      </c>
      <c r="B19" s="222" t="s">
        <v>348</v>
      </c>
      <c r="E19" s="230">
        <f>+E15-E17</f>
        <v>22559962.493977405</v>
      </c>
      <c r="F19" s="230">
        <f>+F15-F17</f>
        <v>6089507.4533816064</v>
      </c>
      <c r="G19" s="230">
        <f>+G15-G17</f>
        <v>28649469.947359011</v>
      </c>
      <c r="H19" s="10"/>
      <c r="I19" s="10"/>
    </row>
    <row r="20" spans="1:34">
      <c r="A20" s="9"/>
      <c r="E20" s="231"/>
      <c r="F20" s="231"/>
      <c r="G20" s="231"/>
      <c r="H20" s="10"/>
      <c r="I20" s="10"/>
    </row>
    <row r="21" spans="1:34">
      <c r="A21" s="9">
        <v>4</v>
      </c>
      <c r="B21" s="222" t="s">
        <v>349</v>
      </c>
      <c r="E21" s="233">
        <f>0.06+0.35*(1-0.06)</f>
        <v>0.38899999999999996</v>
      </c>
      <c r="F21" s="233"/>
      <c r="G21" s="233">
        <v>0.38900000000000001</v>
      </c>
      <c r="H21" s="10" t="s">
        <v>350</v>
      </c>
      <c r="I21" s="10"/>
    </row>
    <row r="22" spans="1:34">
      <c r="A22" s="9"/>
      <c r="E22" s="231"/>
      <c r="F22" s="231"/>
      <c r="G22" s="231"/>
      <c r="H22" s="10"/>
      <c r="I22" s="10"/>
    </row>
    <row r="23" spans="1:34" ht="16.5" thickBot="1">
      <c r="A23" s="9">
        <v>5</v>
      </c>
      <c r="B23" s="234" t="s">
        <v>351</v>
      </c>
      <c r="E23" s="235">
        <f>+E19*E21</f>
        <v>8775825.4101572093</v>
      </c>
      <c r="F23" s="235">
        <f>+G23-E23</f>
        <v>2368818.3993654456</v>
      </c>
      <c r="G23" s="236">
        <f>+G19*G21</f>
        <v>11144643.809522655</v>
      </c>
      <c r="H23" s="10"/>
      <c r="I23" s="10"/>
    </row>
    <row r="24" spans="1:34" ht="16.5" thickTop="1">
      <c r="A24" s="9"/>
      <c r="B24" s="234"/>
      <c r="E24" s="237"/>
      <c r="F24" s="231"/>
      <c r="G24" s="238"/>
      <c r="H24" s="10"/>
      <c r="I24" s="10"/>
    </row>
    <row r="25" spans="1:34" ht="15.75">
      <c r="A25" s="9"/>
      <c r="B25" s="234"/>
      <c r="E25" s="237"/>
      <c r="F25" s="231"/>
      <c r="G25" s="238"/>
      <c r="H25" s="10"/>
      <c r="I25" s="10"/>
    </row>
    <row r="26" spans="1:34">
      <c r="A26" s="9"/>
      <c r="E26" s="231"/>
      <c r="F26" s="231"/>
      <c r="G26" s="231"/>
      <c r="H26" s="10"/>
      <c r="I26" s="10"/>
    </row>
    <row r="27" spans="1:34">
      <c r="A27" s="9"/>
      <c r="B27" s="239" t="s">
        <v>352</v>
      </c>
      <c r="E27" s="231"/>
      <c r="F27" s="231"/>
      <c r="G27" s="231"/>
      <c r="H27" s="10"/>
      <c r="I27" s="10"/>
    </row>
    <row r="28" spans="1:34" s="1" customFormat="1">
      <c r="A28" s="9">
        <v>6</v>
      </c>
      <c r="B28" s="240" t="s">
        <v>353</v>
      </c>
      <c r="E28" s="241">
        <v>296786302.03144002</v>
      </c>
      <c r="F28" s="242"/>
      <c r="G28" s="243">
        <v>335832639.48914093</v>
      </c>
      <c r="H28" s="9" t="s">
        <v>354</v>
      </c>
      <c r="J28" s="222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</row>
    <row r="29" spans="1:34" s="1" customFormat="1">
      <c r="A29" s="9"/>
      <c r="J29" s="222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</row>
    <row r="30" spans="1:34" s="1" customFormat="1">
      <c r="A30" s="9">
        <v>7</v>
      </c>
      <c r="B30" s="240" t="s">
        <v>355</v>
      </c>
      <c r="E30" s="244">
        <v>2.4360187908504038E-2</v>
      </c>
      <c r="G30" s="244">
        <v>2.3099999999999999E-2</v>
      </c>
      <c r="H30" s="9" t="s">
        <v>356</v>
      </c>
      <c r="I30" s="245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</row>
    <row r="31" spans="1:34" s="1" customFormat="1">
      <c r="A31" s="9"/>
      <c r="I31" s="75"/>
      <c r="J31" s="222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</row>
    <row r="32" spans="1:34" s="1" customFormat="1" ht="15.75" thickBot="1">
      <c r="A32" s="9">
        <v>8</v>
      </c>
      <c r="B32" s="246" t="s">
        <v>357</v>
      </c>
      <c r="E32" s="247">
        <v>7229770.0861559128</v>
      </c>
      <c r="G32" s="247">
        <v>7757733.972199155</v>
      </c>
      <c r="J32" s="222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</row>
    <row r="33" spans="1:34" s="1" customFormat="1" ht="15.75" thickTop="1">
      <c r="A33" s="9"/>
      <c r="J33" s="222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</row>
    <row r="34" spans="1:34" s="1" customFormat="1">
      <c r="A34" s="9"/>
      <c r="B34" s="17"/>
      <c r="C34" s="17"/>
      <c r="D34" s="17"/>
      <c r="E34" s="17"/>
      <c r="F34" s="17"/>
      <c r="J34" s="222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</row>
    <row r="35" spans="1:34" s="1" customFormat="1">
      <c r="A35" s="9">
        <v>9</v>
      </c>
      <c r="B35" s="248" t="s">
        <v>358</v>
      </c>
      <c r="C35" s="17"/>
      <c r="D35" s="17"/>
      <c r="E35" s="17"/>
      <c r="F35" s="17"/>
      <c r="I35" s="249"/>
      <c r="J35" s="245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</row>
    <row r="36" spans="1:34">
      <c r="A36" s="9">
        <v>10</v>
      </c>
      <c r="B36" s="250" t="s">
        <v>359</v>
      </c>
      <c r="C36" s="251"/>
      <c r="D36" s="251"/>
      <c r="E36" s="252">
        <v>0.06</v>
      </c>
      <c r="F36" s="251"/>
      <c r="I36" s="249"/>
      <c r="J36" s="245"/>
    </row>
    <row r="37" spans="1:34">
      <c r="A37" s="9">
        <v>11</v>
      </c>
      <c r="B37" s="250" t="s">
        <v>360</v>
      </c>
      <c r="C37" s="251"/>
      <c r="D37" s="251"/>
      <c r="E37" s="252">
        <v>0.35</v>
      </c>
      <c r="F37" s="251"/>
      <c r="I37" s="249"/>
      <c r="J37" s="245"/>
    </row>
    <row r="38" spans="1:34">
      <c r="B38" s="251"/>
      <c r="C38" s="251"/>
      <c r="D38" s="251"/>
      <c r="E38" s="252"/>
      <c r="F38" s="251"/>
      <c r="I38" s="245"/>
      <c r="J38" s="245"/>
    </row>
    <row r="39" spans="1:34">
      <c r="E39" s="253"/>
    </row>
    <row r="40" spans="1:34">
      <c r="E40" s="253"/>
    </row>
    <row r="41" spans="1:34">
      <c r="G41" s="254"/>
    </row>
    <row r="43" spans="1:34">
      <c r="E43" s="253"/>
    </row>
  </sheetData>
  <mergeCells count="5">
    <mergeCell ref="A1:H1"/>
    <mergeCell ref="A2:H2"/>
    <mergeCell ref="A3:H3"/>
    <mergeCell ref="A4:H4"/>
    <mergeCell ref="A5:H5"/>
  </mergeCells>
  <pageMargins left="1.05" right="0.5" top="0.95" bottom="0.5" header="0.25" footer="0.5"/>
  <pageSetup scale="79" orientation="portrait" verticalDpi="300" r:id="rId1"/>
  <headerFooter alignWithMargins="0">
    <oddHeader>&amp;R&amp;10CASE NO. 2015-00343
ATTACHMENT 1
TO STAFF DR NO. 1-45
(SUPPLEMENT 02-18-16)</oddHeader>
    <oddFooter>&amp;RSchedule &amp;A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13</vt:i4>
      </vt:variant>
    </vt:vector>
  </HeadingPairs>
  <TitlesOfParts>
    <vt:vector size="21" baseType="lpstr">
      <vt:lpstr>C.1</vt:lpstr>
      <vt:lpstr>C.2</vt:lpstr>
      <vt:lpstr>C.2.1 B</vt:lpstr>
      <vt:lpstr>C.2.2 B 09</vt:lpstr>
      <vt:lpstr>C.2.2 B 02</vt:lpstr>
      <vt:lpstr>C.2.2 B 12</vt:lpstr>
      <vt:lpstr>C.2.2 B 91</vt:lpstr>
      <vt:lpstr>E</vt:lpstr>
      <vt:lpstr>C.1!Print_Area</vt:lpstr>
      <vt:lpstr>C.2!Print_Area</vt:lpstr>
      <vt:lpstr>'C.2.1 B'!Print_Area</vt:lpstr>
      <vt:lpstr>'C.2.2 B 02'!Print_Area</vt:lpstr>
      <vt:lpstr>'C.2.2 B 09'!Print_Area</vt:lpstr>
      <vt:lpstr>'C.2.2 B 12'!Print_Area</vt:lpstr>
      <vt:lpstr>'C.2.2 B 91'!Print_Area</vt:lpstr>
      <vt:lpstr>E!Print_Area</vt:lpstr>
      <vt:lpstr>'C.2.1 B'!Print_Titles</vt:lpstr>
      <vt:lpstr>'C.2.2 B 02'!Print_Titles</vt:lpstr>
      <vt:lpstr>'C.2.2 B 09'!Print_Titles</vt:lpstr>
      <vt:lpstr>'C.2.2 B 12'!Print_Titles</vt:lpstr>
      <vt:lpstr>'C.2.2 B 91'!Print_Titles</vt:lpstr>
    </vt:vector>
  </TitlesOfParts>
  <Company>Atmos Energy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Brannon C Taylor</dc:creator>
  <cp:lastModifiedBy>Eric  Wilen</cp:lastModifiedBy>
  <cp:lastPrinted>2016-02-17T20:46:10Z</cp:lastPrinted>
  <dcterms:created xsi:type="dcterms:W3CDTF">2015-12-01T16:26:19Z</dcterms:created>
  <dcterms:modified xsi:type="dcterms:W3CDTF">2016-02-17T20:46:15Z</dcterms:modified>
</cp:coreProperties>
</file>