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gular Tariff" sheetId="1" r:id="rId1"/>
    <sheet name="Direct Serves" sheetId="2" r:id="rId2"/>
  </sheets>
  <definedNames>
    <definedName name="_xlnm.Print_Titles" localSheetId="1">'Direct Serves'!$1:$11</definedName>
    <definedName name="_xlnm.Print_Titles" localSheetId="0">'Regular Tariff'!$1:$11</definedName>
  </definedNames>
  <calcPr fullCalcOnLoad="1"/>
</workbook>
</file>

<file path=xl/sharedStrings.xml><?xml version="1.0" encoding="utf-8"?>
<sst xmlns="http://schemas.openxmlformats.org/spreadsheetml/2006/main" count="157" uniqueCount="66">
  <si>
    <t>Kenergy Corp.</t>
  </si>
  <si>
    <t>(a)</t>
  </si>
  <si>
    <t>(b)</t>
  </si>
  <si>
    <t>(d)</t>
  </si>
  <si>
    <t>Line</t>
  </si>
  <si>
    <t>No.</t>
  </si>
  <si>
    <t>Item</t>
  </si>
  <si>
    <t>Purchased Power:</t>
  </si>
  <si>
    <t>Subtotal</t>
  </si>
  <si>
    <t>Distribution - operation</t>
  </si>
  <si>
    <t>Distribution - maintenance</t>
  </si>
  <si>
    <t>Consumer Accounts</t>
  </si>
  <si>
    <t>Sales</t>
  </si>
  <si>
    <t>Administrative and General</t>
  </si>
  <si>
    <t>Depreciation</t>
  </si>
  <si>
    <t>Interest on long term debt</t>
  </si>
  <si>
    <t>Interest - other</t>
  </si>
  <si>
    <t>Other deductions</t>
  </si>
  <si>
    <t>Operating Margins</t>
  </si>
  <si>
    <t>Non cash capital credits</t>
  </si>
  <si>
    <t>Total Margins</t>
  </si>
  <si>
    <t>Times interest earned ratio</t>
  </si>
  <si>
    <t>Total</t>
  </si>
  <si>
    <t>(c)</t>
  </si>
  <si>
    <t>(e)</t>
  </si>
  <si>
    <t>Total Operating Revenue</t>
  </si>
  <si>
    <t>Direct Serve</t>
  </si>
  <si>
    <t>Class A</t>
  </si>
  <si>
    <t>Class B</t>
  </si>
  <si>
    <t>Class C</t>
  </si>
  <si>
    <t>Regular</t>
  </si>
  <si>
    <t>Tariff</t>
  </si>
  <si>
    <t>(f)</t>
  </si>
  <si>
    <t>(g)</t>
  </si>
  <si>
    <t>System</t>
  </si>
  <si>
    <t>Rate of Return</t>
  </si>
  <si>
    <t>Cost of</t>
  </si>
  <si>
    <t>Service</t>
  </si>
  <si>
    <t>Totals</t>
  </si>
  <si>
    <t>Per Books</t>
  </si>
  <si>
    <t>Separation Of Direct Serves From Regular Tariff Cost of Service</t>
  </si>
  <si>
    <t>Tax expense</t>
  </si>
  <si>
    <t>Customer service</t>
  </si>
  <si>
    <t>Int. chg. to construction-cr.</t>
  </si>
  <si>
    <t>Non op. margins - interest</t>
  </si>
  <si>
    <t>Non op. margins - other</t>
  </si>
  <si>
    <t>Total Expense</t>
  </si>
  <si>
    <t>($ in Thousands)</t>
  </si>
  <si>
    <t>Operating Revenue</t>
  </si>
  <si>
    <t>Operations</t>
  </si>
  <si>
    <t>Maintenance</t>
  </si>
  <si>
    <t>Admin. and General</t>
  </si>
  <si>
    <t>Interest-LTD</t>
  </si>
  <si>
    <t>Int. chg. to constr.</t>
  </si>
  <si>
    <t>Interest Income</t>
  </si>
  <si>
    <t>Other Margins</t>
  </si>
  <si>
    <t>Capital Credits</t>
  </si>
  <si>
    <t>Adjust.</t>
  </si>
  <si>
    <t>Per</t>
  </si>
  <si>
    <t>Books</t>
  </si>
  <si>
    <t>Total Utility Plant</t>
  </si>
  <si>
    <t>Accumulated Depr.</t>
  </si>
  <si>
    <t>Net Utility Plant</t>
  </si>
  <si>
    <t>Allowance For Working Capital</t>
  </si>
  <si>
    <t>Net Rate Base</t>
  </si>
  <si>
    <t>2015 rate application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</si>
</sst>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00_);_(&quot;$&quot;* \(#,##0.000\);_(&quot;$&quot;* &quot;-&quot;???_);_(@_)"/>
  </numFmts>
  <fonts count="40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1" fillId="0" borderId="0" xfId="44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10" fontId="0" fillId="0" borderId="0" xfId="57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5" fontId="0" fillId="0" borderId="0" xfId="44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44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44" applyNumberFormat="1" applyFont="1" applyAlignment="1">
      <alignment/>
    </xf>
    <xf numFmtId="165" fontId="5" fillId="0" borderId="0" xfId="0" applyNumberFormat="1" applyFont="1" applyAlignment="1">
      <alignment/>
    </xf>
    <xf numFmtId="44" fontId="2" fillId="0" borderId="0" xfId="44" applyFont="1" applyAlignment="1">
      <alignment/>
    </xf>
    <xf numFmtId="165" fontId="2" fillId="0" borderId="0" xfId="44" applyNumberFormat="1" applyFont="1" applyAlignment="1">
      <alignment horizontal="center"/>
    </xf>
    <xf numFmtId="165" fontId="5" fillId="0" borderId="0" xfId="44" applyNumberFormat="1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1">
      <pane ySplit="10" topLeftCell="A59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3" width="16.140625" style="0" customWidth="1"/>
    <col min="4" max="4" width="14.00390625" style="0" customWidth="1"/>
    <col min="5" max="5" width="14.28125" style="0" customWidth="1"/>
    <col min="6" max="6" width="12.7109375" style="0" customWidth="1"/>
    <col min="7" max="7" width="13.140625" style="0" customWidth="1"/>
    <col min="8" max="12" width="14.7109375" style="0" customWidth="1"/>
    <col min="13" max="13" width="10.57421875" style="0" customWidth="1"/>
  </cols>
  <sheetData>
    <row r="1" spans="1:11" ht="12.75">
      <c r="A1" s="15" t="s">
        <v>0</v>
      </c>
      <c r="B1" s="15"/>
      <c r="C1" s="15"/>
      <c r="D1" s="15"/>
      <c r="E1" s="15"/>
      <c r="F1" s="15"/>
      <c r="G1" s="15"/>
      <c r="H1" s="13"/>
      <c r="I1" s="13"/>
      <c r="J1" s="13"/>
      <c r="K1" s="13"/>
    </row>
    <row r="2" spans="1:7" ht="12.75">
      <c r="A2" s="15" t="s">
        <v>40</v>
      </c>
      <c r="B2" s="15"/>
      <c r="C2" s="15"/>
      <c r="D2" s="15"/>
      <c r="E2" s="15"/>
      <c r="F2" s="15"/>
      <c r="G2" s="15"/>
    </row>
    <row r="3" spans="1:8" ht="12.75">
      <c r="A3" s="15" t="s">
        <v>65</v>
      </c>
      <c r="B3" s="15"/>
      <c r="C3" s="15"/>
      <c r="D3" s="15"/>
      <c r="E3" s="15"/>
      <c r="F3" s="15"/>
      <c r="G3" s="15"/>
      <c r="H3" s="5"/>
    </row>
    <row r="4" spans="1:8" ht="12.75">
      <c r="A4" s="15" t="s">
        <v>47</v>
      </c>
      <c r="B4" s="15"/>
      <c r="C4" s="15"/>
      <c r="D4" s="15"/>
      <c r="E4" s="15"/>
      <c r="F4" s="15"/>
      <c r="G4" s="15"/>
      <c r="H4" s="5"/>
    </row>
    <row r="5" spans="1:7" ht="12.75">
      <c r="A5" s="4"/>
      <c r="B5" s="4"/>
      <c r="C5" s="4"/>
      <c r="D5" s="4"/>
      <c r="E5" s="4"/>
      <c r="F5" s="4"/>
      <c r="G5" s="15"/>
    </row>
    <row r="6" spans="1:11" ht="12.75">
      <c r="A6" s="16"/>
      <c r="B6" s="4"/>
      <c r="C6" s="4"/>
      <c r="D6" s="4"/>
      <c r="E6" s="4"/>
      <c r="F6" s="4"/>
      <c r="G6" s="4"/>
      <c r="H6" s="1"/>
      <c r="I6" s="1"/>
      <c r="J6" s="1"/>
      <c r="K6" s="1"/>
    </row>
    <row r="7" spans="1:7" ht="12.75">
      <c r="A7" s="16"/>
      <c r="B7" s="16"/>
      <c r="C7" s="16" t="s">
        <v>39</v>
      </c>
      <c r="D7" s="16" t="s">
        <v>39</v>
      </c>
      <c r="E7" s="16" t="s">
        <v>39</v>
      </c>
      <c r="F7" s="16" t="s">
        <v>30</v>
      </c>
      <c r="G7" s="16" t="s">
        <v>36</v>
      </c>
    </row>
    <row r="8" spans="1:11" ht="12.75">
      <c r="A8" s="16" t="s">
        <v>4</v>
      </c>
      <c r="B8" s="16"/>
      <c r="C8" s="16" t="s">
        <v>22</v>
      </c>
      <c r="D8" s="16" t="s">
        <v>22</v>
      </c>
      <c r="E8" s="16" t="s">
        <v>30</v>
      </c>
      <c r="F8" s="16" t="s">
        <v>31</v>
      </c>
      <c r="G8" s="16" t="s">
        <v>37</v>
      </c>
      <c r="H8" s="1"/>
      <c r="I8" s="1"/>
      <c r="K8" s="1"/>
    </row>
    <row r="9" spans="1:11" ht="12.75">
      <c r="A9" s="16" t="s">
        <v>5</v>
      </c>
      <c r="B9" s="17" t="s">
        <v>6</v>
      </c>
      <c r="C9" s="17" t="s">
        <v>34</v>
      </c>
      <c r="D9" s="17" t="s">
        <v>26</v>
      </c>
      <c r="E9" s="17" t="s">
        <v>31</v>
      </c>
      <c r="F9" s="17" t="s">
        <v>57</v>
      </c>
      <c r="G9" s="17" t="s">
        <v>38</v>
      </c>
      <c r="H9" s="9"/>
      <c r="I9" s="9"/>
      <c r="K9" s="9"/>
    </row>
    <row r="10" spans="1:7" ht="12.75">
      <c r="A10" s="4"/>
      <c r="B10" s="16" t="s">
        <v>1</v>
      </c>
      <c r="C10" s="16" t="s">
        <v>2</v>
      </c>
      <c r="D10" s="16" t="s">
        <v>23</v>
      </c>
      <c r="E10" s="16" t="s">
        <v>3</v>
      </c>
      <c r="F10" s="16" t="s">
        <v>24</v>
      </c>
      <c r="G10" s="16" t="s">
        <v>32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6">
        <v>1</v>
      </c>
      <c r="B12" s="4" t="s">
        <v>48</v>
      </c>
      <c r="C12" s="23">
        <f>+C45/1000</f>
        <v>422270.47</v>
      </c>
      <c r="D12" s="23">
        <f>+D45/1000</f>
        <v>308881.13974</v>
      </c>
      <c r="E12" s="23">
        <f>+E45/1000</f>
        <v>113389.33025999999</v>
      </c>
      <c r="F12" s="23">
        <f>+F45/1000</f>
        <v>21332.028297841614</v>
      </c>
      <c r="G12" s="23">
        <f>+G45/1000</f>
        <v>134721.3585578416</v>
      </c>
    </row>
    <row r="13" spans="1:7" ht="12.75">
      <c r="A13" s="16"/>
      <c r="B13" s="4"/>
      <c r="C13" s="23"/>
      <c r="D13" s="23"/>
      <c r="E13" s="23"/>
      <c r="F13" s="23"/>
      <c r="G13" s="23"/>
    </row>
    <row r="14" spans="1:7" ht="12.75">
      <c r="A14" s="16">
        <v>2</v>
      </c>
      <c r="B14" s="4" t="s">
        <v>7</v>
      </c>
      <c r="C14" s="23">
        <f>+C47/1000</f>
        <v>383068.26</v>
      </c>
      <c r="D14" s="23">
        <f>+D47/1000</f>
        <v>306512.393</v>
      </c>
      <c r="E14" s="23">
        <f>+E47/1000</f>
        <v>76555.867</v>
      </c>
      <c r="F14" s="23">
        <f>+F47/1000</f>
        <v>21260.252</v>
      </c>
      <c r="G14" s="23">
        <f>+G47/1000</f>
        <v>97816.119</v>
      </c>
    </row>
    <row r="15" spans="1:7" ht="12.75">
      <c r="A15" s="16"/>
      <c r="B15" s="4"/>
      <c r="C15" s="23"/>
      <c r="D15" s="23"/>
      <c r="E15" s="23"/>
      <c r="F15" s="23"/>
      <c r="G15" s="23"/>
    </row>
    <row r="16" spans="1:7" ht="12.75">
      <c r="A16" s="16">
        <v>3</v>
      </c>
      <c r="B16" s="4" t="s">
        <v>49</v>
      </c>
      <c r="C16" s="23">
        <f aca="true" t="shared" si="0" ref="C16:G28">+C49/1000</f>
        <v>3996.46</v>
      </c>
      <c r="D16" s="23">
        <f t="shared" si="0"/>
        <v>0</v>
      </c>
      <c r="E16" s="23">
        <f t="shared" si="0"/>
        <v>3996.46</v>
      </c>
      <c r="F16" s="23">
        <f t="shared" si="0"/>
        <v>196.15074055368274</v>
      </c>
      <c r="G16" s="23">
        <f t="shared" si="0"/>
        <v>4192.610740553682</v>
      </c>
    </row>
    <row r="17" spans="1:7" ht="12.75">
      <c r="A17" s="16">
        <v>4</v>
      </c>
      <c r="B17" s="4" t="s">
        <v>50</v>
      </c>
      <c r="C17" s="23">
        <f t="shared" si="0"/>
        <v>8623.097</v>
      </c>
      <c r="D17" s="23">
        <f t="shared" si="0"/>
        <v>75.74232</v>
      </c>
      <c r="E17" s="23">
        <f t="shared" si="0"/>
        <v>8547.35468</v>
      </c>
      <c r="F17" s="23">
        <f t="shared" si="0"/>
        <v>-95.60583699280892</v>
      </c>
      <c r="G17" s="23">
        <f t="shared" si="0"/>
        <v>8451.74884300719</v>
      </c>
    </row>
    <row r="18" spans="1:7" ht="12.75">
      <c r="A18" s="16">
        <v>5</v>
      </c>
      <c r="B18" s="4" t="s">
        <v>11</v>
      </c>
      <c r="C18" s="23">
        <f t="shared" si="0"/>
        <v>4235.626</v>
      </c>
      <c r="D18" s="23">
        <f t="shared" si="0"/>
        <v>4.344</v>
      </c>
      <c r="E18" s="23">
        <f t="shared" si="0"/>
        <v>4231.282</v>
      </c>
      <c r="F18" s="23">
        <f t="shared" si="0"/>
        <v>74.19185158689196</v>
      </c>
      <c r="G18" s="23">
        <f t="shared" si="0"/>
        <v>4305.473851586892</v>
      </c>
    </row>
    <row r="19" spans="1:7" ht="12.75">
      <c r="A19" s="16">
        <v>6</v>
      </c>
      <c r="B19" s="4" t="s">
        <v>42</v>
      </c>
      <c r="C19" s="23">
        <f t="shared" si="0"/>
        <v>153.75</v>
      </c>
      <c r="D19" s="23">
        <f t="shared" si="0"/>
        <v>0</v>
      </c>
      <c r="E19" s="23">
        <f t="shared" si="0"/>
        <v>153.75</v>
      </c>
      <c r="F19" s="23">
        <f t="shared" si="0"/>
        <v>123.62</v>
      </c>
      <c r="G19" s="23">
        <f t="shared" si="0"/>
        <v>277.37</v>
      </c>
    </row>
    <row r="20" spans="1:7" ht="12.75">
      <c r="A20" s="16">
        <v>7</v>
      </c>
      <c r="B20" s="4" t="s">
        <v>12</v>
      </c>
      <c r="C20" s="23">
        <f t="shared" si="0"/>
        <v>122.695</v>
      </c>
      <c r="D20" s="23">
        <f t="shared" si="0"/>
        <v>0.2509</v>
      </c>
      <c r="E20" s="23">
        <f t="shared" si="0"/>
        <v>122.4441</v>
      </c>
      <c r="F20" s="23">
        <f t="shared" si="0"/>
        <v>-120.56794442723827</v>
      </c>
      <c r="G20" s="23">
        <f t="shared" si="0"/>
        <v>1.8761555727617378</v>
      </c>
    </row>
    <row r="21" spans="1:7" ht="12.75">
      <c r="A21" s="16">
        <v>8</v>
      </c>
      <c r="B21" s="4" t="s">
        <v>51</v>
      </c>
      <c r="C21" s="23">
        <f t="shared" si="0"/>
        <v>4094.487</v>
      </c>
      <c r="D21" s="23">
        <f t="shared" si="0"/>
        <v>157.424</v>
      </c>
      <c r="E21" s="23">
        <f t="shared" si="0"/>
        <v>3937.063</v>
      </c>
      <c r="F21" s="23">
        <f t="shared" si="0"/>
        <v>-163.93428628827635</v>
      </c>
      <c r="G21" s="23">
        <f t="shared" si="0"/>
        <v>3773.128713711724</v>
      </c>
    </row>
    <row r="22" spans="1:7" ht="12.75">
      <c r="A22" s="16">
        <v>9</v>
      </c>
      <c r="B22" s="4" t="s">
        <v>14</v>
      </c>
      <c r="C22" s="23">
        <f t="shared" si="0"/>
        <v>10628.709</v>
      </c>
      <c r="D22" s="23">
        <f t="shared" si="0"/>
        <v>56.218</v>
      </c>
      <c r="E22" s="23">
        <f t="shared" si="0"/>
        <v>10572.491</v>
      </c>
      <c r="F22" s="23">
        <f t="shared" si="0"/>
        <v>1237.133</v>
      </c>
      <c r="G22" s="23">
        <f t="shared" si="0"/>
        <v>11809.624</v>
      </c>
    </row>
    <row r="23" spans="1:7" ht="12.75">
      <c r="A23" s="16">
        <v>10</v>
      </c>
      <c r="B23" s="4" t="s">
        <v>41</v>
      </c>
      <c r="C23" s="23">
        <f t="shared" si="0"/>
        <v>649.618</v>
      </c>
      <c r="D23" s="23">
        <f t="shared" si="0"/>
        <v>457.698</v>
      </c>
      <c r="E23" s="23">
        <f t="shared" si="0"/>
        <v>191.92</v>
      </c>
      <c r="F23" s="23">
        <f t="shared" si="0"/>
        <v>32.130326464161655</v>
      </c>
      <c r="G23" s="23">
        <f t="shared" si="0"/>
        <v>224.05032646416166</v>
      </c>
    </row>
    <row r="24" spans="1:7" ht="12.75">
      <c r="A24" s="16">
        <v>11</v>
      </c>
      <c r="B24" s="4" t="s">
        <v>52</v>
      </c>
      <c r="C24" s="23">
        <f t="shared" si="0"/>
        <v>4707.929</v>
      </c>
      <c r="D24" s="23">
        <f t="shared" si="0"/>
        <v>55.914</v>
      </c>
      <c r="E24" s="23">
        <f t="shared" si="0"/>
        <v>4652.015</v>
      </c>
      <c r="F24" s="23">
        <f t="shared" si="0"/>
        <v>432.56388158041466</v>
      </c>
      <c r="G24" s="23">
        <f t="shared" si="0"/>
        <v>5084.578881580414</v>
      </c>
    </row>
    <row r="25" spans="1:7" ht="12.75">
      <c r="A25" s="16">
        <v>12</v>
      </c>
      <c r="B25" s="4" t="s">
        <v>53</v>
      </c>
      <c r="C25" s="23">
        <f t="shared" si="0"/>
        <v>0</v>
      </c>
      <c r="D25" s="23">
        <f t="shared" si="0"/>
        <v>0</v>
      </c>
      <c r="E25" s="23">
        <f t="shared" si="0"/>
        <v>0</v>
      </c>
      <c r="F25" s="23">
        <f t="shared" si="0"/>
        <v>0</v>
      </c>
      <c r="G25" s="23">
        <f t="shared" si="0"/>
        <v>0</v>
      </c>
    </row>
    <row r="26" spans="1:7" ht="12.75">
      <c r="A26" s="16">
        <v>13</v>
      </c>
      <c r="B26" s="4" t="s">
        <v>16</v>
      </c>
      <c r="C26" s="23">
        <f t="shared" si="0"/>
        <v>42.92</v>
      </c>
      <c r="D26" s="23">
        <f t="shared" si="0"/>
        <v>1.873</v>
      </c>
      <c r="E26" s="23">
        <f t="shared" si="0"/>
        <v>41.047</v>
      </c>
      <c r="F26" s="23">
        <f t="shared" si="0"/>
        <v>1.69</v>
      </c>
      <c r="G26" s="23">
        <f t="shared" si="0"/>
        <v>42.737</v>
      </c>
    </row>
    <row r="27" spans="1:7" ht="15">
      <c r="A27" s="16">
        <v>14</v>
      </c>
      <c r="B27" s="4" t="s">
        <v>17</v>
      </c>
      <c r="C27" s="24">
        <f t="shared" si="0"/>
        <v>98.059</v>
      </c>
      <c r="D27" s="24">
        <f t="shared" si="0"/>
        <v>0</v>
      </c>
      <c r="E27" s="24">
        <f t="shared" si="0"/>
        <v>98.059</v>
      </c>
      <c r="F27" s="24">
        <f t="shared" si="0"/>
        <v>-144.883</v>
      </c>
      <c r="G27" s="24">
        <f t="shared" si="0"/>
        <v>-46.824</v>
      </c>
    </row>
    <row r="28" spans="1:7" ht="12.75">
      <c r="A28" s="16">
        <v>15</v>
      </c>
      <c r="B28" s="4" t="s">
        <v>8</v>
      </c>
      <c r="C28" s="23">
        <f t="shared" si="0"/>
        <v>37353.35</v>
      </c>
      <c r="D28" s="23">
        <f t="shared" si="0"/>
        <v>809.46422</v>
      </c>
      <c r="E28" s="23">
        <f t="shared" si="0"/>
        <v>36543.885780000004</v>
      </c>
      <c r="F28" s="23">
        <f t="shared" si="0"/>
        <v>1572.4887324768276</v>
      </c>
      <c r="G28" s="23">
        <f t="shared" si="0"/>
        <v>38116.374512476825</v>
      </c>
    </row>
    <row r="29" spans="1:7" ht="12.75">
      <c r="A29" s="16"/>
      <c r="B29" s="4"/>
      <c r="C29" s="23"/>
      <c r="D29" s="23"/>
      <c r="E29" s="23"/>
      <c r="F29" s="23"/>
      <c r="G29" s="23"/>
    </row>
    <row r="30" spans="1:7" ht="12.75">
      <c r="A30" s="16">
        <v>18</v>
      </c>
      <c r="B30" s="4" t="s">
        <v>46</v>
      </c>
      <c r="C30" s="23">
        <f>+C63/1000</f>
        <v>420421.61</v>
      </c>
      <c r="D30" s="23">
        <f>+D63/1000</f>
        <v>307321.85722</v>
      </c>
      <c r="E30" s="23">
        <f>+E63/1000</f>
        <v>113099.75278</v>
      </c>
      <c r="F30" s="23">
        <f>+F63/1000</f>
        <v>22832.74073247683</v>
      </c>
      <c r="G30" s="23">
        <f>+G63/1000</f>
        <v>135932.49351247682</v>
      </c>
    </row>
    <row r="31" spans="1:7" ht="12.75">
      <c r="A31" s="16"/>
      <c r="B31" s="4"/>
      <c r="C31" s="23"/>
      <c r="D31" s="23"/>
      <c r="E31" s="23"/>
      <c r="F31" s="23"/>
      <c r="G31" s="23"/>
    </row>
    <row r="32" spans="1:7" ht="12.75">
      <c r="A32" s="16">
        <v>19</v>
      </c>
      <c r="B32" s="4" t="s">
        <v>18</v>
      </c>
      <c r="C32" s="23">
        <f aca="true" t="shared" si="1" ref="C32:G35">+C65/1000</f>
        <v>1848.86</v>
      </c>
      <c r="D32" s="23">
        <f t="shared" si="1"/>
        <v>1559.2825199999809</v>
      </c>
      <c r="E32" s="23">
        <f t="shared" si="1"/>
        <v>289.5774799999893</v>
      </c>
      <c r="F32" s="23">
        <f t="shared" si="1"/>
        <v>-1500.7124346352107</v>
      </c>
      <c r="G32" s="23">
        <f t="shared" si="1"/>
        <v>-1211.1349546352326</v>
      </c>
    </row>
    <row r="33" spans="1:7" ht="12.75">
      <c r="A33" s="16">
        <v>20</v>
      </c>
      <c r="B33" s="4" t="s">
        <v>54</v>
      </c>
      <c r="C33" s="23">
        <f t="shared" si="1"/>
        <v>1952.682</v>
      </c>
      <c r="D33" s="23">
        <f t="shared" si="1"/>
        <v>0</v>
      </c>
      <c r="E33" s="23">
        <f t="shared" si="1"/>
        <v>1952.682</v>
      </c>
      <c r="F33" s="23">
        <f t="shared" si="1"/>
        <v>-17.695</v>
      </c>
      <c r="G33" s="23">
        <f t="shared" si="1"/>
        <v>1934.987</v>
      </c>
    </row>
    <row r="34" spans="1:7" ht="15">
      <c r="A34" s="16">
        <v>21</v>
      </c>
      <c r="B34" s="4" t="s">
        <v>55</v>
      </c>
      <c r="C34" s="24">
        <f t="shared" si="1"/>
        <v>-0.163</v>
      </c>
      <c r="D34" s="24">
        <f t="shared" si="1"/>
        <v>0</v>
      </c>
      <c r="E34" s="24">
        <f t="shared" si="1"/>
        <v>-0.163</v>
      </c>
      <c r="F34" s="24">
        <f t="shared" si="1"/>
        <v>117.624</v>
      </c>
      <c r="G34" s="24">
        <f t="shared" si="1"/>
        <v>117.461</v>
      </c>
    </row>
    <row r="35" spans="1:7" ht="12.75">
      <c r="A35" s="16">
        <v>22</v>
      </c>
      <c r="B35" s="4" t="s">
        <v>56</v>
      </c>
      <c r="C35" s="23">
        <f t="shared" si="1"/>
        <v>227.281</v>
      </c>
      <c r="D35" s="23">
        <f t="shared" si="1"/>
        <v>0</v>
      </c>
      <c r="E35" s="23">
        <f t="shared" si="1"/>
        <v>227.281</v>
      </c>
      <c r="F35" s="23">
        <f t="shared" si="1"/>
        <v>0.135</v>
      </c>
      <c r="G35" s="23">
        <f t="shared" si="1"/>
        <v>227.416</v>
      </c>
    </row>
    <row r="36" spans="1:7" ht="12.75">
      <c r="A36" s="16"/>
      <c r="B36" s="4"/>
      <c r="C36" s="23"/>
      <c r="D36" s="23"/>
      <c r="E36" s="23"/>
      <c r="F36" s="23"/>
      <c r="G36" s="23"/>
    </row>
    <row r="37" spans="1:7" ht="12.75">
      <c r="A37" s="16">
        <v>23</v>
      </c>
      <c r="B37" s="4" t="s">
        <v>20</v>
      </c>
      <c r="C37" s="23">
        <f>+C70/1000</f>
        <v>4028.66</v>
      </c>
      <c r="D37" s="23">
        <f>+D70/1000</f>
        <v>1559.2825199999809</v>
      </c>
      <c r="E37" s="23">
        <f>+E70/1000</f>
        <v>2469.377479999989</v>
      </c>
      <c r="F37" s="23">
        <f>+F70/1000</f>
        <v>-1400.6484346352108</v>
      </c>
      <c r="G37" s="23">
        <f>+G70/1000</f>
        <v>1068.7290453647672</v>
      </c>
    </row>
    <row r="38" spans="1:7" ht="12.75">
      <c r="A38" s="4"/>
      <c r="B38" s="16"/>
      <c r="C38" s="16"/>
      <c r="D38" s="16"/>
      <c r="E38" s="16"/>
      <c r="F38" s="16"/>
      <c r="G38" s="16"/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4"/>
      <c r="B40" s="16"/>
      <c r="C40" s="16"/>
      <c r="D40" s="16"/>
      <c r="E40" s="16"/>
      <c r="F40" s="16"/>
      <c r="G40" s="16"/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/>
      <c r="B42" s="16"/>
      <c r="C42" s="16"/>
      <c r="D42" s="16"/>
      <c r="E42" s="16"/>
      <c r="F42" s="16"/>
      <c r="G42" s="16"/>
    </row>
    <row r="43" spans="1:7" ht="12.75">
      <c r="A43" s="4"/>
      <c r="B43" s="16"/>
      <c r="C43" s="16"/>
      <c r="D43" s="16"/>
      <c r="E43" s="16"/>
      <c r="F43" s="16"/>
      <c r="G43" s="16"/>
    </row>
    <row r="44" spans="1:7" ht="12.75">
      <c r="A44" s="4"/>
      <c r="B44" s="16"/>
      <c r="C44" s="16"/>
      <c r="D44" s="16"/>
      <c r="E44" s="16"/>
      <c r="F44" s="16"/>
      <c r="G44" s="16"/>
    </row>
    <row r="45" spans="1:11" ht="12.75">
      <c r="A45" s="16">
        <v>1</v>
      </c>
      <c r="B45" s="4" t="s">
        <v>25</v>
      </c>
      <c r="C45" s="18">
        <v>422270470</v>
      </c>
      <c r="D45" s="18">
        <f>308879506+1633.74</f>
        <v>308881139.74</v>
      </c>
      <c r="E45" s="19">
        <f>+C45-D45</f>
        <v>113389330.25999999</v>
      </c>
      <c r="F45" s="18">
        <v>21332028.297841616</v>
      </c>
      <c r="G45" s="18">
        <f>+F45+E45</f>
        <v>134721358.5578416</v>
      </c>
      <c r="H45" s="2">
        <v>321812256.1270184</v>
      </c>
      <c r="I45" s="2">
        <f>+H45+G45</f>
        <v>456533614.68486</v>
      </c>
      <c r="J45" s="5"/>
      <c r="K45" s="2"/>
    </row>
    <row r="46" spans="1:11" ht="12.75">
      <c r="A46" s="16"/>
      <c r="B46" s="4"/>
      <c r="C46" s="18"/>
      <c r="D46" s="18"/>
      <c r="E46" s="4"/>
      <c r="F46" s="18"/>
      <c r="G46" s="4"/>
      <c r="J46" s="2"/>
      <c r="K46" s="5"/>
    </row>
    <row r="47" spans="1:11" ht="12.75">
      <c r="A47" s="16">
        <v>2</v>
      </c>
      <c r="B47" s="4" t="s">
        <v>7</v>
      </c>
      <c r="C47" s="18">
        <v>383068260</v>
      </c>
      <c r="D47" s="18">
        <v>306512393</v>
      </c>
      <c r="E47" s="19">
        <f>C47-D47</f>
        <v>76555867</v>
      </c>
      <c r="F47" s="18">
        <f>I47-'Direct Serves'!G47</f>
        <v>21260252</v>
      </c>
      <c r="G47" s="18">
        <f>+F47+E47</f>
        <v>97816119</v>
      </c>
      <c r="H47" s="2">
        <v>0</v>
      </c>
      <c r="I47" s="2">
        <v>34092667</v>
      </c>
      <c r="J47" s="5"/>
      <c r="K47" s="2"/>
    </row>
    <row r="48" spans="1:7" ht="12.75">
      <c r="A48" s="16"/>
      <c r="B48" s="4"/>
      <c r="C48" s="18"/>
      <c r="D48" s="18"/>
      <c r="E48" s="19"/>
      <c r="F48" s="18"/>
      <c r="G48" s="4"/>
    </row>
    <row r="49" spans="1:11" ht="12.75">
      <c r="A49" s="16">
        <v>3</v>
      </c>
      <c r="B49" s="4" t="s">
        <v>9</v>
      </c>
      <c r="C49" s="18">
        <v>3996460</v>
      </c>
      <c r="D49" s="18">
        <f>'Direct Serves'!C49</f>
        <v>0</v>
      </c>
      <c r="E49" s="19">
        <f aca="true" t="shared" si="2" ref="E49:E61">+C49-D49</f>
        <v>3996460</v>
      </c>
      <c r="F49" s="18">
        <f>+I49-H49</f>
        <v>196150.74055368273</v>
      </c>
      <c r="G49" s="18">
        <f aca="true" t="shared" si="3" ref="G49:G60">+F49+E49</f>
        <v>4192610.7405536827</v>
      </c>
      <c r="H49" s="2">
        <f aca="true" t="shared" si="4" ref="H49:H54">+D49/C49*I49</f>
        <v>0</v>
      </c>
      <c r="I49" s="2">
        <v>196150.74055368273</v>
      </c>
      <c r="K49" s="2"/>
    </row>
    <row r="50" spans="1:13" ht="12.75">
      <c r="A50" s="16">
        <v>4</v>
      </c>
      <c r="B50" s="4" t="s">
        <v>10</v>
      </c>
      <c r="C50" s="18">
        <v>8623097</v>
      </c>
      <c r="D50" s="18">
        <f>'Direct Serves'!C50</f>
        <v>75742.32</v>
      </c>
      <c r="E50" s="19">
        <f t="shared" si="2"/>
        <v>8547354.68</v>
      </c>
      <c r="F50" s="18">
        <f aca="true" t="shared" si="5" ref="F50:F60">+I50-H50</f>
        <v>-95605.83699280892</v>
      </c>
      <c r="G50" s="18">
        <f t="shared" si="3"/>
        <v>8451748.84300719</v>
      </c>
      <c r="H50" s="2">
        <f t="shared" si="4"/>
        <v>-847.2104142725445</v>
      </c>
      <c r="I50" s="2">
        <v>-96453.04740708147</v>
      </c>
      <c r="K50" s="2"/>
      <c r="L50" s="2"/>
      <c r="M50" s="5"/>
    </row>
    <row r="51" spans="1:13" ht="12.75">
      <c r="A51" s="16">
        <v>5</v>
      </c>
      <c r="B51" s="4" t="s">
        <v>11</v>
      </c>
      <c r="C51" s="18">
        <v>4235626</v>
      </c>
      <c r="D51" s="18">
        <f>'Direct Serves'!C51</f>
        <v>4344</v>
      </c>
      <c r="E51" s="19">
        <f t="shared" si="2"/>
        <v>4231282</v>
      </c>
      <c r="F51" s="18">
        <f t="shared" si="5"/>
        <v>74191.85158689196</v>
      </c>
      <c r="G51" s="18">
        <f t="shared" si="3"/>
        <v>4305473.851586892</v>
      </c>
      <c r="H51" s="2">
        <f t="shared" si="4"/>
        <v>76.16826373034431</v>
      </c>
      <c r="I51" s="2">
        <v>74268.01985062231</v>
      </c>
      <c r="K51" s="2"/>
      <c r="L51" s="2"/>
      <c r="M51" s="5"/>
    </row>
    <row r="52" spans="1:13" ht="12.75">
      <c r="A52" s="16">
        <v>6</v>
      </c>
      <c r="B52" s="4" t="s">
        <v>42</v>
      </c>
      <c r="C52" s="18">
        <v>153750</v>
      </c>
      <c r="D52" s="18">
        <f>'Direct Serves'!C52</f>
        <v>0</v>
      </c>
      <c r="E52" s="19">
        <f t="shared" si="2"/>
        <v>153750</v>
      </c>
      <c r="F52" s="18">
        <f t="shared" si="5"/>
        <v>123620</v>
      </c>
      <c r="G52" s="18">
        <f t="shared" si="3"/>
        <v>277370</v>
      </c>
      <c r="H52" s="2">
        <f t="shared" si="4"/>
        <v>0</v>
      </c>
      <c r="I52" s="2">
        <v>123620</v>
      </c>
      <c r="K52" s="2"/>
      <c r="L52" s="2"/>
      <c r="M52" s="5"/>
    </row>
    <row r="53" spans="1:13" ht="12.75">
      <c r="A53" s="16">
        <v>7</v>
      </c>
      <c r="B53" s="4" t="s">
        <v>12</v>
      </c>
      <c r="C53" s="18">
        <v>122695</v>
      </c>
      <c r="D53" s="18">
        <f>'Direct Serves'!C53</f>
        <v>250.9</v>
      </c>
      <c r="E53" s="19">
        <f t="shared" si="2"/>
        <v>122444.1</v>
      </c>
      <c r="F53" s="18">
        <f t="shared" si="5"/>
        <v>-120567.94442723827</v>
      </c>
      <c r="G53" s="18">
        <f t="shared" si="3"/>
        <v>1876.1555727617379</v>
      </c>
      <c r="H53" s="2">
        <f t="shared" si="4"/>
        <v>-247.05557276172624</v>
      </c>
      <c r="I53" s="2">
        <v>-120815</v>
      </c>
      <c r="K53" s="2"/>
      <c r="L53" s="2"/>
      <c r="M53" s="5"/>
    </row>
    <row r="54" spans="1:13" ht="12.75">
      <c r="A54" s="16">
        <v>8</v>
      </c>
      <c r="B54" s="4" t="s">
        <v>13</v>
      </c>
      <c r="C54" s="18">
        <v>4094487</v>
      </c>
      <c r="D54" s="18">
        <f>'Direct Serves'!C54</f>
        <v>157424</v>
      </c>
      <c r="E54" s="19">
        <f t="shared" si="2"/>
        <v>3937063</v>
      </c>
      <c r="F54" s="18">
        <f t="shared" si="5"/>
        <v>-163934.28628827634</v>
      </c>
      <c r="G54" s="18">
        <f t="shared" si="3"/>
        <v>3773128.7137117237</v>
      </c>
      <c r="H54" s="2">
        <f t="shared" si="4"/>
        <v>-6554.93475330357</v>
      </c>
      <c r="I54" s="2">
        <v>-170489.2210415799</v>
      </c>
      <c r="K54" s="2"/>
      <c r="L54" s="2"/>
      <c r="M54" s="5"/>
    </row>
    <row r="55" spans="1:13" ht="12.75">
      <c r="A55" s="16">
        <v>9</v>
      </c>
      <c r="B55" s="4" t="s">
        <v>14</v>
      </c>
      <c r="C55" s="18">
        <v>10628709</v>
      </c>
      <c r="D55" s="18">
        <f>'Direct Serves'!C55</f>
        <v>56218</v>
      </c>
      <c r="E55" s="19">
        <f t="shared" si="2"/>
        <v>10572491</v>
      </c>
      <c r="F55" s="18">
        <f t="shared" si="5"/>
        <v>1237133</v>
      </c>
      <c r="G55" s="18">
        <f t="shared" si="3"/>
        <v>11809624</v>
      </c>
      <c r="H55" s="2">
        <v>0</v>
      </c>
      <c r="I55" s="2">
        <v>1237133</v>
      </c>
      <c r="K55" s="2"/>
      <c r="L55" s="2"/>
      <c r="M55" s="5"/>
    </row>
    <row r="56" spans="1:13" ht="12.75">
      <c r="A56" s="16">
        <v>10</v>
      </c>
      <c r="B56" s="4" t="s">
        <v>41</v>
      </c>
      <c r="C56" s="18">
        <v>649618</v>
      </c>
      <c r="D56" s="18">
        <f>'Direct Serves'!C56</f>
        <v>457698</v>
      </c>
      <c r="E56" s="19">
        <f t="shared" si="2"/>
        <v>191920</v>
      </c>
      <c r="F56" s="18">
        <f t="shared" si="5"/>
        <v>32130.326464161655</v>
      </c>
      <c r="G56" s="18">
        <f t="shared" si="3"/>
        <v>224050.32646416166</v>
      </c>
      <c r="H56" s="2">
        <v>96895.64892146326</v>
      </c>
      <c r="I56" s="2">
        <v>129025.97538562492</v>
      </c>
      <c r="K56" s="2"/>
      <c r="L56" s="2"/>
      <c r="M56" s="5"/>
    </row>
    <row r="57" spans="1:13" ht="12.75">
      <c r="A57" s="16">
        <v>11</v>
      </c>
      <c r="B57" s="4" t="s">
        <v>15</v>
      </c>
      <c r="C57" s="18">
        <v>4707929</v>
      </c>
      <c r="D57" s="18">
        <f>'Direct Serves'!C57</f>
        <v>55914</v>
      </c>
      <c r="E57" s="19">
        <f t="shared" si="2"/>
        <v>4652015</v>
      </c>
      <c r="F57" s="18">
        <f t="shared" si="5"/>
        <v>432563.88158041466</v>
      </c>
      <c r="G57" s="18">
        <f t="shared" si="3"/>
        <v>5084578.881580414</v>
      </c>
      <c r="H57" s="2">
        <f>+D57/C57*I57</f>
        <v>5199.118419585342</v>
      </c>
      <c r="I57" s="2">
        <v>437763</v>
      </c>
      <c r="K57" s="2"/>
      <c r="L57" s="2"/>
      <c r="M57" s="5"/>
    </row>
    <row r="58" spans="1:13" ht="12.75">
      <c r="A58" s="16">
        <v>12</v>
      </c>
      <c r="B58" s="4" t="s">
        <v>43</v>
      </c>
      <c r="C58" s="18">
        <v>0</v>
      </c>
      <c r="D58" s="18">
        <f>'Direct Serves'!C58</f>
        <v>0</v>
      </c>
      <c r="E58" s="19">
        <f t="shared" si="2"/>
        <v>0</v>
      </c>
      <c r="F58" s="18">
        <f t="shared" si="5"/>
        <v>0</v>
      </c>
      <c r="G58" s="18">
        <f t="shared" si="3"/>
        <v>0</v>
      </c>
      <c r="H58" s="2">
        <v>0</v>
      </c>
      <c r="I58" s="2">
        <v>0</v>
      </c>
      <c r="K58" s="2"/>
      <c r="L58" s="2"/>
      <c r="M58" s="5"/>
    </row>
    <row r="59" spans="1:13" ht="12.75">
      <c r="A59" s="16">
        <v>13</v>
      </c>
      <c r="B59" s="4" t="s">
        <v>16</v>
      </c>
      <c r="C59" s="18">
        <v>42920</v>
      </c>
      <c r="D59" s="18">
        <f>'Direct Serves'!C59</f>
        <v>1873</v>
      </c>
      <c r="E59" s="19">
        <f t="shared" si="2"/>
        <v>41047</v>
      </c>
      <c r="F59" s="18">
        <f t="shared" si="5"/>
        <v>1690</v>
      </c>
      <c r="G59" s="18">
        <f t="shared" si="3"/>
        <v>42737</v>
      </c>
      <c r="H59" s="2">
        <v>0</v>
      </c>
      <c r="I59" s="2">
        <v>1690</v>
      </c>
      <c r="K59" s="2"/>
      <c r="L59" s="2"/>
      <c r="M59" s="5"/>
    </row>
    <row r="60" spans="1:11" ht="15">
      <c r="A60" s="16">
        <v>14</v>
      </c>
      <c r="B60" s="4" t="s">
        <v>17</v>
      </c>
      <c r="C60" s="20">
        <v>98059</v>
      </c>
      <c r="D60" s="20">
        <f>'Direct Serves'!C60</f>
        <v>0</v>
      </c>
      <c r="E60" s="21">
        <f t="shared" si="2"/>
        <v>98059</v>
      </c>
      <c r="F60" s="20">
        <f t="shared" si="5"/>
        <v>-144883</v>
      </c>
      <c r="G60" s="18">
        <f t="shared" si="3"/>
        <v>-46824</v>
      </c>
      <c r="H60" s="14">
        <v>0</v>
      </c>
      <c r="I60" s="3">
        <v>-144883</v>
      </c>
      <c r="K60" s="3"/>
    </row>
    <row r="61" spans="1:11" ht="12.75">
      <c r="A61" s="16">
        <v>15</v>
      </c>
      <c r="B61" s="4" t="s">
        <v>8</v>
      </c>
      <c r="C61" s="18">
        <f>SUM(C49:C60)</f>
        <v>37353350</v>
      </c>
      <c r="D61" s="18">
        <f>+SUM(D49:D60)</f>
        <v>809464.22</v>
      </c>
      <c r="E61" s="19">
        <f t="shared" si="2"/>
        <v>36543885.78</v>
      </c>
      <c r="F61" s="18">
        <f>+SUM(F49:F60)</f>
        <v>1572488.7324768277</v>
      </c>
      <c r="G61" s="18">
        <f>+SUM(G49:G60)</f>
        <v>38116374.512476824</v>
      </c>
      <c r="H61" s="2">
        <f>+SUM(H49:H60)</f>
        <v>94521.73486444111</v>
      </c>
      <c r="I61" s="2">
        <f>+SUM(I49:I60)</f>
        <v>1667010.4673412687</v>
      </c>
      <c r="K61" s="2"/>
    </row>
    <row r="62" spans="1:7" ht="12.75">
      <c r="A62" s="16"/>
      <c r="B62" s="4"/>
      <c r="C62" s="4"/>
      <c r="D62" s="18"/>
      <c r="E62" s="4"/>
      <c r="F62" s="18"/>
      <c r="G62" s="4"/>
    </row>
    <row r="63" spans="1:11" ht="12.75">
      <c r="A63" s="16">
        <v>18</v>
      </c>
      <c r="B63" s="4" t="s">
        <v>46</v>
      </c>
      <c r="C63" s="19">
        <f>+C61+C47</f>
        <v>420421610</v>
      </c>
      <c r="D63" s="18">
        <f>+D47+D61</f>
        <v>307321857.22</v>
      </c>
      <c r="E63" s="19">
        <f>+E61+E47</f>
        <v>113099752.78</v>
      </c>
      <c r="F63" s="18">
        <f>+F47+F61</f>
        <v>22832740.732476827</v>
      </c>
      <c r="G63" s="18">
        <f>+G61+G47</f>
        <v>135932493.51247683</v>
      </c>
      <c r="H63" s="2"/>
      <c r="I63" s="2"/>
      <c r="K63" s="2"/>
    </row>
    <row r="64" spans="1:7" ht="12.75">
      <c r="A64" s="16"/>
      <c r="B64" s="4"/>
      <c r="C64" s="4"/>
      <c r="D64" s="18"/>
      <c r="E64" s="4"/>
      <c r="F64" s="4"/>
      <c r="G64" s="4"/>
    </row>
    <row r="65" spans="1:11" ht="12.75">
      <c r="A65" s="16">
        <v>19</v>
      </c>
      <c r="B65" s="4" t="s">
        <v>18</v>
      </c>
      <c r="C65" s="19">
        <f>+C45-C63</f>
        <v>1848860</v>
      </c>
      <c r="D65" s="18">
        <f>+D45-D63</f>
        <v>1559282.519999981</v>
      </c>
      <c r="E65" s="18">
        <f>+E45-E63</f>
        <v>289577.4799999893</v>
      </c>
      <c r="F65" s="18">
        <f>+F45-F63</f>
        <v>-1500712.4346352108</v>
      </c>
      <c r="G65" s="18">
        <f>+G45-G63</f>
        <v>-1211134.9546352327</v>
      </c>
      <c r="H65" s="2"/>
      <c r="I65" s="2"/>
      <c r="K65" s="2"/>
    </row>
    <row r="66" spans="1:11" ht="12.75">
      <c r="A66" s="16">
        <v>20</v>
      </c>
      <c r="B66" s="4" t="s">
        <v>44</v>
      </c>
      <c r="C66" s="18">
        <v>1952682</v>
      </c>
      <c r="D66" s="18">
        <f>'Direct Serves'!C66</f>
        <v>0</v>
      </c>
      <c r="E66" s="19">
        <f>+C66-D66</f>
        <v>1952682</v>
      </c>
      <c r="F66" s="18">
        <v>-17695</v>
      </c>
      <c r="G66" s="18">
        <f>+F66+E66</f>
        <v>1934987</v>
      </c>
      <c r="H66" s="2"/>
      <c r="I66" s="2"/>
      <c r="K66" s="2"/>
    </row>
    <row r="67" spans="1:11" ht="12.75">
      <c r="A67" s="16">
        <v>21</v>
      </c>
      <c r="B67" s="4" t="s">
        <v>45</v>
      </c>
      <c r="C67" s="18">
        <v>-163</v>
      </c>
      <c r="D67" s="18">
        <f>'Direct Serves'!C67</f>
        <v>0</v>
      </c>
      <c r="E67" s="19">
        <f>+C67-D67</f>
        <v>-163</v>
      </c>
      <c r="F67" s="18">
        <v>117624</v>
      </c>
      <c r="G67" s="18">
        <f>+F67+E67</f>
        <v>117461</v>
      </c>
      <c r="H67" s="6"/>
      <c r="I67" s="6"/>
      <c r="K67" s="6"/>
    </row>
    <row r="68" spans="1:11" ht="15">
      <c r="A68" s="16">
        <v>22</v>
      </c>
      <c r="B68" s="4" t="s">
        <v>19</v>
      </c>
      <c r="C68" s="20">
        <v>227281</v>
      </c>
      <c r="D68" s="20">
        <f>'Direct Serves'!C68</f>
        <v>0</v>
      </c>
      <c r="E68" s="21">
        <f>+C68-D68</f>
        <v>227281</v>
      </c>
      <c r="F68" s="20">
        <v>135</v>
      </c>
      <c r="G68" s="20">
        <f>+F68+E68</f>
        <v>227416</v>
      </c>
      <c r="H68" s="7"/>
      <c r="I68" s="7"/>
      <c r="K68" s="7"/>
    </row>
    <row r="69" spans="1:7" ht="12.75">
      <c r="A69" s="16"/>
      <c r="B69" s="4"/>
      <c r="C69" s="4"/>
      <c r="D69" s="4"/>
      <c r="E69" s="4"/>
      <c r="F69" s="18"/>
      <c r="G69" s="4"/>
    </row>
    <row r="70" spans="1:13" ht="12.75">
      <c r="A70" s="16">
        <v>23</v>
      </c>
      <c r="B70" s="4" t="s">
        <v>20</v>
      </c>
      <c r="C70" s="19">
        <f>SUM(C65:C68)</f>
        <v>4028660</v>
      </c>
      <c r="D70" s="19">
        <f>SUM(D65:D68)</f>
        <v>1559282.519999981</v>
      </c>
      <c r="E70" s="19">
        <f>SUM(E65:E68)</f>
        <v>2469377.4799999893</v>
      </c>
      <c r="F70" s="19">
        <f>SUM(F65:F68)</f>
        <v>-1400648.4346352108</v>
      </c>
      <c r="G70" s="19">
        <f>SUM(G65:G68)</f>
        <v>1068729.0453647673</v>
      </c>
      <c r="H70" s="5"/>
      <c r="I70" s="5"/>
      <c r="J70" s="5"/>
      <c r="K70" s="5"/>
      <c r="M70" s="5"/>
    </row>
    <row r="71" spans="1:6" ht="12.75">
      <c r="A71" s="1"/>
      <c r="F71" s="2"/>
    </row>
    <row r="72" spans="1:11" ht="12.75">
      <c r="A72" s="1">
        <v>23</v>
      </c>
      <c r="B72" t="s">
        <v>21</v>
      </c>
      <c r="C72" s="10">
        <f>+C70/C57+1</f>
        <v>1.855718087507267</v>
      </c>
      <c r="D72" s="10"/>
      <c r="E72" s="10">
        <f>+E70/E57+1</f>
        <v>1.5308188989072455</v>
      </c>
      <c r="F72" s="2"/>
      <c r="G72" s="10">
        <f>+G70/G57+1</f>
        <v>1.210190277357361</v>
      </c>
      <c r="H72" s="10"/>
      <c r="I72" s="10"/>
      <c r="K72" s="10"/>
    </row>
    <row r="73" spans="1:6" ht="12.75">
      <c r="A73" s="1"/>
      <c r="F73" s="2"/>
    </row>
    <row r="74" spans="1:11" ht="12.75">
      <c r="A74" s="1">
        <v>24</v>
      </c>
      <c r="B74" t="s">
        <v>35</v>
      </c>
      <c r="C74" s="8">
        <f>+C70/C45</f>
        <v>0.009540472958007222</v>
      </c>
      <c r="D74" s="8">
        <f>+D70/D45</f>
        <v>0.005048163579403078</v>
      </c>
      <c r="E74" s="8">
        <f>+E70/E45</f>
        <v>0.021777864586886127</v>
      </c>
      <c r="F74" s="2"/>
      <c r="G74" s="8">
        <f>+G70/G45</f>
        <v>0.007932885006544203</v>
      </c>
      <c r="H74" s="8"/>
      <c r="I74" s="8"/>
      <c r="K74" s="8"/>
    </row>
    <row r="76" spans="3:11" ht="12.75">
      <c r="C76" s="12"/>
      <c r="D76" s="12"/>
      <c r="E76" s="12"/>
      <c r="F76" s="2"/>
      <c r="G76" s="12"/>
      <c r="H76" s="12"/>
      <c r="I76" s="12"/>
      <c r="J76" s="12"/>
      <c r="K76" s="12"/>
    </row>
    <row r="77" ht="12.75">
      <c r="F77" s="2"/>
    </row>
    <row r="78" spans="3:11" ht="12.75">
      <c r="C78" s="11"/>
      <c r="D78" s="11"/>
      <c r="E78" s="11"/>
      <c r="F78" s="2"/>
      <c r="G78" s="11"/>
      <c r="H78" s="11"/>
      <c r="I78" s="11"/>
      <c r="J78" s="11"/>
      <c r="K78" s="11"/>
    </row>
    <row r="79" spans="3:11" ht="12.75">
      <c r="C79" s="10"/>
      <c r="D79" s="10"/>
      <c r="E79" s="10"/>
      <c r="F79" s="2"/>
      <c r="G79" s="10"/>
      <c r="H79" s="10"/>
      <c r="I79" s="10"/>
      <c r="J79" s="10"/>
      <c r="K79" s="10"/>
    </row>
    <row r="80" spans="3:11" ht="12.75">
      <c r="C80" s="10"/>
      <c r="D80" s="10"/>
      <c r="E80" s="10"/>
      <c r="F80" s="2"/>
      <c r="G80" s="10"/>
      <c r="H80" s="10"/>
      <c r="I80" s="10"/>
      <c r="J80" s="10"/>
      <c r="K80" s="10"/>
    </row>
    <row r="81" ht="12.75">
      <c r="F81" s="2"/>
    </row>
    <row r="82" spans="4:11" ht="12.75">
      <c r="D82" s="10"/>
      <c r="E82" s="10"/>
      <c r="F82" s="2"/>
      <c r="G82" s="10"/>
      <c r="H82" s="10"/>
      <c r="I82" s="10"/>
      <c r="J82" s="10"/>
      <c r="K82" s="10"/>
    </row>
    <row r="83" ht="12.75">
      <c r="F83" s="2"/>
    </row>
    <row r="84" spans="4:11" ht="12.75">
      <c r="D84" s="10"/>
      <c r="E84" s="10"/>
      <c r="F84" s="2"/>
      <c r="G84" s="10"/>
      <c r="H84" s="10"/>
      <c r="I84" s="10"/>
      <c r="J84" s="10"/>
      <c r="K84" s="10"/>
    </row>
    <row r="85" spans="1:11" ht="12.75">
      <c r="A85" s="16">
        <v>1</v>
      </c>
      <c r="B85" s="4" t="s">
        <v>60</v>
      </c>
      <c r="C85" s="18">
        <v>297322072</v>
      </c>
      <c r="D85" s="18">
        <f>'Direct Serves'!C85</f>
        <v>1486372</v>
      </c>
      <c r="E85" s="18">
        <f>C85-D85</f>
        <v>295835700</v>
      </c>
      <c r="F85" s="18">
        <v>0</v>
      </c>
      <c r="G85" s="18">
        <f>F85+E85</f>
        <v>295835700</v>
      </c>
      <c r="H85" s="10"/>
      <c r="I85" s="10"/>
      <c r="J85" s="10"/>
      <c r="K85" s="10"/>
    </row>
    <row r="86" spans="1:11" ht="12.75">
      <c r="A86" s="16"/>
      <c r="B86" s="4"/>
      <c r="C86" s="18"/>
      <c r="D86" s="18"/>
      <c r="E86" s="18"/>
      <c r="F86" s="18"/>
      <c r="G86" s="18"/>
      <c r="H86" s="10"/>
      <c r="I86" s="10"/>
      <c r="J86" s="10"/>
      <c r="K86" s="10"/>
    </row>
    <row r="87" spans="1:7" ht="15">
      <c r="A87" s="16">
        <v>2</v>
      </c>
      <c r="B87" s="4" t="s">
        <v>61</v>
      </c>
      <c r="C87" s="20">
        <v>96309142</v>
      </c>
      <c r="D87" s="20">
        <f>'Direct Serves'!C87</f>
        <v>561466.0745648807</v>
      </c>
      <c r="E87" s="20">
        <f>C87-D87</f>
        <v>95747675.92543513</v>
      </c>
      <c r="F87" s="20">
        <v>0</v>
      </c>
      <c r="G87" s="20">
        <f>F87+E87</f>
        <v>95747675.92543513</v>
      </c>
    </row>
    <row r="88" spans="1:7" ht="12.75">
      <c r="A88" s="16"/>
      <c r="B88" s="4"/>
      <c r="C88" s="18"/>
      <c r="D88" s="18"/>
      <c r="E88" s="18"/>
      <c r="F88" s="18"/>
      <c r="G88" s="18"/>
    </row>
    <row r="89" spans="1:7" ht="12.75">
      <c r="A89" s="16">
        <v>3</v>
      </c>
      <c r="B89" s="4" t="s">
        <v>62</v>
      </c>
      <c r="C89" s="18">
        <f>C85-C87</f>
        <v>201012930</v>
      </c>
      <c r="D89" s="18">
        <f>D85-D87</f>
        <v>924905.9254351193</v>
      </c>
      <c r="E89" s="18">
        <f>E85-E87</f>
        <v>200088024.07456487</v>
      </c>
      <c r="F89" s="18">
        <f>F85-F87</f>
        <v>0</v>
      </c>
      <c r="G89" s="18">
        <f>F89+E89</f>
        <v>200088024.07456487</v>
      </c>
    </row>
    <row r="90" spans="1:7" ht="15">
      <c r="A90" s="16">
        <v>4</v>
      </c>
      <c r="B90" s="4" t="s">
        <v>63</v>
      </c>
      <c r="C90" s="20">
        <v>2974419</v>
      </c>
      <c r="D90" s="20">
        <f>'Direct Serves'!C90</f>
        <v>29720.1525</v>
      </c>
      <c r="E90" s="20">
        <f>C90-D90</f>
        <v>2944698.8475</v>
      </c>
      <c r="F90" s="20">
        <f>0.125*SUM(F49:F54)</f>
        <v>1731.8155540313928</v>
      </c>
      <c r="G90" s="20">
        <f>F90+E90</f>
        <v>2946430.6630540313</v>
      </c>
    </row>
    <row r="91" spans="1:7" ht="12.75">
      <c r="A91" s="16"/>
      <c r="B91" s="4"/>
      <c r="C91" s="18"/>
      <c r="D91" s="18"/>
      <c r="E91" s="18"/>
      <c r="F91" s="18"/>
      <c r="G91" s="18"/>
    </row>
    <row r="92" spans="1:7" ht="12.75">
      <c r="A92" s="16">
        <v>5</v>
      </c>
      <c r="B92" s="4" t="s">
        <v>64</v>
      </c>
      <c r="C92" s="18">
        <f>C90+C89</f>
        <v>203987349</v>
      </c>
      <c r="D92" s="18">
        <f>D90+D89</f>
        <v>954626.0779351193</v>
      </c>
      <c r="E92" s="18">
        <f>E90+E89</f>
        <v>203032722.92206487</v>
      </c>
      <c r="F92" s="18">
        <f>F90+F89</f>
        <v>1731.8155540313928</v>
      </c>
      <c r="G92" s="18">
        <f>G90+G89</f>
        <v>203034454.7376189</v>
      </c>
    </row>
    <row r="93" spans="2:7" ht="12.75">
      <c r="B93" s="4"/>
      <c r="C93" s="18"/>
      <c r="D93" s="18"/>
      <c r="E93" s="18"/>
      <c r="F93" s="18"/>
      <c r="G93" s="18"/>
    </row>
    <row r="94" spans="2:7" ht="12.75">
      <c r="B94" s="4"/>
      <c r="C94" s="18"/>
      <c r="D94" s="18"/>
      <c r="E94" s="18"/>
      <c r="F94" s="18"/>
      <c r="G94" s="18"/>
    </row>
    <row r="95" spans="2:7" ht="12.75">
      <c r="B95" s="4"/>
      <c r="C95" s="18"/>
      <c r="D95" s="18"/>
      <c r="E95" s="18"/>
      <c r="F95" s="18"/>
      <c r="G95" s="18"/>
    </row>
    <row r="96" spans="2:7" ht="12.75">
      <c r="B96" s="4"/>
      <c r="C96" s="18"/>
      <c r="D96" s="18"/>
      <c r="E96" s="18"/>
      <c r="F96" s="18"/>
      <c r="G96" s="18"/>
    </row>
    <row r="97" spans="2:7" ht="12.75">
      <c r="B97" s="4"/>
      <c r="C97" s="18"/>
      <c r="D97" s="18"/>
      <c r="E97" s="18"/>
      <c r="F97" s="18"/>
      <c r="G97" s="18"/>
    </row>
    <row r="98" spans="2:7" ht="12.75">
      <c r="B98" s="4"/>
      <c r="C98" s="18"/>
      <c r="D98" s="18"/>
      <c r="E98" s="18"/>
      <c r="F98" s="18"/>
      <c r="G98" s="18"/>
    </row>
    <row r="99" spans="2:7" ht="12.75">
      <c r="B99" s="4"/>
      <c r="C99" s="18"/>
      <c r="D99" s="18"/>
      <c r="E99" s="18"/>
      <c r="F99" s="18"/>
      <c r="G99" s="18"/>
    </row>
    <row r="100" spans="2:7" ht="12.75">
      <c r="B100" s="4"/>
      <c r="C100" s="18"/>
      <c r="D100" s="18"/>
      <c r="E100" s="18"/>
      <c r="F100" s="18"/>
      <c r="G100" s="18"/>
    </row>
    <row r="101" spans="2:7" ht="12.75">
      <c r="B101" s="4"/>
      <c r="C101" s="18"/>
      <c r="D101" s="18"/>
      <c r="E101" s="18"/>
      <c r="F101" s="18"/>
      <c r="G101" s="18"/>
    </row>
    <row r="102" spans="2:7" ht="12.75">
      <c r="B102" s="4"/>
      <c r="C102" s="18"/>
      <c r="D102" s="18"/>
      <c r="E102" s="18"/>
      <c r="F102" s="18"/>
      <c r="G102" s="18"/>
    </row>
    <row r="103" spans="3:7" ht="12.75">
      <c r="C103" s="2"/>
      <c r="D103" s="2"/>
      <c r="E103" s="2"/>
      <c r="F103" s="2"/>
      <c r="G103" s="2"/>
    </row>
    <row r="104" spans="3:7" ht="12.75">
      <c r="C104" s="2"/>
      <c r="D104" s="2"/>
      <c r="E104" s="2"/>
      <c r="F104" s="2"/>
      <c r="G104" s="2"/>
    </row>
    <row r="105" spans="3:7" ht="12.75">
      <c r="C105" s="2"/>
      <c r="D105" s="2"/>
      <c r="E105" s="2"/>
      <c r="F105" s="2"/>
      <c r="G105" s="2"/>
    </row>
    <row r="106" spans="3:7" ht="12.75">
      <c r="C106" s="2"/>
      <c r="D106" s="2"/>
      <c r="E106" s="2"/>
      <c r="F106" s="2"/>
      <c r="G106" s="2"/>
    </row>
    <row r="107" spans="3:7" ht="12.75">
      <c r="C107" s="2"/>
      <c r="D107" s="2"/>
      <c r="E107" s="2"/>
      <c r="F107" s="2"/>
      <c r="G107" s="2"/>
    </row>
    <row r="108" spans="3:7" ht="12.75">
      <c r="C108" s="2"/>
      <c r="D108" s="2"/>
      <c r="E108" s="2"/>
      <c r="F108" s="2"/>
      <c r="G108" s="2"/>
    </row>
    <row r="109" spans="3:7" ht="12.75">
      <c r="C109" s="2"/>
      <c r="D109" s="2"/>
      <c r="E109" s="2"/>
      <c r="F109" s="2"/>
      <c r="G109" s="2"/>
    </row>
    <row r="110" spans="3:7" ht="12.75">
      <c r="C110" s="2"/>
      <c r="D110" s="2"/>
      <c r="E110" s="2"/>
      <c r="F110" s="2"/>
      <c r="G110" s="2"/>
    </row>
    <row r="111" spans="3:7" ht="12.75">
      <c r="C111" s="2"/>
      <c r="D111" s="2"/>
      <c r="E111" s="2"/>
      <c r="F111" s="2"/>
      <c r="G111" s="2"/>
    </row>
    <row r="112" spans="3:7" ht="12.75">
      <c r="C112" s="2"/>
      <c r="D112" s="2"/>
      <c r="E112" s="2"/>
      <c r="F112" s="2"/>
      <c r="G112" s="2"/>
    </row>
    <row r="113" spans="3:7" ht="12.75">
      <c r="C113" s="2"/>
      <c r="D113" s="2"/>
      <c r="E113" s="2"/>
      <c r="F113" s="2"/>
      <c r="G113" s="2"/>
    </row>
    <row r="114" spans="3:7" ht="12.75">
      <c r="C114" s="2"/>
      <c r="D114" s="2"/>
      <c r="E114" s="2"/>
      <c r="F114" s="2"/>
      <c r="G114" s="2"/>
    </row>
    <row r="115" spans="3:7" ht="12.75">
      <c r="C115" s="2"/>
      <c r="D115" s="2"/>
      <c r="E115" s="2"/>
      <c r="F115" s="2"/>
      <c r="G115" s="2"/>
    </row>
    <row r="116" spans="3:7" ht="12.75">
      <c r="C116" s="2"/>
      <c r="D116" s="2"/>
      <c r="E116" s="2"/>
      <c r="F116" s="2"/>
      <c r="G116" s="2"/>
    </row>
    <row r="117" spans="3:7" ht="12.75">
      <c r="C117" s="2"/>
      <c r="D117" s="2"/>
      <c r="E117" s="2"/>
      <c r="F117" s="2"/>
      <c r="G117" s="2"/>
    </row>
    <row r="118" spans="3:7" ht="12.75">
      <c r="C118" s="2"/>
      <c r="D118" s="2"/>
      <c r="E118" s="2"/>
      <c r="F118" s="2"/>
      <c r="G118" s="2"/>
    </row>
    <row r="119" spans="3:7" ht="12.75">
      <c r="C119" s="2"/>
      <c r="D119" s="2"/>
      <c r="E119" s="2"/>
      <c r="F119" s="2"/>
      <c r="G119" s="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7" sqref="G47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14.28125" style="0" customWidth="1"/>
    <col min="4" max="4" width="13.28125" style="0" customWidth="1"/>
    <col min="5" max="5" width="13.57421875" style="0" customWidth="1"/>
    <col min="6" max="6" width="12.140625" style="0" customWidth="1"/>
    <col min="7" max="9" width="14.7109375" style="0" customWidth="1"/>
    <col min="10" max="10" width="10.57421875" style="0" customWidth="1"/>
  </cols>
  <sheetData>
    <row r="1" spans="1:8" ht="12.75">
      <c r="A1" s="15" t="s">
        <v>0</v>
      </c>
      <c r="B1" s="15"/>
      <c r="C1" s="15"/>
      <c r="D1" s="15"/>
      <c r="E1" s="15"/>
      <c r="F1" s="15"/>
      <c r="G1" s="26"/>
      <c r="H1" s="26"/>
    </row>
    <row r="2" spans="1:8" ht="12.75">
      <c r="A2" s="15" t="s">
        <v>40</v>
      </c>
      <c r="B2" s="15"/>
      <c r="C2" s="15"/>
      <c r="D2" s="15"/>
      <c r="E2" s="15"/>
      <c r="F2" s="15"/>
      <c r="G2" s="26"/>
      <c r="H2" s="26"/>
    </row>
    <row r="3" spans="1:8" ht="12.75">
      <c r="A3" s="15" t="s">
        <v>65</v>
      </c>
      <c r="B3" s="15"/>
      <c r="C3" s="15"/>
      <c r="D3" s="15"/>
      <c r="E3" s="15"/>
      <c r="F3" s="15"/>
      <c r="G3" s="26"/>
      <c r="H3" s="26"/>
    </row>
    <row r="4" spans="1:8" ht="12.75">
      <c r="A4" s="15" t="s">
        <v>47</v>
      </c>
      <c r="B4" s="15"/>
      <c r="C4" s="15"/>
      <c r="D4" s="15"/>
      <c r="E4" s="15"/>
      <c r="F4" s="15"/>
      <c r="G4" s="26"/>
      <c r="H4" s="26"/>
    </row>
    <row r="5" spans="1:6" ht="12.75">
      <c r="A5" s="4"/>
      <c r="B5" s="4"/>
      <c r="C5" s="4"/>
      <c r="D5" s="4"/>
      <c r="E5" s="4"/>
      <c r="F5" s="4"/>
    </row>
    <row r="6" spans="1:8" ht="12.75">
      <c r="A6" s="16"/>
      <c r="B6" s="4"/>
      <c r="C6" s="4"/>
      <c r="D6" s="4"/>
      <c r="E6" s="4"/>
      <c r="F6" s="4"/>
      <c r="G6" s="1"/>
      <c r="H6" s="1"/>
    </row>
    <row r="7" spans="1:8" ht="12.75">
      <c r="A7" s="16"/>
      <c r="B7" s="16"/>
      <c r="C7" s="16" t="s">
        <v>39</v>
      </c>
      <c r="D7" s="16" t="s">
        <v>58</v>
      </c>
      <c r="E7" s="16" t="s">
        <v>58</v>
      </c>
      <c r="F7" s="16" t="s">
        <v>58</v>
      </c>
      <c r="G7" s="16" t="s">
        <v>22</v>
      </c>
      <c r="H7" s="16"/>
    </row>
    <row r="8" spans="1:8" ht="12.75">
      <c r="A8" s="16" t="s">
        <v>4</v>
      </c>
      <c r="B8" s="16"/>
      <c r="C8" s="16" t="s">
        <v>22</v>
      </c>
      <c r="D8" s="16" t="s">
        <v>59</v>
      </c>
      <c r="E8" s="16" t="s">
        <v>59</v>
      </c>
      <c r="F8" s="16" t="s">
        <v>59</v>
      </c>
      <c r="G8" s="16" t="s">
        <v>26</v>
      </c>
      <c r="H8" s="16" t="s">
        <v>22</v>
      </c>
    </row>
    <row r="9" spans="1:8" ht="12.75">
      <c r="A9" s="16" t="s">
        <v>5</v>
      </c>
      <c r="B9" s="17" t="s">
        <v>6</v>
      </c>
      <c r="C9" s="17" t="s">
        <v>26</v>
      </c>
      <c r="D9" s="17" t="s">
        <v>27</v>
      </c>
      <c r="E9" s="17" t="s">
        <v>28</v>
      </c>
      <c r="F9" s="17" t="s">
        <v>29</v>
      </c>
      <c r="G9" s="17" t="s">
        <v>57</v>
      </c>
      <c r="H9" s="16" t="s">
        <v>26</v>
      </c>
    </row>
    <row r="10" spans="1:8" ht="12.75">
      <c r="A10" s="4"/>
      <c r="B10" s="16" t="s">
        <v>1</v>
      </c>
      <c r="C10" s="16" t="s">
        <v>2</v>
      </c>
      <c r="D10" s="16" t="s">
        <v>23</v>
      </c>
      <c r="E10" s="16" t="s">
        <v>3</v>
      </c>
      <c r="F10" s="16" t="s">
        <v>24</v>
      </c>
      <c r="G10" s="16" t="s">
        <v>32</v>
      </c>
      <c r="H10" s="16" t="s">
        <v>33</v>
      </c>
    </row>
    <row r="11" spans="1:8" ht="12.75">
      <c r="A11" s="4"/>
      <c r="B11" s="16"/>
      <c r="C11" s="16"/>
      <c r="D11" s="16"/>
      <c r="E11" s="16"/>
      <c r="F11" s="16"/>
      <c r="G11" s="16"/>
      <c r="H11" s="16"/>
    </row>
    <row r="12" spans="1:8" ht="12.75">
      <c r="A12" s="16">
        <v>1</v>
      </c>
      <c r="B12" s="4" t="s">
        <v>48</v>
      </c>
      <c r="C12" s="23">
        <f aca="true" t="shared" si="0" ref="C12:H12">+C45/1000</f>
        <v>308881.139</v>
      </c>
      <c r="D12" s="23">
        <f t="shared" si="0"/>
        <v>258778.301</v>
      </c>
      <c r="E12" s="23">
        <f t="shared" si="0"/>
        <v>31097.106</v>
      </c>
      <c r="F12" s="23">
        <f t="shared" si="0"/>
        <v>19005.732</v>
      </c>
      <c r="G12" s="23">
        <f t="shared" si="0"/>
        <v>12931.116</v>
      </c>
      <c r="H12" s="23">
        <f t="shared" si="0"/>
        <v>321812.255</v>
      </c>
    </row>
    <row r="13" spans="1:8" ht="12.75">
      <c r="A13" s="16"/>
      <c r="B13" s="4"/>
      <c r="C13" s="23"/>
      <c r="D13" s="23"/>
      <c r="E13" s="23"/>
      <c r="F13" s="23"/>
      <c r="G13" s="23"/>
      <c r="H13" s="23"/>
    </row>
    <row r="14" spans="1:8" ht="12.75">
      <c r="A14" s="16">
        <v>2</v>
      </c>
      <c r="B14" s="4" t="s">
        <v>7</v>
      </c>
      <c r="C14" s="23">
        <f aca="true" t="shared" si="1" ref="C14:F28">+C47/1000</f>
        <v>306512.393</v>
      </c>
      <c r="D14" s="23">
        <f t="shared" si="1"/>
        <v>257889.769</v>
      </c>
      <c r="E14" s="23">
        <f t="shared" si="1"/>
        <v>30884.826</v>
      </c>
      <c r="F14" s="23">
        <f t="shared" si="1"/>
        <v>17737.798</v>
      </c>
      <c r="G14" s="23">
        <f>+G47/1000</f>
        <v>12832.415</v>
      </c>
      <c r="H14" s="23">
        <f>+H47/1000</f>
        <v>319344.808</v>
      </c>
    </row>
    <row r="15" spans="1:8" ht="12.75">
      <c r="A15" s="16"/>
      <c r="B15" s="4"/>
      <c r="C15" s="23"/>
      <c r="D15" s="23"/>
      <c r="E15" s="23"/>
      <c r="F15" s="23"/>
      <c r="G15" s="23"/>
      <c r="H15" s="23"/>
    </row>
    <row r="16" spans="1:8" ht="12.75">
      <c r="A16" s="16">
        <v>3</v>
      </c>
      <c r="B16" s="4" t="s">
        <v>49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aca="true" t="shared" si="2" ref="G16:H28">+G49/1000</f>
        <v>0</v>
      </c>
      <c r="H16" s="23">
        <f t="shared" si="2"/>
        <v>0</v>
      </c>
    </row>
    <row r="17" spans="1:8" ht="12.75">
      <c r="A17" s="16">
        <v>4</v>
      </c>
      <c r="B17" s="4" t="s">
        <v>50</v>
      </c>
      <c r="C17" s="23">
        <f t="shared" si="1"/>
        <v>75.74232</v>
      </c>
      <c r="D17" s="23">
        <f t="shared" si="1"/>
        <v>0</v>
      </c>
      <c r="E17" s="23">
        <f t="shared" si="1"/>
        <v>0</v>
      </c>
      <c r="F17" s="23">
        <f t="shared" si="1"/>
        <v>75.74232</v>
      </c>
      <c r="G17" s="23">
        <f t="shared" si="2"/>
        <v>-0.8472104142725445</v>
      </c>
      <c r="H17" s="23">
        <f t="shared" si="2"/>
        <v>74.89510958572747</v>
      </c>
    </row>
    <row r="18" spans="1:8" ht="12.75">
      <c r="A18" s="16">
        <v>5</v>
      </c>
      <c r="B18" s="4" t="s">
        <v>11</v>
      </c>
      <c r="C18" s="23">
        <f t="shared" si="1"/>
        <v>4.344</v>
      </c>
      <c r="D18" s="23">
        <f t="shared" si="1"/>
        <v>2.946</v>
      </c>
      <c r="E18" s="23">
        <f t="shared" si="1"/>
        <v>0.21</v>
      </c>
      <c r="F18" s="23">
        <f t="shared" si="1"/>
        <v>1.188</v>
      </c>
      <c r="G18" s="23">
        <f t="shared" si="2"/>
        <v>0.07616826373034431</v>
      </c>
      <c r="H18" s="23">
        <f t="shared" si="2"/>
        <v>4.4201682637303445</v>
      </c>
    </row>
    <row r="19" spans="1:8" ht="12.75">
      <c r="A19" s="16">
        <v>6</v>
      </c>
      <c r="B19" s="4" t="s">
        <v>42</v>
      </c>
      <c r="C19" s="23">
        <f t="shared" si="1"/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2"/>
        <v>0</v>
      </c>
      <c r="H19" s="23">
        <f t="shared" si="2"/>
        <v>0</v>
      </c>
    </row>
    <row r="20" spans="1:8" ht="12.75">
      <c r="A20" s="16">
        <v>7</v>
      </c>
      <c r="B20" s="4" t="s">
        <v>12</v>
      </c>
      <c r="C20" s="23">
        <f t="shared" si="1"/>
        <v>0.2509</v>
      </c>
      <c r="D20" s="23">
        <f t="shared" si="1"/>
        <v>0.0229</v>
      </c>
      <c r="E20" s="23">
        <f t="shared" si="1"/>
        <v>0.034</v>
      </c>
      <c r="F20" s="23">
        <f t="shared" si="1"/>
        <v>0.194</v>
      </c>
      <c r="G20" s="23">
        <f t="shared" si="2"/>
        <v>-0.24705557276172624</v>
      </c>
      <c r="H20" s="23">
        <f t="shared" si="2"/>
        <v>0.0038444272382737667</v>
      </c>
    </row>
    <row r="21" spans="1:8" ht="12.75">
      <c r="A21" s="16">
        <v>8</v>
      </c>
      <c r="B21" s="4" t="s">
        <v>51</v>
      </c>
      <c r="C21" s="23">
        <f t="shared" si="1"/>
        <v>157.424</v>
      </c>
      <c r="D21" s="23">
        <f t="shared" si="1"/>
        <v>79.459</v>
      </c>
      <c r="E21" s="23">
        <f t="shared" si="1"/>
        <v>15.228</v>
      </c>
      <c r="F21" s="23">
        <f t="shared" si="1"/>
        <v>62.737</v>
      </c>
      <c r="G21" s="23">
        <f t="shared" si="2"/>
        <v>-6.55493475330357</v>
      </c>
      <c r="H21" s="23">
        <f t="shared" si="2"/>
        <v>150.86906524669644</v>
      </c>
    </row>
    <row r="22" spans="1:8" ht="12.75">
      <c r="A22" s="16">
        <v>9</v>
      </c>
      <c r="B22" s="4" t="s">
        <v>14</v>
      </c>
      <c r="C22" s="23">
        <f t="shared" si="1"/>
        <v>56.218</v>
      </c>
      <c r="D22" s="23">
        <f t="shared" si="1"/>
        <v>0</v>
      </c>
      <c r="E22" s="23">
        <f t="shared" si="1"/>
        <v>0</v>
      </c>
      <c r="F22" s="23">
        <f t="shared" si="1"/>
        <v>56.218</v>
      </c>
      <c r="G22" s="23">
        <f t="shared" si="2"/>
        <v>0</v>
      </c>
      <c r="H22" s="23">
        <f t="shared" si="2"/>
        <v>56.218</v>
      </c>
    </row>
    <row r="23" spans="1:8" ht="12.75">
      <c r="A23" s="16">
        <v>10</v>
      </c>
      <c r="B23" s="4" t="s">
        <v>41</v>
      </c>
      <c r="C23" s="23">
        <f t="shared" si="1"/>
        <v>457.698</v>
      </c>
      <c r="D23" s="23">
        <f t="shared" si="1"/>
        <v>408.192</v>
      </c>
      <c r="E23" s="23">
        <f t="shared" si="1"/>
        <v>31.266</v>
      </c>
      <c r="F23" s="23">
        <f t="shared" si="1"/>
        <v>18.24</v>
      </c>
      <c r="G23" s="23">
        <f t="shared" si="2"/>
        <v>96.89564892146326</v>
      </c>
      <c r="H23" s="23">
        <f t="shared" si="2"/>
        <v>554.5936489214633</v>
      </c>
    </row>
    <row r="24" spans="1:8" ht="12.75">
      <c r="A24" s="16">
        <v>11</v>
      </c>
      <c r="B24" s="4" t="s">
        <v>52</v>
      </c>
      <c r="C24" s="23">
        <f t="shared" si="1"/>
        <v>55.914</v>
      </c>
      <c r="D24" s="23">
        <f t="shared" si="1"/>
        <v>0</v>
      </c>
      <c r="E24" s="23">
        <f t="shared" si="1"/>
        <v>0</v>
      </c>
      <c r="F24" s="23">
        <f t="shared" si="1"/>
        <v>55.914</v>
      </c>
      <c r="G24" s="23">
        <f t="shared" si="2"/>
        <v>5.199118419585342</v>
      </c>
      <c r="H24" s="23">
        <f t="shared" si="2"/>
        <v>61.11311841958534</v>
      </c>
    </row>
    <row r="25" spans="1:8" ht="12.75">
      <c r="A25" s="16">
        <v>12</v>
      </c>
      <c r="B25" s="4" t="s">
        <v>53</v>
      </c>
      <c r="C25" s="23">
        <f t="shared" si="1"/>
        <v>0</v>
      </c>
      <c r="D25" s="23">
        <f t="shared" si="1"/>
        <v>0</v>
      </c>
      <c r="E25" s="23">
        <f t="shared" si="1"/>
        <v>0</v>
      </c>
      <c r="F25" s="23">
        <f t="shared" si="1"/>
        <v>0</v>
      </c>
      <c r="G25" s="23">
        <f t="shared" si="2"/>
        <v>0</v>
      </c>
      <c r="H25" s="23">
        <f t="shared" si="2"/>
        <v>0</v>
      </c>
    </row>
    <row r="26" spans="1:8" ht="12.75">
      <c r="A26" s="16">
        <v>13</v>
      </c>
      <c r="B26" s="4" t="s">
        <v>16</v>
      </c>
      <c r="C26" s="23">
        <f t="shared" si="1"/>
        <v>1.873</v>
      </c>
      <c r="D26" s="23">
        <f t="shared" si="1"/>
        <v>0</v>
      </c>
      <c r="E26" s="23">
        <f t="shared" si="1"/>
        <v>0</v>
      </c>
      <c r="F26" s="23">
        <f t="shared" si="1"/>
        <v>0</v>
      </c>
      <c r="G26" s="23">
        <f t="shared" si="2"/>
        <v>0</v>
      </c>
      <c r="H26" s="23">
        <f t="shared" si="2"/>
        <v>1.873</v>
      </c>
    </row>
    <row r="27" spans="1:8" ht="15">
      <c r="A27" s="16">
        <v>14</v>
      </c>
      <c r="B27" s="4" t="s">
        <v>17</v>
      </c>
      <c r="C27" s="24">
        <f t="shared" si="1"/>
        <v>0</v>
      </c>
      <c r="D27" s="24">
        <f t="shared" si="1"/>
        <v>0</v>
      </c>
      <c r="E27" s="24">
        <f t="shared" si="1"/>
        <v>0</v>
      </c>
      <c r="F27" s="24">
        <f t="shared" si="1"/>
        <v>0</v>
      </c>
      <c r="G27" s="24">
        <f t="shared" si="2"/>
        <v>0</v>
      </c>
      <c r="H27" s="24">
        <f t="shared" si="2"/>
        <v>0</v>
      </c>
    </row>
    <row r="28" spans="1:8" ht="12.75">
      <c r="A28" s="16">
        <v>15</v>
      </c>
      <c r="B28" s="4" t="s">
        <v>8</v>
      </c>
      <c r="C28" s="23">
        <f t="shared" si="1"/>
        <v>809.46422</v>
      </c>
      <c r="D28" s="23">
        <f t="shared" si="1"/>
        <v>490.61990000000003</v>
      </c>
      <c r="E28" s="23">
        <f t="shared" si="1"/>
        <v>46.738</v>
      </c>
      <c r="F28" s="23">
        <f t="shared" si="1"/>
        <v>270.23332</v>
      </c>
      <c r="G28" s="23">
        <f t="shared" si="2"/>
        <v>94.52173486444111</v>
      </c>
      <c r="H28" s="23">
        <f t="shared" si="2"/>
        <v>903.9859548644412</v>
      </c>
    </row>
    <row r="29" spans="1:8" ht="12.75">
      <c r="A29" s="16"/>
      <c r="B29" s="4"/>
      <c r="C29" s="23"/>
      <c r="D29" s="23"/>
      <c r="E29" s="23"/>
      <c r="F29" s="23"/>
      <c r="G29" s="23"/>
      <c r="H29" s="23"/>
    </row>
    <row r="30" spans="1:8" ht="12.75">
      <c r="A30" s="16">
        <v>18</v>
      </c>
      <c r="B30" s="4" t="s">
        <v>46</v>
      </c>
      <c r="C30" s="23">
        <f aca="true" t="shared" si="3" ref="C30:F37">+C63/1000</f>
        <v>307321.85722</v>
      </c>
      <c r="D30" s="23">
        <f t="shared" si="3"/>
        <v>258380.38890000002</v>
      </c>
      <c r="E30" s="23">
        <f t="shared" si="3"/>
        <v>30931.564</v>
      </c>
      <c r="F30" s="23">
        <f t="shared" si="3"/>
        <v>18008.031320000002</v>
      </c>
      <c r="G30" s="23">
        <f>+G63/1000</f>
        <v>12926.936734864441</v>
      </c>
      <c r="H30" s="23">
        <f>+H63/1000</f>
        <v>320248.79395486444</v>
      </c>
    </row>
    <row r="31" spans="1:8" ht="12.75">
      <c r="A31" s="16"/>
      <c r="B31" s="4"/>
      <c r="C31" s="23"/>
      <c r="D31" s="23"/>
      <c r="E31" s="23"/>
      <c r="F31" s="23"/>
      <c r="G31" s="23"/>
      <c r="H31" s="23"/>
    </row>
    <row r="32" spans="1:8" ht="12.75">
      <c r="A32" s="16">
        <v>19</v>
      </c>
      <c r="B32" s="4" t="s">
        <v>18</v>
      </c>
      <c r="C32" s="23">
        <f t="shared" si="3"/>
        <v>1559.2817799999714</v>
      </c>
      <c r="D32" s="23">
        <f t="shared" si="3"/>
        <v>397.91209999999404</v>
      </c>
      <c r="E32" s="23">
        <f t="shared" si="3"/>
        <v>165.542</v>
      </c>
      <c r="F32" s="23">
        <f t="shared" si="3"/>
        <v>997.7006799999997</v>
      </c>
      <c r="G32" s="23">
        <f aca="true" t="shared" si="4" ref="G32:H35">+G65/1000</f>
        <v>4.179265135558322</v>
      </c>
      <c r="H32" s="23">
        <f t="shared" si="4"/>
        <v>1563.4610451355577</v>
      </c>
    </row>
    <row r="33" spans="1:8" ht="12.75">
      <c r="A33" s="16">
        <v>20</v>
      </c>
      <c r="B33" s="4" t="s">
        <v>54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4"/>
        <v>0</v>
      </c>
      <c r="H33" s="23">
        <f t="shared" si="4"/>
        <v>0</v>
      </c>
    </row>
    <row r="34" spans="1:8" ht="15">
      <c r="A34" s="16">
        <v>21</v>
      </c>
      <c r="B34" s="4" t="s">
        <v>55</v>
      </c>
      <c r="C34" s="24">
        <f t="shared" si="3"/>
        <v>0</v>
      </c>
      <c r="D34" s="24">
        <f t="shared" si="3"/>
        <v>0</v>
      </c>
      <c r="E34" s="24">
        <f t="shared" si="3"/>
        <v>0</v>
      </c>
      <c r="F34" s="24">
        <f t="shared" si="3"/>
        <v>0</v>
      </c>
      <c r="G34" s="24">
        <f t="shared" si="4"/>
        <v>0</v>
      </c>
      <c r="H34" s="24">
        <f t="shared" si="4"/>
        <v>0</v>
      </c>
    </row>
    <row r="35" spans="1:8" ht="12.75">
      <c r="A35" s="16">
        <v>22</v>
      </c>
      <c r="B35" s="4" t="s">
        <v>56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4"/>
        <v>0</v>
      </c>
      <c r="H35" s="23">
        <f t="shared" si="4"/>
        <v>0</v>
      </c>
    </row>
    <row r="36" spans="1:8" ht="12.75">
      <c r="A36" s="16"/>
      <c r="B36" s="4"/>
      <c r="C36" s="23"/>
      <c r="D36" s="23"/>
      <c r="E36" s="23"/>
      <c r="F36" s="23"/>
      <c r="G36" s="23"/>
      <c r="H36" s="23"/>
    </row>
    <row r="37" spans="1:8" ht="12.75">
      <c r="A37" s="16">
        <v>23</v>
      </c>
      <c r="B37" s="4" t="s">
        <v>20</v>
      </c>
      <c r="C37" s="23">
        <f t="shared" si="3"/>
        <v>1559.2817799999714</v>
      </c>
      <c r="D37" s="23">
        <f t="shared" si="3"/>
        <v>397.91209999999404</v>
      </c>
      <c r="E37" s="23">
        <f t="shared" si="3"/>
        <v>165.542</v>
      </c>
      <c r="F37" s="23">
        <f t="shared" si="3"/>
        <v>997.7006799999997</v>
      </c>
      <c r="G37" s="23">
        <f>+G70/1000</f>
        <v>4.179265135558322</v>
      </c>
      <c r="H37" s="23">
        <f>+H70/1000</f>
        <v>1563.4610451355577</v>
      </c>
    </row>
    <row r="38" spans="1:8" ht="12.75">
      <c r="A38" s="4"/>
      <c r="B38" s="16"/>
      <c r="C38" s="16"/>
      <c r="D38" s="16"/>
      <c r="E38" s="16"/>
      <c r="F38" s="16"/>
      <c r="G38" s="16"/>
      <c r="H38" s="16"/>
    </row>
    <row r="39" spans="1:8" ht="12.75">
      <c r="A39" s="4"/>
      <c r="B39" s="16"/>
      <c r="C39" s="16"/>
      <c r="D39" s="16"/>
      <c r="E39" s="16"/>
      <c r="F39" s="16"/>
      <c r="G39" s="16"/>
      <c r="H39" s="16"/>
    </row>
    <row r="40" spans="1:8" ht="12.75">
      <c r="A40" s="4"/>
      <c r="B40" s="16"/>
      <c r="C40" s="16"/>
      <c r="D40" s="16"/>
      <c r="E40" s="16"/>
      <c r="F40" s="16"/>
      <c r="G40" s="16"/>
      <c r="H40" s="16"/>
    </row>
    <row r="41" spans="1:8" ht="12.75">
      <c r="A41" s="4"/>
      <c r="B41" s="16"/>
      <c r="C41" s="16"/>
      <c r="D41" s="16"/>
      <c r="E41" s="16"/>
      <c r="F41" s="16"/>
      <c r="G41" s="16"/>
      <c r="H41" s="16"/>
    </row>
    <row r="42" spans="1:8" ht="12.75">
      <c r="A42" s="4"/>
      <c r="B42" s="16"/>
      <c r="C42" s="16"/>
      <c r="D42" s="16"/>
      <c r="E42" s="16"/>
      <c r="F42" s="16"/>
      <c r="G42" s="16"/>
      <c r="H42" s="16"/>
    </row>
    <row r="43" spans="1:8" ht="12.75">
      <c r="A43" s="4"/>
      <c r="B43" s="16"/>
      <c r="C43" s="16"/>
      <c r="D43" s="16"/>
      <c r="E43" s="16"/>
      <c r="F43" s="16"/>
      <c r="G43" s="16"/>
      <c r="H43" s="16"/>
    </row>
    <row r="44" spans="1:8" ht="12.75">
      <c r="A44" s="4"/>
      <c r="B44" s="16"/>
      <c r="C44" s="16"/>
      <c r="D44" s="16"/>
      <c r="E44" s="16"/>
      <c r="F44" s="16"/>
      <c r="G44" s="16"/>
      <c r="H44" s="16"/>
    </row>
    <row r="45" spans="1:8" ht="12.75">
      <c r="A45" s="16">
        <v>1</v>
      </c>
      <c r="B45" s="4" t="s">
        <v>25</v>
      </c>
      <c r="C45" s="18">
        <f>+D45+E45+F45</f>
        <v>308881139</v>
      </c>
      <c r="D45" s="18">
        <v>258778301</v>
      </c>
      <c r="E45" s="18">
        <v>31097106</v>
      </c>
      <c r="F45" s="18">
        <f>1634+19004098</f>
        <v>19005732</v>
      </c>
      <c r="G45" s="18">
        <f>84206+8285828+4561082</f>
        <v>12931116</v>
      </c>
      <c r="H45" s="18">
        <f>G45+C45</f>
        <v>321812255</v>
      </c>
    </row>
    <row r="46" spans="1:8" ht="12.75">
      <c r="A46" s="16"/>
      <c r="B46" s="4"/>
      <c r="C46" s="18"/>
      <c r="D46" s="18"/>
      <c r="E46" s="18"/>
      <c r="F46" s="4"/>
      <c r="G46" s="18"/>
      <c r="H46" s="18"/>
    </row>
    <row r="47" spans="1:8" ht="12.75">
      <c r="A47" s="16">
        <v>2</v>
      </c>
      <c r="B47" s="4" t="s">
        <v>7</v>
      </c>
      <c r="C47" s="18">
        <f>+D47+E47+F47</f>
        <v>306512393</v>
      </c>
      <c r="D47" s="18">
        <v>257889769</v>
      </c>
      <c r="E47" s="18">
        <v>30884826</v>
      </c>
      <c r="F47" s="18">
        <v>17737798</v>
      </c>
      <c r="G47" s="18">
        <f>8285828+4546587</f>
        <v>12832415</v>
      </c>
      <c r="H47" s="18">
        <f>G47+C47</f>
        <v>319344808</v>
      </c>
    </row>
    <row r="48" spans="1:8" ht="12.75">
      <c r="A48" s="16"/>
      <c r="B48" s="4"/>
      <c r="C48" s="18"/>
      <c r="D48" s="18"/>
      <c r="E48" s="18"/>
      <c r="F48" s="4"/>
      <c r="G48" s="18"/>
      <c r="H48" s="18"/>
    </row>
    <row r="49" spans="1:8" ht="12.75">
      <c r="A49" s="16">
        <v>3</v>
      </c>
      <c r="B49" s="4" t="s">
        <v>9</v>
      </c>
      <c r="C49" s="18">
        <f aca="true" t="shared" si="5" ref="C49:C60">+D49+E49+F49</f>
        <v>0</v>
      </c>
      <c r="D49" s="18">
        <v>0</v>
      </c>
      <c r="E49" s="18">
        <v>0</v>
      </c>
      <c r="F49" s="18">
        <v>0</v>
      </c>
      <c r="G49" s="18">
        <f>+'Regular Tariff'!H49</f>
        <v>0</v>
      </c>
      <c r="H49" s="18">
        <f aca="true" t="shared" si="6" ref="H49:H60">G49+C49</f>
        <v>0</v>
      </c>
    </row>
    <row r="50" spans="1:10" ht="12.75">
      <c r="A50" s="16">
        <v>4</v>
      </c>
      <c r="B50" s="4" t="s">
        <v>10</v>
      </c>
      <c r="C50" s="18">
        <f t="shared" si="5"/>
        <v>75742.32</v>
      </c>
      <c r="D50" s="18">
        <v>0</v>
      </c>
      <c r="E50" s="18">
        <v>0</v>
      </c>
      <c r="F50" s="18">
        <f>37871.16+37871.16</f>
        <v>75742.32</v>
      </c>
      <c r="G50" s="18">
        <f>+'Regular Tariff'!H50</f>
        <v>-847.2104142725445</v>
      </c>
      <c r="H50" s="18">
        <f t="shared" si="6"/>
        <v>74895.10958572746</v>
      </c>
      <c r="I50" s="2"/>
      <c r="J50" s="5"/>
    </row>
    <row r="51" spans="1:10" ht="12.75">
      <c r="A51" s="16">
        <v>5</v>
      </c>
      <c r="B51" s="4" t="s">
        <v>11</v>
      </c>
      <c r="C51" s="18">
        <f t="shared" si="5"/>
        <v>4344</v>
      </c>
      <c r="D51" s="18">
        <f>1477+1469</f>
        <v>2946</v>
      </c>
      <c r="E51" s="18">
        <f>210</f>
        <v>210</v>
      </c>
      <c r="F51" s="18">
        <f>1188</f>
        <v>1188</v>
      </c>
      <c r="G51" s="18">
        <f>+'Regular Tariff'!H51</f>
        <v>76.16826373034431</v>
      </c>
      <c r="H51" s="18">
        <f t="shared" si="6"/>
        <v>4420.168263730345</v>
      </c>
      <c r="I51" s="2"/>
      <c r="J51" s="5"/>
    </row>
    <row r="52" spans="1:10" ht="12.75">
      <c r="A52" s="16">
        <v>6</v>
      </c>
      <c r="B52" s="4" t="s">
        <v>42</v>
      </c>
      <c r="C52" s="18">
        <f t="shared" si="5"/>
        <v>0</v>
      </c>
      <c r="D52" s="18">
        <v>0</v>
      </c>
      <c r="E52" s="18">
        <v>0</v>
      </c>
      <c r="F52" s="18">
        <v>0</v>
      </c>
      <c r="G52" s="18">
        <f>+'Regular Tariff'!H52</f>
        <v>0</v>
      </c>
      <c r="H52" s="18">
        <f t="shared" si="6"/>
        <v>0</v>
      </c>
      <c r="I52" s="2"/>
      <c r="J52" s="5"/>
    </row>
    <row r="53" spans="1:10" ht="12.75">
      <c r="A53" s="16">
        <v>7</v>
      </c>
      <c r="B53" s="4" t="s">
        <v>12</v>
      </c>
      <c r="C53" s="18">
        <f t="shared" si="5"/>
        <v>250.9</v>
      </c>
      <c r="D53" s="18">
        <f>11.45+11.45</f>
        <v>22.9</v>
      </c>
      <c r="E53" s="18">
        <f>34</f>
        <v>34</v>
      </c>
      <c r="F53" s="18">
        <f>194</f>
        <v>194</v>
      </c>
      <c r="G53" s="18">
        <f>+'Regular Tariff'!H53</f>
        <v>-247.05557276172624</v>
      </c>
      <c r="H53" s="18">
        <f t="shared" si="6"/>
        <v>3.8444272382737665</v>
      </c>
      <c r="I53" s="2"/>
      <c r="J53" s="5"/>
    </row>
    <row r="54" spans="1:10" ht="12.75">
      <c r="A54" s="16">
        <v>8</v>
      </c>
      <c r="B54" s="4" t="s">
        <v>13</v>
      </c>
      <c r="C54" s="18">
        <f t="shared" si="5"/>
        <v>157424</v>
      </c>
      <c r="D54" s="18">
        <f>469+24+1348+1314+24749+24066+2068+1736+300+6361+6183+782-7+4899+4111+535+521</f>
        <v>79459</v>
      </c>
      <c r="E54" s="18">
        <f>7484+277+1964+788+4599+116</f>
        <v>15228</v>
      </c>
      <c r="F54" s="18">
        <f>9976+528+11612+12848+27558+215</f>
        <v>62737</v>
      </c>
      <c r="G54" s="18">
        <f>+'Regular Tariff'!H54</f>
        <v>-6554.93475330357</v>
      </c>
      <c r="H54" s="18">
        <f t="shared" si="6"/>
        <v>150869.06524669644</v>
      </c>
      <c r="I54" s="2"/>
      <c r="J54" s="5"/>
    </row>
    <row r="55" spans="1:10" ht="12.75">
      <c r="A55" s="16">
        <v>9</v>
      </c>
      <c r="B55" s="4" t="s">
        <v>14</v>
      </c>
      <c r="C55" s="18">
        <f t="shared" si="5"/>
        <v>56218</v>
      </c>
      <c r="D55" s="18">
        <v>0</v>
      </c>
      <c r="E55" s="18">
        <v>0</v>
      </c>
      <c r="F55" s="18">
        <v>56218</v>
      </c>
      <c r="G55" s="18">
        <f>+'Regular Tariff'!H55</f>
        <v>0</v>
      </c>
      <c r="H55" s="18">
        <f t="shared" si="6"/>
        <v>56218</v>
      </c>
      <c r="I55" s="2"/>
      <c r="J55" s="5"/>
    </row>
    <row r="56" spans="1:10" ht="12.75">
      <c r="A56" s="16">
        <v>10</v>
      </c>
      <c r="B56" s="4" t="s">
        <v>41</v>
      </c>
      <c r="C56" s="18">
        <f t="shared" si="5"/>
        <v>457698</v>
      </c>
      <c r="D56" s="18">
        <f>153+123+247351+160565</f>
        <v>408192</v>
      </c>
      <c r="E56" s="18">
        <f>149+31117</f>
        <v>31266</v>
      </c>
      <c r="F56" s="18">
        <f>17420+820</f>
        <v>18240</v>
      </c>
      <c r="G56" s="18">
        <f>+'Regular Tariff'!H56</f>
        <v>96895.64892146326</v>
      </c>
      <c r="H56" s="18">
        <f t="shared" si="6"/>
        <v>554593.6489214633</v>
      </c>
      <c r="I56" s="2"/>
      <c r="J56" s="5"/>
    </row>
    <row r="57" spans="1:10" ht="12.75">
      <c r="A57" s="16">
        <v>11</v>
      </c>
      <c r="B57" s="4" t="s">
        <v>15</v>
      </c>
      <c r="C57" s="18">
        <f t="shared" si="5"/>
        <v>55914</v>
      </c>
      <c r="D57" s="18">
        <v>0</v>
      </c>
      <c r="E57" s="18">
        <v>0</v>
      </c>
      <c r="F57" s="18">
        <f>55914</f>
        <v>55914</v>
      </c>
      <c r="G57" s="18">
        <f>+'Regular Tariff'!H57</f>
        <v>5199.118419585342</v>
      </c>
      <c r="H57" s="18">
        <f t="shared" si="6"/>
        <v>61113.11841958534</v>
      </c>
      <c r="I57" s="2"/>
      <c r="J57" s="5"/>
    </row>
    <row r="58" spans="1:10" ht="12.75">
      <c r="A58" s="16">
        <v>12</v>
      </c>
      <c r="B58" s="4" t="s">
        <v>43</v>
      </c>
      <c r="C58" s="18">
        <f t="shared" si="5"/>
        <v>0</v>
      </c>
      <c r="D58" s="18">
        <v>0</v>
      </c>
      <c r="E58" s="18">
        <v>0</v>
      </c>
      <c r="F58" s="18">
        <v>0</v>
      </c>
      <c r="G58" s="18">
        <f>+'Regular Tariff'!H58</f>
        <v>0</v>
      </c>
      <c r="H58" s="18">
        <f t="shared" si="6"/>
        <v>0</v>
      </c>
      <c r="I58" s="2"/>
      <c r="J58" s="5"/>
    </row>
    <row r="59" spans="1:10" ht="12.75">
      <c r="A59" s="16">
        <v>13</v>
      </c>
      <c r="B59" s="4" t="s">
        <v>16</v>
      </c>
      <c r="C59" s="18">
        <v>1873</v>
      </c>
      <c r="D59" s="18">
        <v>0</v>
      </c>
      <c r="E59" s="18">
        <v>0</v>
      </c>
      <c r="F59" s="18">
        <v>0</v>
      </c>
      <c r="G59" s="18">
        <f>+'Regular Tariff'!H59</f>
        <v>0</v>
      </c>
      <c r="H59" s="18">
        <f t="shared" si="6"/>
        <v>1873</v>
      </c>
      <c r="I59" s="2"/>
      <c r="J59" s="5"/>
    </row>
    <row r="60" spans="1:8" ht="15">
      <c r="A60" s="16">
        <v>14</v>
      </c>
      <c r="B60" s="4" t="s">
        <v>17</v>
      </c>
      <c r="C60" s="20">
        <f t="shared" si="5"/>
        <v>0</v>
      </c>
      <c r="D60" s="20">
        <v>0</v>
      </c>
      <c r="E60" s="20">
        <v>0</v>
      </c>
      <c r="F60" s="20">
        <v>0</v>
      </c>
      <c r="G60" s="20">
        <f>+'Regular Tariff'!H60</f>
        <v>0</v>
      </c>
      <c r="H60" s="20">
        <f t="shared" si="6"/>
        <v>0</v>
      </c>
    </row>
    <row r="61" spans="1:8" ht="12.75">
      <c r="A61" s="16">
        <v>15</v>
      </c>
      <c r="B61" s="4" t="s">
        <v>8</v>
      </c>
      <c r="C61" s="18">
        <f aca="true" t="shared" si="7" ref="C61:H61">+SUM(C49:C60)</f>
        <v>809464.22</v>
      </c>
      <c r="D61" s="18">
        <f t="shared" si="7"/>
        <v>490619.9</v>
      </c>
      <c r="E61" s="18">
        <f t="shared" si="7"/>
        <v>46738</v>
      </c>
      <c r="F61" s="18">
        <f t="shared" si="7"/>
        <v>270233.32</v>
      </c>
      <c r="G61" s="18">
        <f t="shared" si="7"/>
        <v>94521.73486444111</v>
      </c>
      <c r="H61" s="18">
        <f t="shared" si="7"/>
        <v>903985.9548644412</v>
      </c>
    </row>
    <row r="62" spans="1:8" ht="12.75">
      <c r="A62" s="16"/>
      <c r="B62" s="4"/>
      <c r="C62" s="18"/>
      <c r="D62" s="18"/>
      <c r="E62" s="18"/>
      <c r="F62" s="4"/>
      <c r="G62" s="18"/>
      <c r="H62" s="18"/>
    </row>
    <row r="63" spans="1:8" ht="12.75">
      <c r="A63" s="16">
        <v>18</v>
      </c>
      <c r="B63" s="4" t="s">
        <v>46</v>
      </c>
      <c r="C63" s="18">
        <f aca="true" t="shared" si="8" ref="C63:H63">+C47+C61</f>
        <v>307321857.22</v>
      </c>
      <c r="D63" s="18">
        <f t="shared" si="8"/>
        <v>258380388.9</v>
      </c>
      <c r="E63" s="18">
        <f t="shared" si="8"/>
        <v>30931564</v>
      </c>
      <c r="F63" s="18">
        <f t="shared" si="8"/>
        <v>18008031.32</v>
      </c>
      <c r="G63" s="18">
        <f t="shared" si="8"/>
        <v>12926936.734864442</v>
      </c>
      <c r="H63" s="18">
        <f t="shared" si="8"/>
        <v>320248793.95486444</v>
      </c>
    </row>
    <row r="64" spans="1:8" ht="12.75">
      <c r="A64" s="16"/>
      <c r="B64" s="4"/>
      <c r="C64" s="18"/>
      <c r="D64" s="18"/>
      <c r="E64" s="18"/>
      <c r="F64" s="4"/>
      <c r="G64" s="18"/>
      <c r="H64" s="18"/>
    </row>
    <row r="65" spans="1:8" ht="12.75">
      <c r="A65" s="16">
        <v>19</v>
      </c>
      <c r="B65" s="4" t="s">
        <v>18</v>
      </c>
      <c r="C65" s="18">
        <f aca="true" t="shared" si="9" ref="C65:H65">+C45-C63</f>
        <v>1559281.7799999714</v>
      </c>
      <c r="D65" s="18">
        <f t="shared" si="9"/>
        <v>397912.09999999404</v>
      </c>
      <c r="E65" s="18">
        <f t="shared" si="9"/>
        <v>165542</v>
      </c>
      <c r="F65" s="18">
        <f t="shared" si="9"/>
        <v>997700.6799999997</v>
      </c>
      <c r="G65" s="18">
        <f t="shared" si="9"/>
        <v>4179.265135558322</v>
      </c>
      <c r="H65" s="18">
        <f t="shared" si="9"/>
        <v>1563461.0451355577</v>
      </c>
    </row>
    <row r="66" spans="1:8" ht="12.75">
      <c r="A66" s="16">
        <v>20</v>
      </c>
      <c r="B66" s="4" t="s">
        <v>44</v>
      </c>
      <c r="C66" s="18">
        <f>SUM(D66:F66)</f>
        <v>0</v>
      </c>
      <c r="D66" s="18">
        <v>0</v>
      </c>
      <c r="E66" s="18">
        <v>0</v>
      </c>
      <c r="F66" s="18">
        <v>0</v>
      </c>
      <c r="G66" s="18">
        <v>0</v>
      </c>
      <c r="H66" s="18">
        <f>G66+C66</f>
        <v>0</v>
      </c>
    </row>
    <row r="67" spans="1:8" ht="12.75">
      <c r="A67" s="16">
        <v>21</v>
      </c>
      <c r="B67" s="4" t="s">
        <v>45</v>
      </c>
      <c r="C67" s="18">
        <f>SUM(D67:F67)</f>
        <v>0</v>
      </c>
      <c r="D67" s="18">
        <v>0</v>
      </c>
      <c r="E67" s="18">
        <v>0</v>
      </c>
      <c r="F67" s="22">
        <v>0</v>
      </c>
      <c r="G67" s="18">
        <v>0</v>
      </c>
      <c r="H67" s="18">
        <f>G67+C67</f>
        <v>0</v>
      </c>
    </row>
    <row r="68" spans="1:8" ht="15">
      <c r="A68" s="16">
        <v>22</v>
      </c>
      <c r="B68" s="4" t="s">
        <v>19</v>
      </c>
      <c r="C68" s="20">
        <f>SUM(D68:F68)</f>
        <v>0</v>
      </c>
      <c r="D68" s="20">
        <v>0</v>
      </c>
      <c r="E68" s="20">
        <v>0</v>
      </c>
      <c r="F68" s="20">
        <v>0</v>
      </c>
      <c r="G68" s="20">
        <v>0</v>
      </c>
      <c r="H68" s="20">
        <f>G68+C68</f>
        <v>0</v>
      </c>
    </row>
    <row r="69" spans="1:8" ht="12.75">
      <c r="A69" s="16"/>
      <c r="B69" s="4"/>
      <c r="C69" s="4"/>
      <c r="D69" s="4"/>
      <c r="E69" s="4"/>
      <c r="F69" s="4"/>
      <c r="G69" s="18"/>
      <c r="H69" s="18"/>
    </row>
    <row r="70" spans="1:10" ht="12.75">
      <c r="A70" s="16">
        <v>23</v>
      </c>
      <c r="B70" s="4" t="s">
        <v>20</v>
      </c>
      <c r="C70" s="19">
        <f aca="true" t="shared" si="10" ref="C70:H70">SUM(C65:C68)</f>
        <v>1559281.7799999714</v>
      </c>
      <c r="D70" s="19">
        <f t="shared" si="10"/>
        <v>397912.09999999404</v>
      </c>
      <c r="E70" s="19">
        <f t="shared" si="10"/>
        <v>165542</v>
      </c>
      <c r="F70" s="19">
        <f t="shared" si="10"/>
        <v>997700.6799999997</v>
      </c>
      <c r="G70" s="19">
        <f t="shared" si="10"/>
        <v>4179.265135558322</v>
      </c>
      <c r="H70" s="19">
        <f t="shared" si="10"/>
        <v>1563461.0451355577</v>
      </c>
      <c r="J70" s="5"/>
    </row>
    <row r="71" spans="1:8" ht="12.75">
      <c r="A71" s="1"/>
      <c r="G71" s="2"/>
      <c r="H71" s="2"/>
    </row>
    <row r="72" spans="1:8" ht="12.75">
      <c r="A72" s="1">
        <v>23</v>
      </c>
      <c r="B72" t="s">
        <v>21</v>
      </c>
      <c r="C72" s="10"/>
      <c r="D72" s="10"/>
      <c r="E72" s="10"/>
      <c r="F72" s="10"/>
      <c r="G72" s="2"/>
      <c r="H72" s="2"/>
    </row>
    <row r="73" spans="1:8" ht="12.75">
      <c r="A73" s="1"/>
      <c r="G73" s="2"/>
      <c r="H73" s="2"/>
    </row>
    <row r="74" spans="1:8" ht="12.75">
      <c r="A74" s="1">
        <v>24</v>
      </c>
      <c r="B74" t="s">
        <v>35</v>
      </c>
      <c r="C74" s="8">
        <f>+C70/C45</f>
        <v>0.005048161195753592</v>
      </c>
      <c r="D74" s="8">
        <f>+D70/D45</f>
        <v>0.0015376563585986062</v>
      </c>
      <c r="E74" s="8">
        <f>+E70/E45</f>
        <v>0.005323389256865253</v>
      </c>
      <c r="F74" s="8">
        <f>+F70/F45</f>
        <v>0.052494725275511606</v>
      </c>
      <c r="G74" s="2"/>
      <c r="H74" s="2"/>
    </row>
    <row r="75" spans="7:8" ht="12.75">
      <c r="G75" s="2"/>
      <c r="H75" s="2"/>
    </row>
    <row r="76" spans="3:8" ht="12.75">
      <c r="C76" s="12"/>
      <c r="D76" s="12"/>
      <c r="E76" s="12"/>
      <c r="F76" s="12"/>
      <c r="G76" s="12"/>
      <c r="H76" s="12"/>
    </row>
    <row r="78" spans="3:8" ht="12.75">
      <c r="C78" s="11"/>
      <c r="D78" s="11"/>
      <c r="E78" s="11"/>
      <c r="F78" s="11"/>
      <c r="G78" s="11"/>
      <c r="H78" s="11"/>
    </row>
    <row r="79" spans="3:8" ht="12.75">
      <c r="C79" s="10"/>
      <c r="D79" s="10"/>
      <c r="E79" s="10"/>
      <c r="F79" s="10"/>
      <c r="G79" s="10"/>
      <c r="H79" s="10"/>
    </row>
    <row r="80" spans="3:8" ht="12.75">
      <c r="C80" s="10"/>
      <c r="D80" s="10"/>
      <c r="E80" s="10"/>
      <c r="F80" s="10"/>
      <c r="G80" s="10"/>
      <c r="H80" s="10"/>
    </row>
    <row r="82" spans="3:8" ht="12.75">
      <c r="C82" s="10"/>
      <c r="D82" s="10"/>
      <c r="E82" s="10"/>
      <c r="F82" s="10"/>
      <c r="G82" s="10"/>
      <c r="H82" s="10"/>
    </row>
    <row r="84" spans="3:8" ht="12.75">
      <c r="C84" s="10"/>
      <c r="D84" s="10"/>
      <c r="E84" s="10"/>
      <c r="F84" s="10"/>
      <c r="G84" s="10"/>
      <c r="H84" s="10"/>
    </row>
    <row r="85" spans="1:8" ht="12.75">
      <c r="A85" s="16">
        <v>1</v>
      </c>
      <c r="B85" s="4" t="s">
        <v>60</v>
      </c>
      <c r="C85" s="18">
        <f>+D85+E85+F85</f>
        <v>1486372</v>
      </c>
      <c r="D85" s="18">
        <v>0</v>
      </c>
      <c r="E85" s="18">
        <v>0</v>
      </c>
      <c r="F85" s="18">
        <v>1486372</v>
      </c>
      <c r="G85" s="18">
        <v>0</v>
      </c>
      <c r="H85" s="18">
        <f>G85+C85</f>
        <v>1486372</v>
      </c>
    </row>
    <row r="86" spans="1:8" ht="12.75">
      <c r="A86" s="16"/>
      <c r="B86" s="4"/>
      <c r="C86" s="10"/>
      <c r="D86" s="10"/>
      <c r="E86" s="10"/>
      <c r="F86" s="10"/>
      <c r="G86" s="10"/>
      <c r="H86" s="10"/>
    </row>
    <row r="87" spans="1:8" ht="15">
      <c r="A87" s="16">
        <v>2</v>
      </c>
      <c r="B87" s="4" t="s">
        <v>61</v>
      </c>
      <c r="C87" s="20">
        <f>+D87+E87+F87</f>
        <v>561466.0745648807</v>
      </c>
      <c r="D87" s="20">
        <v>0</v>
      </c>
      <c r="E87" s="20">
        <v>0</v>
      </c>
      <c r="F87" s="20">
        <f>(9593660/25397345)*1486372</f>
        <v>561466.0745648807</v>
      </c>
      <c r="G87" s="20">
        <v>0</v>
      </c>
      <c r="H87" s="20">
        <f>G87+C87</f>
        <v>561466.0745648807</v>
      </c>
    </row>
    <row r="88" spans="1:2" ht="12.75">
      <c r="A88" s="16"/>
      <c r="B88" s="4"/>
    </row>
    <row r="89" spans="1:8" ht="12.75">
      <c r="A89" s="16">
        <v>3</v>
      </c>
      <c r="B89" s="4" t="s">
        <v>62</v>
      </c>
      <c r="C89" s="18">
        <f aca="true" t="shared" si="11" ref="C89:H89">C85-C87</f>
        <v>924905.9254351193</v>
      </c>
      <c r="D89" s="18">
        <f t="shared" si="11"/>
        <v>0</v>
      </c>
      <c r="E89" s="18">
        <f t="shared" si="11"/>
        <v>0</v>
      </c>
      <c r="F89" s="18">
        <f t="shared" si="11"/>
        <v>924905.9254351193</v>
      </c>
      <c r="G89" s="18">
        <f t="shared" si="11"/>
        <v>0</v>
      </c>
      <c r="H89" s="18">
        <f t="shared" si="11"/>
        <v>924905.9254351193</v>
      </c>
    </row>
    <row r="90" spans="1:8" ht="15">
      <c r="A90" s="16">
        <v>4</v>
      </c>
      <c r="B90" s="4" t="s">
        <v>63</v>
      </c>
      <c r="C90" s="20">
        <f>+D90+E90+F90</f>
        <v>29720.1525</v>
      </c>
      <c r="D90" s="20">
        <f>0.125*SUM(D49:D54)</f>
        <v>10303.4875</v>
      </c>
      <c r="E90" s="20">
        <f>0.125*SUM(E49:E54)</f>
        <v>1934</v>
      </c>
      <c r="F90" s="20">
        <f>0.125*SUM(F49:F54)</f>
        <v>17482.665</v>
      </c>
      <c r="G90" s="20">
        <f>0.125*SUM(G49:G54)</f>
        <v>-946.629059575937</v>
      </c>
      <c r="H90" s="20">
        <f>G90+C90</f>
        <v>28773.523440424062</v>
      </c>
    </row>
    <row r="91" spans="1:2" ht="12.75">
      <c r="A91" s="16"/>
      <c r="B91" s="4"/>
    </row>
    <row r="92" spans="1:8" ht="12.75">
      <c r="A92" s="16">
        <v>5</v>
      </c>
      <c r="B92" s="4" t="s">
        <v>64</v>
      </c>
      <c r="C92" s="19">
        <f aca="true" t="shared" si="12" ref="C92:H92">C89+C90</f>
        <v>954626.0779351193</v>
      </c>
      <c r="D92" s="19">
        <f t="shared" si="12"/>
        <v>10303.4875</v>
      </c>
      <c r="E92" s="19">
        <f t="shared" si="12"/>
        <v>1934</v>
      </c>
      <c r="F92" s="19">
        <f t="shared" si="12"/>
        <v>942388.5904351193</v>
      </c>
      <c r="G92" s="19">
        <f t="shared" si="12"/>
        <v>-946.629059575937</v>
      </c>
      <c r="H92" s="19">
        <f t="shared" si="12"/>
        <v>953679.4488755434</v>
      </c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ht="12.75">
      <c r="E97" s="5"/>
    </row>
    <row r="98" ht="12.75">
      <c r="F98" s="2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Clough, Harbour &amp; Associates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2139</dc:creator>
  <cp:keywords/>
  <dc:description/>
  <cp:lastModifiedBy>Chris Miranda</cp:lastModifiedBy>
  <cp:lastPrinted>2015-09-30T16:44:38Z</cp:lastPrinted>
  <dcterms:created xsi:type="dcterms:W3CDTF">2003-03-31T16:08:19Z</dcterms:created>
  <dcterms:modified xsi:type="dcterms:W3CDTF">2016-01-27T13:52:45Z</dcterms:modified>
  <cp:category/>
  <cp:version/>
  <cp:contentType/>
  <cp:contentStatus/>
</cp:coreProperties>
</file>