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l\Documents\Welsh Group\Kenergy 2015\PSC Data Requests\"/>
    </mc:Choice>
  </mc:AlternateContent>
  <bookViews>
    <workbookView xWindow="480" yWindow="60" windowWidth="14235" windowHeight="8700"/>
  </bookViews>
  <sheets>
    <sheet name="Five Year Forcast" sheetId="1" r:id="rId1"/>
    <sheet name="4 Yr averages" sheetId="2" r:id="rId2"/>
    <sheet name="Sheet1" sheetId="3" r:id="rId3"/>
  </sheets>
  <definedNames>
    <definedName name="_xlnm.Print_Area" localSheetId="0">'Five Year Forcast'!$A$1:$V$56</definedName>
    <definedName name="_xlnm.Print_Titles" localSheetId="0">'Five Year Forcast'!$A:$B,'Five Year Forcast'!$1:$1</definedName>
  </definedNames>
  <calcPr calcId="162913"/>
</workbook>
</file>

<file path=xl/calcChain.xml><?xml version="1.0" encoding="utf-8"?>
<calcChain xmlns="http://schemas.openxmlformats.org/spreadsheetml/2006/main">
  <c r="D79" i="1" l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70" i="1"/>
  <c r="N32" i="2"/>
  <c r="N33" i="2" s="1"/>
  <c r="N34" i="2" s="1"/>
  <c r="E12" i="1"/>
  <c r="P24" i="2"/>
  <c r="E11" i="1" l="1"/>
  <c r="E10" i="1"/>
  <c r="I51" i="1"/>
  <c r="I50" i="1"/>
  <c r="F50" i="1"/>
  <c r="F20" i="1"/>
  <c r="F8" i="1" l="1"/>
  <c r="F9" i="1"/>
  <c r="F10" i="1"/>
  <c r="F11" i="1"/>
  <c r="F12" i="1"/>
  <c r="F14" i="1"/>
  <c r="F15" i="1"/>
  <c r="F17" i="1"/>
  <c r="F18" i="1"/>
  <c r="F19" i="1"/>
  <c r="F21" i="1"/>
  <c r="F51" i="1" s="1"/>
  <c r="F22" i="1"/>
  <c r="F23" i="1"/>
  <c r="F7" i="1"/>
  <c r="K43" i="2"/>
  <c r="K44" i="2"/>
  <c r="K45" i="2"/>
  <c r="K30" i="2"/>
  <c r="K31" i="2"/>
  <c r="K32" i="2"/>
  <c r="K33" i="2"/>
  <c r="K34" i="2"/>
  <c r="K36" i="2"/>
  <c r="K37" i="2"/>
  <c r="K39" i="2"/>
  <c r="K40" i="2"/>
  <c r="K41" i="2"/>
  <c r="K42" i="2"/>
  <c r="K29" i="2"/>
  <c r="H21" i="1"/>
  <c r="E21" i="1"/>
  <c r="K19" i="2"/>
  <c r="K20" i="2"/>
  <c r="K16" i="2"/>
  <c r="K15" i="2"/>
  <c r="K7" i="2"/>
  <c r="K5" i="2"/>
  <c r="I30" i="2"/>
  <c r="J30" i="2" s="1"/>
  <c r="I31" i="2"/>
  <c r="J31" i="2" s="1"/>
  <c r="I32" i="2"/>
  <c r="J32" i="2" s="1"/>
  <c r="I33" i="2"/>
  <c r="J33" i="2" s="1"/>
  <c r="I34" i="2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29" i="2"/>
  <c r="J29" i="2" s="1"/>
  <c r="I6" i="2"/>
  <c r="J6" i="2" s="1"/>
  <c r="K6" i="2" s="1"/>
  <c r="I7" i="2"/>
  <c r="J7" i="2" s="1"/>
  <c r="I8" i="2"/>
  <c r="J8" i="2" s="1"/>
  <c r="I9" i="2"/>
  <c r="J9" i="2" s="1"/>
  <c r="I10" i="2"/>
  <c r="J10" i="2" s="1"/>
  <c r="I12" i="2"/>
  <c r="J12" i="2" s="1"/>
  <c r="K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K18" i="2" s="1"/>
  <c r="I19" i="2"/>
  <c r="J19" i="2" s="1"/>
  <c r="I20" i="2"/>
  <c r="J20" i="2" s="1"/>
  <c r="I21" i="2"/>
  <c r="J21" i="2" s="1"/>
  <c r="K21" i="2" s="1"/>
  <c r="I5" i="2"/>
  <c r="J5" i="2" s="1"/>
  <c r="J34" i="2"/>
  <c r="E35" i="2"/>
  <c r="E46" i="2" s="1"/>
  <c r="E11" i="2"/>
  <c r="E22" i="2" s="1"/>
  <c r="D13" i="1"/>
  <c r="K35" i="2" s="1"/>
  <c r="F41" i="1" l="1"/>
  <c r="G11" i="1"/>
  <c r="G21" i="1"/>
  <c r="F13" i="1"/>
  <c r="E41" i="1" l="1"/>
  <c r="G41" i="1" s="1"/>
  <c r="E74" i="1" s="1"/>
  <c r="H11" i="1"/>
  <c r="I11" i="1"/>
  <c r="I41" i="1" s="1"/>
  <c r="E51" i="1"/>
  <c r="G51" i="1" s="1"/>
  <c r="E84" i="1" s="1"/>
  <c r="I21" i="1"/>
  <c r="G11" i="2"/>
  <c r="H11" i="2"/>
  <c r="H22" i="2" s="1"/>
  <c r="J11" i="1" l="1"/>
  <c r="J21" i="1"/>
  <c r="G22" i="2"/>
  <c r="K11" i="1" l="1"/>
  <c r="M11" i="1" s="1"/>
  <c r="H41" i="1"/>
  <c r="J41" i="1" s="1"/>
  <c r="F74" i="1" s="1"/>
  <c r="L11" i="1"/>
  <c r="L41" i="1" s="1"/>
  <c r="L21" i="1"/>
  <c r="L51" i="1" s="1"/>
  <c r="H51" i="1"/>
  <c r="J51" i="1" s="1"/>
  <c r="F84" i="1" s="1"/>
  <c r="N11" i="1" l="1"/>
  <c r="O11" i="1"/>
  <c r="O41" i="1" s="1"/>
  <c r="K41" i="1"/>
  <c r="M41" i="1" s="1"/>
  <c r="G74" i="1" s="1"/>
  <c r="K11" i="2"/>
  <c r="D72" i="1"/>
  <c r="D75" i="1"/>
  <c r="D77" i="1"/>
  <c r="F16" i="1"/>
  <c r="D80" i="1"/>
  <c r="D81" i="1"/>
  <c r="D83" i="1"/>
  <c r="D70" i="1"/>
  <c r="L29" i="2"/>
  <c r="L36" i="2"/>
  <c r="L40" i="2"/>
  <c r="H35" i="2"/>
  <c r="H46" i="2" s="1"/>
  <c r="G35" i="2"/>
  <c r="G46" i="2" s="1"/>
  <c r="F35" i="2"/>
  <c r="D43" i="1"/>
  <c r="D54" i="1" s="1"/>
  <c r="H28" i="1"/>
  <c r="K28" i="1" s="1"/>
  <c r="N28" i="1" s="1"/>
  <c r="Q28" i="1" s="1"/>
  <c r="T28" i="1" s="1"/>
  <c r="H29" i="1"/>
  <c r="K29" i="1" s="1"/>
  <c r="N29" i="1" s="1"/>
  <c r="Q29" i="1" s="1"/>
  <c r="T29" i="1" s="1"/>
  <c r="F11" i="2"/>
  <c r="K38" i="2" l="1"/>
  <c r="F46" i="1" s="1"/>
  <c r="F46" i="2"/>
  <c r="I35" i="2"/>
  <c r="J35" i="2" s="1"/>
  <c r="F22" i="2"/>
  <c r="I11" i="2"/>
  <c r="L39" i="2"/>
  <c r="F47" i="1" s="1"/>
  <c r="L37" i="2"/>
  <c r="F45" i="1" s="1"/>
  <c r="L44" i="2"/>
  <c r="F52" i="1" s="1"/>
  <c r="L34" i="2"/>
  <c r="F42" i="1" s="1"/>
  <c r="L42" i="2"/>
  <c r="L41" i="2"/>
  <c r="F49" i="1" s="1"/>
  <c r="L31" i="2"/>
  <c r="F39" i="1" s="1"/>
  <c r="K17" i="2"/>
  <c r="K13" i="2"/>
  <c r="D86" i="1"/>
  <c r="F37" i="1"/>
  <c r="F48" i="1"/>
  <c r="F44" i="1"/>
  <c r="I30" i="1"/>
  <c r="L30" i="1" s="1"/>
  <c r="O30" i="1" s="1"/>
  <c r="R30" i="1" s="1"/>
  <c r="U30" i="1" s="1"/>
  <c r="D76" i="1"/>
  <c r="D24" i="1"/>
  <c r="D85" i="1"/>
  <c r="D82" i="1"/>
  <c r="D78" i="1"/>
  <c r="D73" i="1"/>
  <c r="D71" i="1"/>
  <c r="L32" i="2"/>
  <c r="F40" i="1" s="1"/>
  <c r="L30" i="2"/>
  <c r="F38" i="1" s="1"/>
  <c r="K46" i="2" l="1"/>
  <c r="L45" i="2" s="1"/>
  <c r="D55" i="1"/>
  <c r="D87" i="1"/>
  <c r="I22" i="2"/>
  <c r="J11" i="2"/>
  <c r="J22" i="2" s="1"/>
  <c r="K22" i="2"/>
  <c r="L19" i="2" s="1"/>
  <c r="F53" i="1"/>
  <c r="F24" i="1"/>
  <c r="F25" i="1" s="1"/>
  <c r="F43" i="1"/>
  <c r="I46" i="2"/>
  <c r="L17" i="2" l="1"/>
  <c r="L16" i="2"/>
  <c r="L12" i="2"/>
  <c r="L20" i="2"/>
  <c r="L13" i="2"/>
  <c r="L6" i="2"/>
  <c r="L14" i="2"/>
  <c r="L21" i="2"/>
  <c r="L7" i="2"/>
  <c r="L15" i="2"/>
  <c r="L5" i="2"/>
  <c r="L8" i="2"/>
  <c r="L9" i="2"/>
  <c r="L10" i="2"/>
  <c r="L18" i="2"/>
  <c r="F54" i="1"/>
  <c r="L35" i="2"/>
  <c r="J46" i="2"/>
  <c r="L46" i="2" s="1"/>
  <c r="N8" i="2" l="1"/>
  <c r="O8" i="2"/>
  <c r="M8" i="2"/>
  <c r="G10" i="1" s="1"/>
  <c r="H10" i="1" s="1"/>
  <c r="P8" i="2"/>
  <c r="R8" i="2"/>
  <c r="Q8" i="2"/>
  <c r="R13" i="2"/>
  <c r="T15" i="1" s="1"/>
  <c r="N13" i="2"/>
  <c r="H15" i="1" s="1"/>
  <c r="O13" i="2"/>
  <c r="K15" i="1" s="1"/>
  <c r="M13" i="2"/>
  <c r="E15" i="1" s="1"/>
  <c r="P13" i="2"/>
  <c r="N15" i="1" s="1"/>
  <c r="Q13" i="2"/>
  <c r="Q15" i="1" s="1"/>
  <c r="N5" i="2"/>
  <c r="H7" i="1" s="1"/>
  <c r="O5" i="2"/>
  <c r="K7" i="1" s="1"/>
  <c r="Q5" i="2"/>
  <c r="Q7" i="1" s="1"/>
  <c r="R5" i="2"/>
  <c r="T7" i="1" s="1"/>
  <c r="L22" i="2"/>
  <c r="M5" i="2"/>
  <c r="E7" i="1" s="1"/>
  <c r="P5" i="2"/>
  <c r="N7" i="1" s="1"/>
  <c r="P20" i="2"/>
  <c r="N22" i="1" s="1"/>
  <c r="Q20" i="2"/>
  <c r="Q22" i="1" s="1"/>
  <c r="M20" i="2"/>
  <c r="E22" i="1" s="1"/>
  <c r="G22" i="1" s="1"/>
  <c r="I22" i="1" s="1"/>
  <c r="N20" i="2"/>
  <c r="H22" i="1" s="1"/>
  <c r="O20" i="2"/>
  <c r="K22" i="1" s="1"/>
  <c r="R20" i="2"/>
  <c r="T22" i="1" s="1"/>
  <c r="N14" i="2"/>
  <c r="H16" i="1" s="1"/>
  <c r="O14" i="2"/>
  <c r="K16" i="1" s="1"/>
  <c r="Q14" i="2"/>
  <c r="Q16" i="1" s="1"/>
  <c r="R14" i="2"/>
  <c r="T16" i="1" s="1"/>
  <c r="P14" i="2"/>
  <c r="N16" i="1" s="1"/>
  <c r="M14" i="2"/>
  <c r="E16" i="1" s="1"/>
  <c r="G16" i="1" s="1"/>
  <c r="P10" i="2"/>
  <c r="Q10" i="2"/>
  <c r="R10" i="2"/>
  <c r="N10" i="2"/>
  <c r="O10" i="2"/>
  <c r="M10" i="2"/>
  <c r="G12" i="1" s="1"/>
  <c r="H12" i="1" s="1"/>
  <c r="P6" i="2"/>
  <c r="N8" i="1" s="1"/>
  <c r="Q6" i="2"/>
  <c r="Q8" i="1" s="1"/>
  <c r="R6" i="2"/>
  <c r="T8" i="1" s="1"/>
  <c r="T38" i="1" s="1"/>
  <c r="N6" i="2"/>
  <c r="H8" i="1" s="1"/>
  <c r="O6" i="2"/>
  <c r="K8" i="1" s="1"/>
  <c r="M6" i="2"/>
  <c r="E8" i="1" s="1"/>
  <c r="G8" i="1" s="1"/>
  <c r="I8" i="1" s="1"/>
  <c r="O12" i="2"/>
  <c r="K14" i="1" s="1"/>
  <c r="P12" i="2"/>
  <c r="N14" i="1" s="1"/>
  <c r="Q12" i="2"/>
  <c r="Q14" i="1" s="1"/>
  <c r="R12" i="2"/>
  <c r="T14" i="1" s="1"/>
  <c r="M12" i="2"/>
  <c r="E14" i="1" s="1"/>
  <c r="G14" i="1" s="1"/>
  <c r="N12" i="2"/>
  <c r="H14" i="1" s="1"/>
  <c r="Q19" i="2"/>
  <c r="Q21" i="1" s="1"/>
  <c r="R19" i="2"/>
  <c r="T21" i="1" s="1"/>
  <c r="O19" i="2"/>
  <c r="K21" i="1" s="1"/>
  <c r="M21" i="1" s="1"/>
  <c r="P19" i="2"/>
  <c r="N21" i="1" s="1"/>
  <c r="Q18" i="2"/>
  <c r="Q20" i="1" s="1"/>
  <c r="R18" i="2"/>
  <c r="T20" i="1" s="1"/>
  <c r="N18" i="2"/>
  <c r="H20" i="1" s="1"/>
  <c r="M18" i="2"/>
  <c r="E20" i="1" s="1"/>
  <c r="G20" i="1" s="1"/>
  <c r="O18" i="2"/>
  <c r="K20" i="1" s="1"/>
  <c r="P18" i="2"/>
  <c r="N20" i="1" s="1"/>
  <c r="Q9" i="2"/>
  <c r="R9" i="2"/>
  <c r="N9" i="2"/>
  <c r="O9" i="2"/>
  <c r="P9" i="2"/>
  <c r="P11" i="1" s="1"/>
  <c r="Q11" i="1" s="1"/>
  <c r="M9" i="2"/>
  <c r="P15" i="2"/>
  <c r="N17" i="1" s="1"/>
  <c r="Q15" i="2"/>
  <c r="Q17" i="1" s="1"/>
  <c r="N15" i="2"/>
  <c r="H17" i="1" s="1"/>
  <c r="O15" i="2"/>
  <c r="K17" i="1" s="1"/>
  <c r="M15" i="2"/>
  <c r="E17" i="1" s="1"/>
  <c r="G17" i="1" s="1"/>
  <c r="I17" i="1" s="1"/>
  <c r="R15" i="2"/>
  <c r="T17" i="1" s="1"/>
  <c r="M7" i="2"/>
  <c r="E9" i="1" s="1"/>
  <c r="G9" i="1" s="1"/>
  <c r="I9" i="1" s="1"/>
  <c r="N7" i="2"/>
  <c r="H9" i="1" s="1"/>
  <c r="O7" i="2"/>
  <c r="K9" i="1" s="1"/>
  <c r="P7" i="2"/>
  <c r="N9" i="1" s="1"/>
  <c r="Q7" i="2"/>
  <c r="Q9" i="1" s="1"/>
  <c r="R7" i="2"/>
  <c r="T9" i="1" s="1"/>
  <c r="N21" i="2"/>
  <c r="H23" i="1" s="1"/>
  <c r="O21" i="2"/>
  <c r="K23" i="1" s="1"/>
  <c r="P21" i="2"/>
  <c r="N23" i="1" s="1"/>
  <c r="Q21" i="2"/>
  <c r="Q23" i="1" s="1"/>
  <c r="R21" i="2"/>
  <c r="T23" i="1" s="1"/>
  <c r="M21" i="2"/>
  <c r="E23" i="1" s="1"/>
  <c r="G23" i="1" s="1"/>
  <c r="I23" i="1" s="1"/>
  <c r="M16" i="2"/>
  <c r="E18" i="1" s="1"/>
  <c r="G18" i="1" s="1"/>
  <c r="I18" i="1" s="1"/>
  <c r="O16" i="2"/>
  <c r="K18" i="1" s="1"/>
  <c r="P16" i="2"/>
  <c r="N18" i="1" s="1"/>
  <c r="Q16" i="2"/>
  <c r="Q18" i="1" s="1"/>
  <c r="R16" i="2"/>
  <c r="T18" i="1" s="1"/>
  <c r="N16" i="2"/>
  <c r="H18" i="1" s="1"/>
  <c r="N17" i="2"/>
  <c r="H19" i="1" s="1"/>
  <c r="O17" i="2"/>
  <c r="K19" i="1" s="1"/>
  <c r="M17" i="2"/>
  <c r="E19" i="1" s="1"/>
  <c r="G19" i="1" s="1"/>
  <c r="I19" i="1" s="1"/>
  <c r="P17" i="2"/>
  <c r="N19" i="1" s="1"/>
  <c r="Q17" i="2"/>
  <c r="Q19" i="1" s="1"/>
  <c r="R17" i="2"/>
  <c r="T19" i="1" s="1"/>
  <c r="I16" i="1" l="1"/>
  <c r="E46" i="1"/>
  <c r="I12" i="1"/>
  <c r="I42" i="1" s="1"/>
  <c r="N41" i="1"/>
  <c r="P41" i="1" s="1"/>
  <c r="H74" i="1" s="1"/>
  <c r="R11" i="1"/>
  <c r="R41" i="1" s="1"/>
  <c r="O21" i="1"/>
  <c r="O51" i="1" s="1"/>
  <c r="K51" i="1"/>
  <c r="M51" i="1" s="1"/>
  <c r="G84" i="1" s="1"/>
  <c r="I20" i="1"/>
  <c r="J20" i="1" s="1"/>
  <c r="E50" i="1"/>
  <c r="G50" i="1" s="1"/>
  <c r="E83" i="1" s="1"/>
  <c r="I10" i="1"/>
  <c r="I40" i="1" s="1"/>
  <c r="E44" i="1"/>
  <c r="G44" i="1" s="1"/>
  <c r="E77" i="1" s="1"/>
  <c r="I14" i="1"/>
  <c r="E42" i="1"/>
  <c r="G42" i="1" s="1"/>
  <c r="E75" i="1" s="1"/>
  <c r="H13" i="1"/>
  <c r="H24" i="1" s="1"/>
  <c r="E13" i="1"/>
  <c r="E24" i="1" s="1"/>
  <c r="I44" i="1"/>
  <c r="E40" i="1"/>
  <c r="G40" i="1" s="1"/>
  <c r="E73" i="1" s="1"/>
  <c r="Q22" i="2"/>
  <c r="G7" i="1"/>
  <c r="I39" i="1"/>
  <c r="E39" i="1"/>
  <c r="G39" i="1" s="1"/>
  <c r="E72" i="1" s="1"/>
  <c r="O22" i="2"/>
  <c r="E53" i="1"/>
  <c r="G53" i="1" s="1"/>
  <c r="E86" i="1" s="1"/>
  <c r="N22" i="2"/>
  <c r="E48" i="1"/>
  <c r="G48" i="1" s="1"/>
  <c r="E81" i="1" s="1"/>
  <c r="I48" i="1"/>
  <c r="I52" i="1"/>
  <c r="E52" i="1"/>
  <c r="G52" i="1" s="1"/>
  <c r="R22" i="2"/>
  <c r="E38" i="1"/>
  <c r="G38" i="1" s="1"/>
  <c r="E71" i="1" s="1"/>
  <c r="E49" i="1"/>
  <c r="G49" i="1" s="1"/>
  <c r="E82" i="1" s="1"/>
  <c r="G46" i="1"/>
  <c r="E79" i="1" s="1"/>
  <c r="P22" i="2"/>
  <c r="M22" i="2"/>
  <c r="I38" i="1"/>
  <c r="J8" i="1"/>
  <c r="L8" i="1" s="1"/>
  <c r="G15" i="1"/>
  <c r="I15" i="1" s="1"/>
  <c r="I47" i="1"/>
  <c r="E47" i="1"/>
  <c r="G47" i="1" s="1"/>
  <c r="E80" i="1" s="1"/>
  <c r="J10" i="1" l="1"/>
  <c r="K10" i="1" s="1"/>
  <c r="P21" i="1"/>
  <c r="S11" i="1"/>
  <c r="T11" i="1" s="1"/>
  <c r="E37" i="1"/>
  <c r="G37" i="1" s="1"/>
  <c r="I7" i="1"/>
  <c r="I13" i="1" s="1"/>
  <c r="L20" i="1"/>
  <c r="L50" i="1" s="1"/>
  <c r="J12" i="1"/>
  <c r="J14" i="1"/>
  <c r="G13" i="1"/>
  <c r="G24" i="1" s="1"/>
  <c r="J9" i="1"/>
  <c r="J22" i="1"/>
  <c r="J18" i="1"/>
  <c r="L18" i="1" s="1"/>
  <c r="I53" i="1"/>
  <c r="J23" i="1"/>
  <c r="L23" i="1" s="1"/>
  <c r="E85" i="1"/>
  <c r="H40" i="1"/>
  <c r="J40" i="1" s="1"/>
  <c r="F73" i="1" s="1"/>
  <c r="I46" i="1"/>
  <c r="J16" i="1"/>
  <c r="L16" i="1" s="1"/>
  <c r="I49" i="1"/>
  <c r="J19" i="1"/>
  <c r="L19" i="1" s="1"/>
  <c r="H50" i="1"/>
  <c r="J50" i="1" s="1"/>
  <c r="F83" i="1" s="1"/>
  <c r="L38" i="1"/>
  <c r="H38" i="1"/>
  <c r="J38" i="1" s="1"/>
  <c r="F71" i="1" s="1"/>
  <c r="J17" i="1"/>
  <c r="E45" i="1"/>
  <c r="J15" i="1"/>
  <c r="L15" i="1" s="1"/>
  <c r="L10" i="1" l="1"/>
  <c r="M10" i="1" s="1"/>
  <c r="N10" i="1" s="1"/>
  <c r="K13" i="1"/>
  <c r="U11" i="1"/>
  <c r="U41" i="1" s="1"/>
  <c r="Q41" i="1"/>
  <c r="S41" i="1" s="1"/>
  <c r="I74" i="1" s="1"/>
  <c r="R21" i="1"/>
  <c r="R51" i="1" s="1"/>
  <c r="N51" i="1"/>
  <c r="P51" i="1" s="1"/>
  <c r="H84" i="1" s="1"/>
  <c r="E43" i="1"/>
  <c r="E54" i="1" s="1"/>
  <c r="E55" i="1" s="1"/>
  <c r="K40" i="1"/>
  <c r="O10" i="1"/>
  <c r="O40" i="1" s="1"/>
  <c r="L14" i="1"/>
  <c r="L44" i="1" s="1"/>
  <c r="H42" i="1"/>
  <c r="J42" i="1" s="1"/>
  <c r="F75" i="1" s="1"/>
  <c r="L12" i="1"/>
  <c r="L42" i="1" s="1"/>
  <c r="L40" i="1"/>
  <c r="H52" i="1"/>
  <c r="J52" i="1" s="1"/>
  <c r="F85" i="1" s="1"/>
  <c r="L22" i="1"/>
  <c r="H47" i="1"/>
  <c r="J47" i="1" s="1"/>
  <c r="F80" i="1" s="1"/>
  <c r="L17" i="1"/>
  <c r="L47" i="1" s="1"/>
  <c r="L9" i="1"/>
  <c r="L39" i="1" s="1"/>
  <c r="H44" i="1"/>
  <c r="J44" i="1" s="1"/>
  <c r="F77" i="1" s="1"/>
  <c r="I37" i="1"/>
  <c r="I43" i="1" s="1"/>
  <c r="H39" i="1"/>
  <c r="J39" i="1" s="1"/>
  <c r="F72" i="1" s="1"/>
  <c r="J7" i="1"/>
  <c r="L52" i="1"/>
  <c r="L49" i="1"/>
  <c r="H49" i="1"/>
  <c r="J49" i="1" s="1"/>
  <c r="F82" i="1" s="1"/>
  <c r="L48" i="1"/>
  <c r="H48" i="1"/>
  <c r="J48" i="1" s="1"/>
  <c r="F81" i="1" s="1"/>
  <c r="L53" i="1"/>
  <c r="H53" i="1"/>
  <c r="J53" i="1" s="1"/>
  <c r="F86" i="1" s="1"/>
  <c r="L46" i="1"/>
  <c r="H46" i="1"/>
  <c r="J46" i="1" s="1"/>
  <c r="F79" i="1" s="1"/>
  <c r="G43" i="1"/>
  <c r="E76" i="1" s="1"/>
  <c r="E70" i="1"/>
  <c r="I45" i="1"/>
  <c r="I24" i="1"/>
  <c r="I25" i="1" s="1"/>
  <c r="G45" i="1"/>
  <c r="H45" i="1"/>
  <c r="V11" i="1" l="1"/>
  <c r="T41" i="1" s="1"/>
  <c r="V41" i="1" s="1"/>
  <c r="J74" i="1" s="1"/>
  <c r="L74" i="1" s="1"/>
  <c r="S21" i="1"/>
  <c r="M40" i="1"/>
  <c r="G73" i="1" s="1"/>
  <c r="M9" i="1"/>
  <c r="K39" i="1" s="1"/>
  <c r="M39" i="1" s="1"/>
  <c r="G72" i="1" s="1"/>
  <c r="H37" i="1"/>
  <c r="J37" i="1" s="1"/>
  <c r="L7" i="1"/>
  <c r="L13" i="1" s="1"/>
  <c r="M12" i="1"/>
  <c r="N13" i="1" s="1"/>
  <c r="N24" i="1" s="1"/>
  <c r="P10" i="1"/>
  <c r="Q10" i="1" s="1"/>
  <c r="I54" i="1"/>
  <c r="J13" i="1"/>
  <c r="J24" i="1" s="1"/>
  <c r="M16" i="1"/>
  <c r="O16" i="1" s="1"/>
  <c r="E78" i="1"/>
  <c r="G54" i="1"/>
  <c r="J45" i="1"/>
  <c r="L45" i="1"/>
  <c r="E87" i="1" l="1"/>
  <c r="G55" i="1"/>
  <c r="O9" i="1"/>
  <c r="O39" i="1" s="1"/>
  <c r="U21" i="1"/>
  <c r="U51" i="1" s="1"/>
  <c r="Q51" i="1"/>
  <c r="S51" i="1" s="1"/>
  <c r="I84" i="1" s="1"/>
  <c r="H43" i="1"/>
  <c r="H54" i="1" s="1"/>
  <c r="H55" i="1" s="1"/>
  <c r="O12" i="1"/>
  <c r="O42" i="1" s="1"/>
  <c r="R10" i="1"/>
  <c r="R40" i="1" s="1"/>
  <c r="L37" i="1"/>
  <c r="L43" i="1" s="1"/>
  <c r="L54" i="1" s="1"/>
  <c r="K42" i="1"/>
  <c r="M42" i="1" s="1"/>
  <c r="G75" i="1" s="1"/>
  <c r="L24" i="1"/>
  <c r="L25" i="1" s="1"/>
  <c r="N40" i="1"/>
  <c r="P40" i="1" s="1"/>
  <c r="H73" i="1" s="1"/>
  <c r="O46" i="1"/>
  <c r="K46" i="1"/>
  <c r="M46" i="1" s="1"/>
  <c r="G79" i="1" s="1"/>
  <c r="F70" i="1"/>
  <c r="J43" i="1"/>
  <c r="F76" i="1" s="1"/>
  <c r="F78" i="1"/>
  <c r="P9" i="1" l="1"/>
  <c r="R9" i="1" s="1"/>
  <c r="R39" i="1" s="1"/>
  <c r="V21" i="1"/>
  <c r="T51" i="1" s="1"/>
  <c r="V51" i="1" s="1"/>
  <c r="J84" i="1" s="1"/>
  <c r="L84" i="1" s="1"/>
  <c r="P12" i="1"/>
  <c r="N39" i="1"/>
  <c r="P39" i="1" s="1"/>
  <c r="H72" i="1" s="1"/>
  <c r="S10" i="1"/>
  <c r="P16" i="1"/>
  <c r="J54" i="1"/>
  <c r="F87" i="1" l="1"/>
  <c r="J55" i="1"/>
  <c r="U10" i="1"/>
  <c r="T10" i="1"/>
  <c r="N42" i="1"/>
  <c r="P42" i="1" s="1"/>
  <c r="H75" i="1" s="1"/>
  <c r="Q13" i="1"/>
  <c r="Q24" i="1" s="1"/>
  <c r="R12" i="1"/>
  <c r="S12" i="1" s="1"/>
  <c r="S9" i="1"/>
  <c r="U9" i="1" s="1"/>
  <c r="U39" i="1" s="1"/>
  <c r="N46" i="1"/>
  <c r="P46" i="1" s="1"/>
  <c r="H79" i="1" s="1"/>
  <c r="R16" i="1"/>
  <c r="R46" i="1" s="1"/>
  <c r="Q40" i="1"/>
  <c r="S40" i="1" s="1"/>
  <c r="I73" i="1" s="1"/>
  <c r="U40" i="1"/>
  <c r="V10" i="1"/>
  <c r="T40" i="1" s="1"/>
  <c r="S16" i="1" l="1"/>
  <c r="U16" i="1" s="1"/>
  <c r="Q39" i="1"/>
  <c r="S39" i="1" s="1"/>
  <c r="I72" i="1" s="1"/>
  <c r="U12" i="1"/>
  <c r="U42" i="1" s="1"/>
  <c r="T13" i="1"/>
  <c r="T24" i="1" s="1"/>
  <c r="R42" i="1"/>
  <c r="Q42" i="1"/>
  <c r="V9" i="1"/>
  <c r="T39" i="1" s="1"/>
  <c r="V40" i="1"/>
  <c r="J73" i="1" s="1"/>
  <c r="L73" i="1" s="1"/>
  <c r="U46" i="1"/>
  <c r="M20" i="1"/>
  <c r="O20" i="1" s="1"/>
  <c r="Q46" i="1" l="1"/>
  <c r="S46" i="1" s="1"/>
  <c r="I79" i="1" s="1"/>
  <c r="S42" i="1"/>
  <c r="I75" i="1" s="1"/>
  <c r="V12" i="1"/>
  <c r="T42" i="1" s="1"/>
  <c r="V39" i="1"/>
  <c r="J72" i="1" s="1"/>
  <c r="L72" i="1" s="1"/>
  <c r="V42" i="1"/>
  <c r="J75" i="1" s="1"/>
  <c r="L75" i="1" s="1"/>
  <c r="V16" i="1"/>
  <c r="T46" i="1" s="1"/>
  <c r="O50" i="1"/>
  <c r="K50" i="1"/>
  <c r="M50" i="1" s="1"/>
  <c r="M23" i="1"/>
  <c r="O23" i="1" s="1"/>
  <c r="M8" i="1"/>
  <c r="O8" i="1" s="1"/>
  <c r="M15" i="1"/>
  <c r="O15" i="1" s="1"/>
  <c r="M18" i="1"/>
  <c r="O18" i="1" s="1"/>
  <c r="V46" i="1" l="1"/>
  <c r="J79" i="1" s="1"/>
  <c r="L79" i="1" s="1"/>
  <c r="M14" i="1"/>
  <c r="O45" i="1"/>
  <c r="K45" i="1"/>
  <c r="M45" i="1" s="1"/>
  <c r="O38" i="1"/>
  <c r="K38" i="1"/>
  <c r="M38" i="1" s="1"/>
  <c r="G83" i="1"/>
  <c r="M19" i="1"/>
  <c r="O19" i="1" s="1"/>
  <c r="K48" i="1"/>
  <c r="M48" i="1" s="1"/>
  <c r="O48" i="1"/>
  <c r="K53" i="1"/>
  <c r="M53" i="1" s="1"/>
  <c r="O53" i="1"/>
  <c r="M22" i="1"/>
  <c r="O22" i="1" s="1"/>
  <c r="M17" i="1"/>
  <c r="O17" i="1" s="1"/>
  <c r="P20" i="1"/>
  <c r="R20" i="1" s="1"/>
  <c r="K44" i="1" l="1"/>
  <c r="M44" i="1" s="1"/>
  <c r="G77" i="1" s="1"/>
  <c r="O14" i="1"/>
  <c r="O44" i="1" s="1"/>
  <c r="P8" i="1"/>
  <c r="K47" i="1"/>
  <c r="M47" i="1" s="1"/>
  <c r="O47" i="1"/>
  <c r="O49" i="1"/>
  <c r="K49" i="1"/>
  <c r="M49" i="1" s="1"/>
  <c r="P23" i="1"/>
  <c r="R23" i="1" s="1"/>
  <c r="P18" i="1"/>
  <c r="R18" i="1" s="1"/>
  <c r="P14" i="1"/>
  <c r="R14" i="1" s="1"/>
  <c r="R50" i="1"/>
  <c r="N50" i="1"/>
  <c r="P50" i="1" s="1"/>
  <c r="O52" i="1"/>
  <c r="K52" i="1"/>
  <c r="M52" i="1" s="1"/>
  <c r="G86" i="1"/>
  <c r="G81" i="1"/>
  <c r="G71" i="1"/>
  <c r="G78" i="1"/>
  <c r="P15" i="1"/>
  <c r="R15" i="1" s="1"/>
  <c r="R8" i="1" l="1"/>
  <c r="R38" i="1" s="1"/>
  <c r="N38" i="1"/>
  <c r="P38" i="1" s="1"/>
  <c r="H71" i="1" s="1"/>
  <c r="G85" i="1"/>
  <c r="H83" i="1"/>
  <c r="R44" i="1"/>
  <c r="N44" i="1"/>
  <c r="P44" i="1" s="1"/>
  <c r="R48" i="1"/>
  <c r="N48" i="1"/>
  <c r="P48" i="1" s="1"/>
  <c r="G80" i="1"/>
  <c r="M7" i="1"/>
  <c r="O7" i="1" s="1"/>
  <c r="O13" i="1" s="1"/>
  <c r="K24" i="1"/>
  <c r="R45" i="1"/>
  <c r="N45" i="1"/>
  <c r="P45" i="1" s="1"/>
  <c r="R53" i="1"/>
  <c r="N53" i="1"/>
  <c r="P53" i="1" s="1"/>
  <c r="G82" i="1"/>
  <c r="P22" i="1"/>
  <c r="R22" i="1" s="1"/>
  <c r="S20" i="1"/>
  <c r="U20" i="1" s="1"/>
  <c r="P19" i="1"/>
  <c r="R19" i="1" s="1"/>
  <c r="P17" i="1"/>
  <c r="R17" i="1" s="1"/>
  <c r="S8" i="1" l="1"/>
  <c r="Q38" i="1" s="1"/>
  <c r="S38" i="1" s="1"/>
  <c r="S23" i="1"/>
  <c r="R49" i="1"/>
  <c r="N49" i="1"/>
  <c r="P49" i="1" s="1"/>
  <c r="H86" i="1"/>
  <c r="R47" i="1"/>
  <c r="N47" i="1"/>
  <c r="P47" i="1" s="1"/>
  <c r="R52" i="1"/>
  <c r="N52" i="1"/>
  <c r="P52" i="1" s="1"/>
  <c r="M13" i="1"/>
  <c r="M24" i="1" s="1"/>
  <c r="P7" i="1"/>
  <c r="R7" i="1" s="1"/>
  <c r="R13" i="1" s="1"/>
  <c r="K37" i="1"/>
  <c r="S15" i="1"/>
  <c r="U15" i="1" s="1"/>
  <c r="S18" i="1"/>
  <c r="U18" i="1" s="1"/>
  <c r="U50" i="1"/>
  <c r="Q50" i="1"/>
  <c r="S50" i="1" s="1"/>
  <c r="H78" i="1"/>
  <c r="H81" i="1"/>
  <c r="H77" i="1"/>
  <c r="S14" i="1"/>
  <c r="U14" i="1" s="1"/>
  <c r="U8" i="1" l="1"/>
  <c r="U38" i="1" s="1"/>
  <c r="V38" i="1" s="1"/>
  <c r="Q53" i="1"/>
  <c r="S53" i="1" s="1"/>
  <c r="I86" i="1" s="1"/>
  <c r="U23" i="1"/>
  <c r="U53" i="1"/>
  <c r="P13" i="1"/>
  <c r="P24" i="1" s="1"/>
  <c r="S7" i="1"/>
  <c r="N37" i="1"/>
  <c r="N43" i="1" s="1"/>
  <c r="N54" i="1" s="1"/>
  <c r="I83" i="1"/>
  <c r="U48" i="1"/>
  <c r="Q48" i="1"/>
  <c r="S48" i="1" s="1"/>
  <c r="K43" i="1"/>
  <c r="K54" i="1" s="1"/>
  <c r="K55" i="1" s="1"/>
  <c r="M37" i="1"/>
  <c r="H85" i="1"/>
  <c r="I71" i="1"/>
  <c r="S22" i="1"/>
  <c r="U22" i="1" s="1"/>
  <c r="V8" i="1"/>
  <c r="S17" i="1"/>
  <c r="U17" i="1" s="1"/>
  <c r="U44" i="1"/>
  <c r="Q44" i="1"/>
  <c r="S44" i="1" s="1"/>
  <c r="U45" i="1"/>
  <c r="Q45" i="1"/>
  <c r="S45" i="1" s="1"/>
  <c r="O24" i="1"/>
  <c r="O25" i="1" s="1"/>
  <c r="O37" i="1"/>
  <c r="O43" i="1" s="1"/>
  <c r="O54" i="1" s="1"/>
  <c r="H80" i="1"/>
  <c r="H82" i="1"/>
  <c r="V20" i="1"/>
  <c r="T50" i="1" s="1"/>
  <c r="V50" i="1" s="1"/>
  <c r="J83" i="1" s="1"/>
  <c r="L83" i="1" s="1"/>
  <c r="S19" i="1"/>
  <c r="U19" i="1" s="1"/>
  <c r="Q37" i="1" l="1"/>
  <c r="Q43" i="1" s="1"/>
  <c r="U7" i="1"/>
  <c r="U13" i="1" s="1"/>
  <c r="N55" i="1"/>
  <c r="V23" i="1"/>
  <c r="T53" i="1" s="1"/>
  <c r="V53" i="1" s="1"/>
  <c r="J86" i="1" s="1"/>
  <c r="L86" i="1" s="1"/>
  <c r="V14" i="1"/>
  <c r="T44" i="1" s="1"/>
  <c r="V44" i="1" s="1"/>
  <c r="J77" i="1" s="1"/>
  <c r="L77" i="1" s="1"/>
  <c r="U49" i="1"/>
  <c r="Q49" i="1"/>
  <c r="S49" i="1" s="1"/>
  <c r="G70" i="1"/>
  <c r="M43" i="1"/>
  <c r="P37" i="1"/>
  <c r="I81" i="1"/>
  <c r="J71" i="1"/>
  <c r="L71" i="1" s="1"/>
  <c r="I78" i="1"/>
  <c r="I77" i="1"/>
  <c r="U47" i="1"/>
  <c r="Q47" i="1"/>
  <c r="S47" i="1" s="1"/>
  <c r="U52" i="1"/>
  <c r="Q52" i="1"/>
  <c r="S52" i="1" s="1"/>
  <c r="V7" i="1"/>
  <c r="V13" i="1" s="1"/>
  <c r="S13" i="1"/>
  <c r="S24" i="1" s="1"/>
  <c r="R24" i="1"/>
  <c r="R25" i="1" s="1"/>
  <c r="R37" i="1"/>
  <c r="R43" i="1" s="1"/>
  <c r="R54" i="1" s="1"/>
  <c r="V15" i="1"/>
  <c r="T45" i="1" s="1"/>
  <c r="V45" i="1" s="1"/>
  <c r="J78" i="1" s="1"/>
  <c r="L78" i="1" s="1"/>
  <c r="V18" i="1"/>
  <c r="T48" i="1" s="1"/>
  <c r="V48" i="1" s="1"/>
  <c r="J81" i="1" s="1"/>
  <c r="L81" i="1" s="1"/>
  <c r="Q54" i="1" l="1"/>
  <c r="Q55" i="1" s="1"/>
  <c r="I85" i="1"/>
  <c r="I80" i="1"/>
  <c r="P43" i="1"/>
  <c r="S37" i="1"/>
  <c r="H70" i="1"/>
  <c r="V19" i="1"/>
  <c r="T49" i="1" s="1"/>
  <c r="V49" i="1" s="1"/>
  <c r="J82" i="1" s="1"/>
  <c r="L82" i="1" s="1"/>
  <c r="U24" i="1"/>
  <c r="U25" i="1" s="1"/>
  <c r="U37" i="1"/>
  <c r="U43" i="1" s="1"/>
  <c r="U54" i="1" s="1"/>
  <c r="G76" i="1"/>
  <c r="M54" i="1"/>
  <c r="I82" i="1"/>
  <c r="T37" i="1"/>
  <c r="T43" i="1" s="1"/>
  <c r="V22" i="1"/>
  <c r="T52" i="1" s="1"/>
  <c r="V52" i="1" s="1"/>
  <c r="J85" i="1" s="1"/>
  <c r="L85" i="1" s="1"/>
  <c r="V17" i="1"/>
  <c r="T47" i="1" s="1"/>
  <c r="V47" i="1" s="1"/>
  <c r="J80" i="1" s="1"/>
  <c r="L80" i="1" s="1"/>
  <c r="G87" i="1" l="1"/>
  <c r="M55" i="1"/>
  <c r="T54" i="1"/>
  <c r="V24" i="1"/>
  <c r="L95" i="1" s="1"/>
  <c r="L100" i="1" s="1"/>
  <c r="H76" i="1"/>
  <c r="P54" i="1"/>
  <c r="I70" i="1"/>
  <c r="S43" i="1"/>
  <c r="V37" i="1"/>
  <c r="H87" i="1" l="1"/>
  <c r="P55" i="1"/>
  <c r="T55" i="1"/>
  <c r="J70" i="1"/>
  <c r="L70" i="1" s="1"/>
  <c r="V43" i="1"/>
  <c r="S54" i="1"/>
  <c r="I76" i="1"/>
  <c r="I87" i="1" l="1"/>
  <c r="S55" i="1"/>
  <c r="J76" i="1"/>
  <c r="L76" i="1" s="1"/>
  <c r="V54" i="1"/>
  <c r="V55" i="1" s="1"/>
  <c r="L96" i="1" l="1"/>
  <c r="L97" i="1" s="1"/>
  <c r="J87" i="1"/>
  <c r="L87" i="1" s="1"/>
</calcChain>
</file>

<file path=xl/sharedStrings.xml><?xml version="1.0" encoding="utf-8"?>
<sst xmlns="http://schemas.openxmlformats.org/spreadsheetml/2006/main" count="239" uniqueCount="90">
  <si>
    <t>Additions</t>
  </si>
  <si>
    <t>Retirements</t>
  </si>
  <si>
    <t>End of Year</t>
  </si>
  <si>
    <t>Total Transmission Plant</t>
  </si>
  <si>
    <t>Station &amp; Equipment</t>
  </si>
  <si>
    <t>Poles, Towers &amp; Fixtures</t>
  </si>
  <si>
    <t>Ohead Conds &amp; Devices</t>
  </si>
  <si>
    <t>Underground Conduit</t>
  </si>
  <si>
    <t>Underground Conds &amp; Devices</t>
  </si>
  <si>
    <t>Line Transformers</t>
  </si>
  <si>
    <t>Services</t>
  </si>
  <si>
    <t>Meters</t>
  </si>
  <si>
    <t>Instal on Cons Premises</t>
  </si>
  <si>
    <t>St Ltg &amp; Signal Systems</t>
  </si>
  <si>
    <t>Total Distribution</t>
  </si>
  <si>
    <t>362</t>
  </si>
  <si>
    <t>Station Equipment</t>
  </si>
  <si>
    <t>362.100</t>
  </si>
  <si>
    <t>Supervisory Control Equipment</t>
  </si>
  <si>
    <t>362.200</t>
  </si>
  <si>
    <t>Microwave System-Equipment</t>
  </si>
  <si>
    <t>362.223</t>
  </si>
  <si>
    <t>Microwave System-Towers</t>
  </si>
  <si>
    <t>362.40</t>
  </si>
  <si>
    <t>Owensboro Fiber</t>
  </si>
  <si>
    <t>Investment</t>
  </si>
  <si>
    <t>Total Station</t>
  </si>
  <si>
    <t>Total</t>
  </si>
  <si>
    <t>Average</t>
  </si>
  <si>
    <t>Assumptions</t>
  </si>
  <si>
    <t>Accruals</t>
  </si>
  <si>
    <t>Reserve</t>
  </si>
  <si>
    <t>Net Salvage</t>
  </si>
  <si>
    <t>FNS</t>
  </si>
  <si>
    <t>Rate</t>
  </si>
  <si>
    <t>Ret Rt</t>
  </si>
  <si>
    <t>Kenergy</t>
  </si>
  <si>
    <t>Depreciation</t>
  </si>
  <si>
    <t>Five Year Forecast Reserve Ratios</t>
  </si>
  <si>
    <t>FIVE YEAR FORECAST INVESTMENT</t>
  </si>
  <si>
    <t>FIVE YEAR FORECAST RESERVE</t>
  </si>
  <si>
    <t>Current</t>
  </si>
  <si>
    <t>KENERGY</t>
  </si>
  <si>
    <t>Meters*</t>
  </si>
  <si>
    <t>Proposed</t>
  </si>
  <si>
    <t>Composition Rate</t>
  </si>
  <si>
    <t>Percent</t>
  </si>
  <si>
    <t>Depreciated</t>
  </si>
  <si>
    <t xml:space="preserve">   Additions Growth Rate</t>
  </si>
  <si>
    <t xml:space="preserve">   Additions Adjustment Factor</t>
  </si>
  <si>
    <t xml:space="preserve">   Retirement Adjustemnt Factor</t>
  </si>
  <si>
    <t>Amount To Be</t>
  </si>
  <si>
    <t>Forecast</t>
  </si>
  <si>
    <t>Reasonable</t>
  </si>
  <si>
    <t>Value</t>
  </si>
  <si>
    <t>Assumptions:</t>
  </si>
  <si>
    <t>Meters *</t>
  </si>
  <si>
    <t xml:space="preserve">   EOY Reserve Ratio</t>
  </si>
  <si>
    <t>Ratio 2015/2005</t>
  </si>
  <si>
    <t>RUS Curve Range</t>
  </si>
  <si>
    <t>25%-37%</t>
  </si>
  <si>
    <t>2014 End of Year</t>
  </si>
  <si>
    <t>Fiber in Substations</t>
  </si>
  <si>
    <t>Meters - AMI</t>
  </si>
  <si>
    <t>Percent Total</t>
  </si>
  <si>
    <t>RUS 2013 Forecast</t>
  </si>
  <si>
    <t>12 Yr Ret Rate</t>
  </si>
  <si>
    <t>Use</t>
  </si>
  <si>
    <t xml:space="preserve">1.  Additions based on plant expenditures used in 2013 RUS Form 325G </t>
  </si>
  <si>
    <t xml:space="preserve">     with minor adjustments: 3M removed from 2018, AMI Project added </t>
  </si>
  <si>
    <t xml:space="preserve">      and 370 adjusted to remove the mechanical meter retirement</t>
  </si>
  <si>
    <t xml:space="preserve">2.  Retirements based on review of 2014 and the 12 year average </t>
  </si>
  <si>
    <t xml:space="preserve">     retirement rates adjusted for reasonableness. </t>
  </si>
  <si>
    <t>3.  New depreciation rates implemented in 2016.</t>
  </si>
  <si>
    <t>4.  Future Net Salvage estimates from 2015 Study was used for all years.</t>
  </si>
  <si>
    <t>PIS EOY 2014</t>
  </si>
  <si>
    <t>Acct 370 adjustments</t>
  </si>
  <si>
    <t>EOY 2014 Meters</t>
  </si>
  <si>
    <t>EOY 2014 AMI</t>
  </si>
  <si>
    <t>EOY 2014 Other</t>
  </si>
  <si>
    <t>Meters retired 40% in 2015 60% in 2016</t>
  </si>
  <si>
    <t>New AMI 4M in 2015 and 5M in 2016</t>
  </si>
  <si>
    <t>COR for Meters retired</t>
  </si>
  <si>
    <t>Regulatory Asset</t>
  </si>
  <si>
    <t>in 2020</t>
  </si>
  <si>
    <t xml:space="preserve">   2020 Plant</t>
  </si>
  <si>
    <t xml:space="preserve">   2020 Reserve</t>
  </si>
  <si>
    <t>2014 Plant</t>
  </si>
  <si>
    <t>Used in</t>
  </si>
  <si>
    <t>Net Sal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</si>
</sst>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</numFmts>
  <fonts count="9">
    <font>
      <sz val="11"/>
      <name val="Times New Roman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Lucida Sans"/>
      <family val="2"/>
    </font>
    <font>
      <sz val="11"/>
      <name val="Lucida Sans"/>
      <family val="2"/>
    </font>
    <font>
      <u/>
      <sz val="11"/>
      <name val="Lucida Sans"/>
      <family val="2"/>
    </font>
    <font>
      <sz val="12"/>
      <name val="Lucida Sans"/>
      <family val="2"/>
    </font>
    <font>
      <u val="singleAccounting"/>
      <sz val="11"/>
      <name val="Lucida Sans"/>
      <family val="2"/>
    </font>
    <font>
      <sz val="10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65" fontId="3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165" fontId="3" fillId="0" borderId="0" xfId="1" applyNumberFormat="1" applyFont="1" applyFill="1" applyAlignment="1">
      <alignment horizontal="left"/>
    </xf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4" fillId="0" borderId="0" xfId="1" applyNumberFormat="1" applyFont="1" applyFill="1" applyAlignment="1">
      <alignment horizontal="center"/>
    </xf>
    <xf numFmtId="166" fontId="4" fillId="0" borderId="0" xfId="2" applyNumberFormat="1" applyFont="1" applyFill="1" applyAlignment="1">
      <alignment horizontal="center"/>
    </xf>
    <xf numFmtId="166" fontId="4" fillId="0" borderId="0" xfId="2" applyNumberFormat="1" applyFont="1" applyFill="1"/>
    <xf numFmtId="10" fontId="4" fillId="0" borderId="0" xfId="2" applyNumberFormat="1" applyFont="1" applyFill="1" applyAlignment="1">
      <alignment horizontal="center"/>
    </xf>
    <xf numFmtId="10" fontId="4" fillId="0" borderId="0" xfId="2" applyNumberFormat="1" applyFont="1" applyFill="1"/>
    <xf numFmtId="9" fontId="4" fillId="0" borderId="0" xfId="2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6" fontId="4" fillId="0" borderId="0" xfId="2" applyNumberFormat="1" applyFont="1" applyFill="1" applyAlignment="1">
      <alignment horizontal="left"/>
    </xf>
    <xf numFmtId="10" fontId="4" fillId="0" borderId="0" xfId="2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  <xf numFmtId="165" fontId="7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43" fontId="4" fillId="0" borderId="0" xfId="1" applyFont="1" applyFill="1"/>
    <xf numFmtId="167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0" fontId="4" fillId="0" borderId="0" xfId="1" applyNumberFormat="1" applyFont="1" applyFill="1"/>
    <xf numFmtId="165" fontId="8" fillId="0" borderId="0" xfId="1" applyNumberFormat="1" applyFont="1" applyFill="1"/>
    <xf numFmtId="0" fontId="4" fillId="0" borderId="0" xfId="1" applyNumberFormat="1" applyFont="1" applyFill="1" applyAlignment="1">
      <alignment horizontal="center"/>
    </xf>
    <xf numFmtId="43" fontId="4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/>
    </xf>
    <xf numFmtId="166" fontId="3" fillId="0" borderId="0" xfId="2" applyNumberFormat="1" applyFont="1" applyFill="1"/>
    <xf numFmtId="1" fontId="4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topLeftCell="A7" zoomScaleNormal="100" workbookViewId="0">
      <pane xSplit="1" topLeftCell="M1" activePane="topRight" state="frozen"/>
      <selection pane="topRight" activeCell="L7" sqref="L7"/>
    </sheetView>
  </sheetViews>
  <sheetFormatPr defaultColWidth="9.140625" defaultRowHeight="14.25"/>
  <cols>
    <col min="1" max="1" width="10" style="8" customWidth="1"/>
    <col min="2" max="2" width="28.140625" style="2" customWidth="1"/>
    <col min="3" max="3" width="10.28515625" style="2" customWidth="1"/>
    <col min="4" max="4" width="18.28515625" style="2" customWidth="1"/>
    <col min="5" max="5" width="15.140625" style="2" customWidth="1"/>
    <col min="6" max="6" width="14" style="2" customWidth="1"/>
    <col min="7" max="7" width="16.85546875" style="2" customWidth="1"/>
    <col min="8" max="8" width="15.42578125" style="2" customWidth="1"/>
    <col min="9" max="9" width="14" style="2" customWidth="1"/>
    <col min="10" max="10" width="16.85546875" style="2" customWidth="1"/>
    <col min="11" max="11" width="15.7109375" style="2" customWidth="1"/>
    <col min="12" max="12" width="14.85546875" style="2" customWidth="1"/>
    <col min="13" max="13" width="16.85546875" style="2" customWidth="1"/>
    <col min="14" max="14" width="15.42578125" style="2" customWidth="1"/>
    <col min="15" max="15" width="14" style="2" customWidth="1"/>
    <col min="16" max="16" width="16.85546875" style="2" customWidth="1"/>
    <col min="17" max="17" width="15.42578125" style="2" customWidth="1"/>
    <col min="18" max="18" width="14" style="2" customWidth="1"/>
    <col min="19" max="19" width="16.85546875" style="2" customWidth="1"/>
    <col min="20" max="21" width="15.42578125" style="2" customWidth="1"/>
    <col min="22" max="23" width="16.85546875" style="2" customWidth="1"/>
    <col min="24" max="16384" width="9.140625" style="2"/>
  </cols>
  <sheetData>
    <row r="1" spans="1:25" ht="15">
      <c r="A1" s="1"/>
      <c r="B1" s="7" t="s">
        <v>42</v>
      </c>
    </row>
    <row r="2" spans="1:25" ht="15">
      <c r="A2" s="1"/>
      <c r="B2" s="7"/>
      <c r="D2" s="37" t="s">
        <v>39</v>
      </c>
      <c r="E2" s="37"/>
      <c r="F2" s="37"/>
      <c r="G2" s="37"/>
      <c r="H2" s="37"/>
      <c r="I2" s="37"/>
      <c r="J2" s="37"/>
      <c r="K2" s="37"/>
      <c r="M2" s="1"/>
      <c r="N2" s="1"/>
      <c r="O2" s="1"/>
      <c r="P2" s="1"/>
      <c r="Q2" s="1" t="s">
        <v>39</v>
      </c>
      <c r="R2" s="1"/>
      <c r="S2" s="1"/>
      <c r="T2" s="1"/>
      <c r="U2" s="3"/>
      <c r="V2" s="1"/>
      <c r="W2" s="1"/>
      <c r="X2" s="1"/>
      <c r="Y2" s="1"/>
    </row>
    <row r="3" spans="1:25" ht="15">
      <c r="A3" s="1"/>
      <c r="B3" s="3"/>
    </row>
    <row r="4" spans="1:25" s="4" customFormat="1">
      <c r="D4" s="4" t="s">
        <v>61</v>
      </c>
      <c r="E4" s="38">
        <v>2015</v>
      </c>
      <c r="F4" s="38"/>
      <c r="G4" s="38"/>
      <c r="H4" s="38">
        <v>2016</v>
      </c>
      <c r="I4" s="38"/>
      <c r="J4" s="38"/>
      <c r="K4" s="38">
        <v>2017</v>
      </c>
      <c r="L4" s="38"/>
      <c r="M4" s="38"/>
      <c r="N4" s="38">
        <v>2018</v>
      </c>
      <c r="O4" s="38"/>
      <c r="P4" s="38"/>
      <c r="Q4" s="38">
        <v>2019</v>
      </c>
      <c r="R4" s="38"/>
      <c r="S4" s="38"/>
      <c r="T4" s="38">
        <v>2020</v>
      </c>
      <c r="U4" s="38"/>
      <c r="V4" s="38"/>
    </row>
    <row r="5" spans="1:25" s="6" customFormat="1" ht="15">
      <c r="B5" s="7" t="s">
        <v>3</v>
      </c>
      <c r="D5" s="6" t="s">
        <v>25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  <c r="N5" s="6" t="s">
        <v>0</v>
      </c>
      <c r="O5" s="6" t="s">
        <v>1</v>
      </c>
      <c r="P5" s="6" t="s">
        <v>2</v>
      </c>
      <c r="Q5" s="6" t="s">
        <v>0</v>
      </c>
      <c r="R5" s="6" t="s">
        <v>1</v>
      </c>
      <c r="S5" s="6" t="s">
        <v>2</v>
      </c>
      <c r="T5" s="6" t="s">
        <v>0</v>
      </c>
      <c r="U5" s="6" t="s">
        <v>1</v>
      </c>
      <c r="V5" s="6" t="s">
        <v>2</v>
      </c>
    </row>
    <row r="7" spans="1:25">
      <c r="A7" s="8">
        <v>362</v>
      </c>
      <c r="B7" s="2" t="s">
        <v>4</v>
      </c>
      <c r="D7" s="2">
        <v>20879766</v>
      </c>
      <c r="E7" s="2">
        <f>+'4 Yr averages'!M5</f>
        <v>501290.88417392032</v>
      </c>
      <c r="F7" s="2">
        <f>+D7*'4 Yr averages'!N29</f>
        <v>375835.788</v>
      </c>
      <c r="G7" s="2">
        <f t="shared" ref="G7:G23" si="0">+D7+E7-F7</f>
        <v>21005221.09617392</v>
      </c>
      <c r="H7" s="2">
        <f>+'4 Yr averages'!N5</f>
        <v>505527.81437493052</v>
      </c>
      <c r="I7" s="2">
        <f>+G7*'4 Yr averages'!N29</f>
        <v>378093.97973113053</v>
      </c>
      <c r="J7" s="2">
        <f t="shared" ref="J7:J23" si="1">+G7+H7-I7</f>
        <v>21132654.93081772</v>
      </c>
      <c r="K7" s="2">
        <f>+'4 Yr averages'!O5</f>
        <v>514168.85097841511</v>
      </c>
      <c r="L7" s="2">
        <f>+J7*'4 Yr averages'!N29</f>
        <v>380387.7887547189</v>
      </c>
      <c r="M7" s="2">
        <f t="shared" ref="M7:M23" si="2">+J7+K7-L7</f>
        <v>21266435.993041415</v>
      </c>
      <c r="N7" s="2">
        <f>+'4 Yr averages'!P5</f>
        <v>594965.9720235588</v>
      </c>
      <c r="O7" s="2">
        <f>+M7*'4 Yr averages'!N29</f>
        <v>382795.84787474544</v>
      </c>
      <c r="P7" s="2">
        <f t="shared" ref="P7:P23" si="3">+M7+N7-O7</f>
        <v>21478606.117190227</v>
      </c>
      <c r="Q7" s="2">
        <f>+'4 Yr averages'!Q5</f>
        <v>553473.62600658939</v>
      </c>
      <c r="R7" s="2">
        <f>+P7*'4 Yr averages'!N29</f>
        <v>386614.91010942403</v>
      </c>
      <c r="S7" s="2">
        <f t="shared" ref="S7:S23" si="4">+P7+Q7-R7</f>
        <v>21645464.833087392</v>
      </c>
      <c r="T7" s="2">
        <f>+'4 Yr averages'!R5</f>
        <v>686702.15906877152</v>
      </c>
      <c r="U7" s="2">
        <f>+S7*'4 Yr averages'!N29</f>
        <v>389618.36699557304</v>
      </c>
      <c r="V7" s="2">
        <f t="shared" ref="V7:V23" si="5">+S7+T7-U7</f>
        <v>21942548.62516059</v>
      </c>
    </row>
    <row r="8" spans="1:25">
      <c r="A8" s="8" t="s">
        <v>17</v>
      </c>
      <c r="B8" s="2" t="s">
        <v>18</v>
      </c>
      <c r="D8" s="2">
        <v>1704880</v>
      </c>
      <c r="E8" s="2">
        <f>+'4 Yr averages'!M6</f>
        <v>62735.33849876123</v>
      </c>
      <c r="F8" s="2">
        <f>+D8*'4 Yr averages'!N30</f>
        <v>51146.400000000001</v>
      </c>
      <c r="G8" s="2">
        <f t="shared" si="0"/>
        <v>1716468.9384987613</v>
      </c>
      <c r="H8" s="2">
        <f>+'4 Yr averages'!N6</f>
        <v>63265.580038648841</v>
      </c>
      <c r="I8" s="2">
        <f>+G8*'4 Yr averages'!N30</f>
        <v>51494.068154962835</v>
      </c>
      <c r="J8" s="2">
        <f t="shared" si="1"/>
        <v>1728240.4503824473</v>
      </c>
      <c r="K8" s="2">
        <f>+'4 Yr averages'!O6</f>
        <v>64346.984814626601</v>
      </c>
      <c r="L8" s="2">
        <f>+J8*'4 Yr averages'!N30</f>
        <v>51847.213511473419</v>
      </c>
      <c r="M8" s="2">
        <f t="shared" si="2"/>
        <v>1740740.2216856005</v>
      </c>
      <c r="N8" s="2">
        <f>+'4 Yr averages'!P6</f>
        <v>74458.548576344372</v>
      </c>
      <c r="O8" s="2">
        <f>+M8*'4 Yr averages'!N30</f>
        <v>52222.206650568012</v>
      </c>
      <c r="P8" s="2">
        <f t="shared" si="3"/>
        <v>1762976.5636113768</v>
      </c>
      <c r="Q8" s="2">
        <f>+'4 Yr averages'!Q6</f>
        <v>69265.882093346459</v>
      </c>
      <c r="R8" s="2">
        <f>+P8*'4 Yr averages'!N30</f>
        <v>52889.296908341305</v>
      </c>
      <c r="S8" s="2">
        <f t="shared" si="4"/>
        <v>1779353.1487963819</v>
      </c>
      <c r="T8" s="2">
        <f>+'4 Yr averages'!R6</f>
        <v>85939.109920185583</v>
      </c>
      <c r="U8" s="2">
        <f>+S8*'4 Yr averages'!N30</f>
        <v>53380.594463891452</v>
      </c>
      <c r="V8" s="2">
        <f t="shared" si="5"/>
        <v>1811911.6642526761</v>
      </c>
    </row>
    <row r="9" spans="1:25">
      <c r="A9" s="8" t="s">
        <v>19</v>
      </c>
      <c r="B9" s="2" t="s">
        <v>20</v>
      </c>
      <c r="D9" s="2">
        <v>481561</v>
      </c>
      <c r="E9" s="2">
        <f>+'4 Yr averages'!M7</f>
        <v>77510.794055098944</v>
      </c>
      <c r="F9" s="2">
        <f>+D9*'4 Yr averages'!N31</f>
        <v>9631.2199999999993</v>
      </c>
      <c r="G9" s="2">
        <f t="shared" si="0"/>
        <v>549440.57405509893</v>
      </c>
      <c r="H9" s="2">
        <f>+'4 Yr averages'!N7</f>
        <v>78165.918324469036</v>
      </c>
      <c r="I9" s="2">
        <f>+G9*'4 Yr averages'!N31</f>
        <v>10988.811481101979</v>
      </c>
      <c r="J9" s="2">
        <f t="shared" si="1"/>
        <v>616617.68089846591</v>
      </c>
      <c r="K9" s="2">
        <f>+'4 Yr averages'!O7</f>
        <v>79502.016046850316</v>
      </c>
      <c r="L9" s="2">
        <f>+J9*'4 Yr averages'!N31</f>
        <v>12332.353617969318</v>
      </c>
      <c r="M9" s="2">
        <f t="shared" si="2"/>
        <v>683787.34332734696</v>
      </c>
      <c r="N9" s="2">
        <f>+'4 Yr averages'!P7</f>
        <v>91995.059920758533</v>
      </c>
      <c r="O9" s="2">
        <f>+M9*'4 Yr averages'!N31</f>
        <v>13675.746866546939</v>
      </c>
      <c r="P9" s="2">
        <f t="shared" si="3"/>
        <v>762106.65638155851</v>
      </c>
      <c r="Q9" s="2">
        <f>+'4 Yr averages'!Q7</f>
        <v>85579.414257693948</v>
      </c>
      <c r="R9" s="2">
        <f>+P9*'4 Yr averages'!N31</f>
        <v>15242.13312763117</v>
      </c>
      <c r="S9" s="2">
        <f t="shared" si="4"/>
        <v>832443.93751162128</v>
      </c>
      <c r="T9" s="2">
        <f>+'4 Yr averages'!R7</f>
        <v>106179.52831215771</v>
      </c>
      <c r="U9" s="2">
        <f>+S9*'4 Yr averages'!N31</f>
        <v>16648.878750232427</v>
      </c>
      <c r="V9" s="2">
        <f t="shared" si="5"/>
        <v>921974.5870735466</v>
      </c>
    </row>
    <row r="10" spans="1:25">
      <c r="A10" s="8" t="s">
        <v>21</v>
      </c>
      <c r="B10" s="2" t="s">
        <v>22</v>
      </c>
      <c r="D10" s="2">
        <v>1411547</v>
      </c>
      <c r="E10" s="2">
        <f>+D10*0.015</f>
        <v>21173.204999999998</v>
      </c>
      <c r="F10" s="2">
        <f>+D10*'4 Yr averages'!N32</f>
        <v>28230.940000000002</v>
      </c>
      <c r="G10" s="2">
        <f t="shared" si="0"/>
        <v>1404489.2650000001</v>
      </c>
      <c r="H10" s="2">
        <f>+G10*0.015</f>
        <v>21067.338975000002</v>
      </c>
      <c r="I10" s="2">
        <f>+G10*'4 Yr averages'!N32</f>
        <v>28089.785300000003</v>
      </c>
      <c r="J10" s="2">
        <f t="shared" si="1"/>
        <v>1397466.818675</v>
      </c>
      <c r="K10" s="2">
        <f>+J10*0.015</f>
        <v>20962.002280124998</v>
      </c>
      <c r="L10" s="2">
        <f>+J10*'4 Yr averages'!N32</f>
        <v>27949.336373500002</v>
      </c>
      <c r="M10" s="2">
        <f>+J10+K10-L10</f>
        <v>1390479.4845816249</v>
      </c>
      <c r="N10" s="2">
        <f>+M10*0.015</f>
        <v>20857.192268724371</v>
      </c>
      <c r="O10" s="2">
        <f>+M10*'4 Yr averages'!N32</f>
        <v>27809.589691632496</v>
      </c>
      <c r="P10" s="2">
        <f>+M10+N10-O10</f>
        <v>1383527.0871587167</v>
      </c>
      <c r="Q10" s="2">
        <f>+P10*0.015</f>
        <v>20752.906307380752</v>
      </c>
      <c r="R10" s="2">
        <f>+P10*'4 Yr averages'!N32</f>
        <v>27670.541743174337</v>
      </c>
      <c r="S10" s="2">
        <f t="shared" si="4"/>
        <v>1376609.451722923</v>
      </c>
      <c r="T10" s="2">
        <f>+S10*0.015</f>
        <v>20649.141775843844</v>
      </c>
      <c r="U10" s="2">
        <f>+S10*'4 Yr averages'!N32</f>
        <v>27532.189034458461</v>
      </c>
      <c r="V10" s="2">
        <f t="shared" si="5"/>
        <v>1369726.4044643084</v>
      </c>
    </row>
    <row r="11" spans="1:25">
      <c r="A11" s="33">
        <v>362.3</v>
      </c>
      <c r="B11" s="2" t="s">
        <v>62</v>
      </c>
      <c r="D11" s="2">
        <v>51597</v>
      </c>
      <c r="E11" s="2">
        <f t="shared" ref="E11" si="6">+D11*0.015</f>
        <v>773.95499999999993</v>
      </c>
      <c r="F11" s="2">
        <f>+D11*'4 Yr averages'!N33</f>
        <v>1031.94</v>
      </c>
      <c r="G11" s="2">
        <f t="shared" si="0"/>
        <v>51339.014999999999</v>
      </c>
      <c r="H11" s="2">
        <f t="shared" ref="H11" si="7">+G11*0.015</f>
        <v>770.08522499999992</v>
      </c>
      <c r="I11" s="2">
        <f>+G11*'4 Yr averages'!N33</f>
        <v>1026.7802999999999</v>
      </c>
      <c r="J11" s="2">
        <f t="shared" si="1"/>
        <v>51082.319925000003</v>
      </c>
      <c r="K11" s="2">
        <f t="shared" ref="K11" si="8">+J11*0.015</f>
        <v>766.23479887500002</v>
      </c>
      <c r="L11" s="2">
        <f>+J11*'4 Yr averages'!N33</f>
        <v>1021.6463985000001</v>
      </c>
      <c r="M11" s="2">
        <f>+J11+K11-L11</f>
        <v>50826.908325375</v>
      </c>
      <c r="N11" s="2">
        <f t="shared" ref="N11" si="9">+M11*0.015</f>
        <v>762.40362488062499</v>
      </c>
      <c r="O11" s="2">
        <f>+M11*'4 Yr averages'!N33</f>
        <v>1016.5381665075</v>
      </c>
      <c r="P11" s="2">
        <f>+M11+N11-O11</f>
        <v>50572.773783748125</v>
      </c>
      <c r="Q11" s="2">
        <f t="shared" ref="Q11" si="10">+P11*0.015</f>
        <v>758.59160675622184</v>
      </c>
      <c r="R11" s="2">
        <f>+P11*'4 Yr averages'!N33</f>
        <v>1011.4554756749625</v>
      </c>
      <c r="S11" s="2">
        <f t="shared" si="4"/>
        <v>50319.909914829383</v>
      </c>
      <c r="T11" s="2">
        <f t="shared" ref="T11" si="11">+S11*0.015</f>
        <v>754.7986487224407</v>
      </c>
      <c r="U11" s="2">
        <f>+S11*'4 Yr averages'!N33</f>
        <v>1006.3981982965877</v>
      </c>
      <c r="V11" s="2">
        <f t="shared" si="5"/>
        <v>50068.310365255238</v>
      </c>
    </row>
    <row r="12" spans="1:25">
      <c r="A12" s="33">
        <v>362.4</v>
      </c>
      <c r="B12" s="2" t="s">
        <v>24</v>
      </c>
      <c r="D12" s="2">
        <v>910479</v>
      </c>
      <c r="E12" s="2">
        <f>+D12*0.01</f>
        <v>9104.7900000000009</v>
      </c>
      <c r="F12" s="2">
        <f>+D12*'4 Yr averages'!N34</f>
        <v>18209.580000000002</v>
      </c>
      <c r="G12" s="2">
        <f t="shared" si="0"/>
        <v>901374.21000000008</v>
      </c>
      <c r="H12" s="2">
        <f>+G12*0.01</f>
        <v>9013.7421000000013</v>
      </c>
      <c r="I12" s="2">
        <f>+G12*'4 Yr averages'!N34</f>
        <v>18027.484200000003</v>
      </c>
      <c r="J12" s="2">
        <f t="shared" si="1"/>
        <v>892360.46790000016</v>
      </c>
      <c r="K12" s="2">
        <v>22000</v>
      </c>
      <c r="L12" s="2">
        <f>+J12*'4 Yr averages'!N34</f>
        <v>17847.209358000004</v>
      </c>
      <c r="M12" s="2">
        <f t="shared" si="2"/>
        <v>896513.2585420002</v>
      </c>
      <c r="N12" s="2">
        <v>25000</v>
      </c>
      <c r="O12" s="2">
        <f>+M12*'4 Yr averages'!N34</f>
        <v>17930.265170840004</v>
      </c>
      <c r="P12" s="2">
        <f t="shared" si="3"/>
        <v>903582.99337116024</v>
      </c>
      <c r="Q12" s="2">
        <v>25000</v>
      </c>
      <c r="R12" s="2">
        <f>+P12*'4 Yr averages'!N34</f>
        <v>18071.659867423205</v>
      </c>
      <c r="S12" s="2">
        <f t="shared" si="4"/>
        <v>910511.333503737</v>
      </c>
      <c r="T12" s="2">
        <v>25000</v>
      </c>
      <c r="U12" s="2">
        <f>+S12*'4 Yr averages'!N34</f>
        <v>18210.226670074739</v>
      </c>
      <c r="V12" s="2">
        <f t="shared" si="5"/>
        <v>917301.10683366226</v>
      </c>
    </row>
    <row r="13" spans="1:25">
      <c r="B13" s="2" t="s">
        <v>26</v>
      </c>
      <c r="D13" s="2">
        <f>SUM(D7:D12)</f>
        <v>25439830</v>
      </c>
      <c r="E13" s="2">
        <f>SUM(E7:E12)</f>
        <v>672588.96672778041</v>
      </c>
      <c r="F13" s="2">
        <f>SUM(F7:F12)</f>
        <v>484085.86800000002</v>
      </c>
      <c r="G13" s="2">
        <f t="shared" ref="G13:V13" si="12">SUM(G7:G12)</f>
        <v>25628333.098727781</v>
      </c>
      <c r="H13" s="2">
        <f>SUM(H7:H12)</f>
        <v>677810.47903804842</v>
      </c>
      <c r="I13" s="2">
        <f>SUM(I7:I12)</f>
        <v>487720.90916719532</v>
      </c>
      <c r="J13" s="2">
        <f t="shared" si="12"/>
        <v>25818422.668598633</v>
      </c>
      <c r="K13" s="2">
        <f>SUM(K7:K12)</f>
        <v>701746.0889188922</v>
      </c>
      <c r="L13" s="2">
        <f>SUM(L7:L12)</f>
        <v>491385.5480141617</v>
      </c>
      <c r="M13" s="2">
        <f t="shared" si="12"/>
        <v>26028783.20950336</v>
      </c>
      <c r="N13" s="2">
        <f>SUM(N7:N12)</f>
        <v>808039.17641426669</v>
      </c>
      <c r="O13" s="2">
        <f>SUM(O7:O12)</f>
        <v>495450.19442084036</v>
      </c>
      <c r="P13" s="2">
        <f t="shared" si="12"/>
        <v>26341372.191496786</v>
      </c>
      <c r="Q13" s="2">
        <f>SUM(Q7:Q12)</f>
        <v>754830.42027176672</v>
      </c>
      <c r="R13" s="2">
        <f>SUM(R7:R12)</f>
        <v>501499.99723166891</v>
      </c>
      <c r="S13" s="2">
        <f t="shared" si="12"/>
        <v>26594702.614536889</v>
      </c>
      <c r="T13" s="2">
        <f>SUM(T7:T12)</f>
        <v>925224.73772568116</v>
      </c>
      <c r="U13" s="2">
        <f>SUM(U7:U12)</f>
        <v>506396.65411252674</v>
      </c>
      <c r="V13" s="2">
        <f t="shared" si="12"/>
        <v>27013530.698150039</v>
      </c>
    </row>
    <row r="14" spans="1:25">
      <c r="A14" s="8">
        <v>364</v>
      </c>
      <c r="B14" s="2" t="s">
        <v>5</v>
      </c>
      <c r="D14" s="2">
        <v>83457287</v>
      </c>
      <c r="E14" s="2">
        <f>+'4 Yr averages'!M12</f>
        <v>3047775.6263712179</v>
      </c>
      <c r="F14" s="2">
        <f>+D14*'4 Yr averages'!N36</f>
        <v>667658.29599999997</v>
      </c>
      <c r="G14" s="2">
        <f t="shared" si="0"/>
        <v>85837404.330371216</v>
      </c>
      <c r="H14" s="2">
        <f>+'4 Yr averages'!N12</f>
        <v>3073535.5454221191</v>
      </c>
      <c r="I14" s="2">
        <f>+G14*'4 Yr averages'!N36</f>
        <v>686699.23464296979</v>
      </c>
      <c r="J14" s="2">
        <f t="shared" si="1"/>
        <v>88224240.64115037</v>
      </c>
      <c r="K14" s="2">
        <f>+'4 Yr averages'!O12</f>
        <v>3126071.7905008243</v>
      </c>
      <c r="L14" s="2">
        <f>+J14*'4 Yr averages'!N36</f>
        <v>705793.92512920301</v>
      </c>
      <c r="M14" s="2">
        <f t="shared" si="2"/>
        <v>90644518.506521985</v>
      </c>
      <c r="N14" s="2">
        <f>+'4 Yr averages'!P12</f>
        <v>3617306.5286073294</v>
      </c>
      <c r="O14" s="2">
        <f>+M14*'4 Yr averages'!N36</f>
        <v>725156.14805217588</v>
      </c>
      <c r="P14" s="2">
        <f t="shared" si="3"/>
        <v>93536668.887077138</v>
      </c>
      <c r="Q14" s="2">
        <f>+'4 Yr averages'!Q12</f>
        <v>3365039.1029192014</v>
      </c>
      <c r="R14" s="2">
        <f>+P14*'4 Yr averages'!N36</f>
        <v>748293.35109661717</v>
      </c>
      <c r="S14" s="2">
        <f t="shared" si="4"/>
        <v>96153414.638899729</v>
      </c>
      <c r="T14" s="2">
        <f>+'4 Yr averages'!R12</f>
        <v>4175049.1961073978</v>
      </c>
      <c r="U14" s="2">
        <f>+S14*'4 Yr averages'!N36</f>
        <v>769227.31711119786</v>
      </c>
      <c r="V14" s="2">
        <f t="shared" si="5"/>
        <v>99559236.517895937</v>
      </c>
    </row>
    <row r="15" spans="1:25">
      <c r="A15" s="8">
        <v>365</v>
      </c>
      <c r="B15" s="2" t="s">
        <v>6</v>
      </c>
      <c r="D15" s="2">
        <v>58196025</v>
      </c>
      <c r="E15" s="2">
        <f>+'4 Yr averages'!M13</f>
        <v>2287878.3778753071</v>
      </c>
      <c r="F15" s="2">
        <f>+D15*'4 Yr averages'!N37</f>
        <v>581960.25</v>
      </c>
      <c r="G15" s="2">
        <f t="shared" si="0"/>
        <v>59901943.127875306</v>
      </c>
      <c r="H15" s="2">
        <f>+'4 Yr averages'!N13</f>
        <v>2307215.6155979363</v>
      </c>
      <c r="I15" s="2">
        <f>+G15*'4 Yr averages'!N37</f>
        <v>599019.43127875309</v>
      </c>
      <c r="J15" s="2">
        <f t="shared" si="1"/>
        <v>61610139.312194489</v>
      </c>
      <c r="K15" s="2">
        <f>+'4 Yr averages'!O13</f>
        <v>2346653.0788187571</v>
      </c>
      <c r="L15" s="2">
        <f>+J15*'4 Yr averages'!N37</f>
        <v>616101.39312194486</v>
      </c>
      <c r="M15" s="2">
        <f t="shared" si="2"/>
        <v>63340690.997891307</v>
      </c>
      <c r="N15" s="2">
        <f>+'4 Yr averages'!P13</f>
        <v>2715409.0088979164</v>
      </c>
      <c r="O15" s="2">
        <f>+M15*'4 Yr averages'!N37</f>
        <v>633406.90997891303</v>
      </c>
      <c r="P15" s="2">
        <f t="shared" si="3"/>
        <v>65422693.096810311</v>
      </c>
      <c r="Q15" s="2">
        <f>+'4 Yr averages'!Q13</f>
        <v>2526039.0357016558</v>
      </c>
      <c r="R15" s="2">
        <f>+P15*'4 Yr averages'!N37</f>
        <v>654226.93096810312</v>
      </c>
      <c r="S15" s="2">
        <f t="shared" si="4"/>
        <v>67294505.201543868</v>
      </c>
      <c r="T15" s="2">
        <f>+'4 Yr averages'!R13</f>
        <v>3134090.54777196</v>
      </c>
      <c r="U15" s="2">
        <f>+S15*'4 Yr averages'!N37</f>
        <v>672945.05201543868</v>
      </c>
      <c r="V15" s="2">
        <f t="shared" si="5"/>
        <v>69755650.697300389</v>
      </c>
    </row>
    <row r="16" spans="1:25">
      <c r="A16" s="8">
        <v>366</v>
      </c>
      <c r="B16" s="2" t="s">
        <v>7</v>
      </c>
      <c r="D16" s="2">
        <v>14666</v>
      </c>
      <c r="E16" s="2">
        <f>+'4 Yr averages'!M14</f>
        <v>0</v>
      </c>
      <c r="F16" s="2">
        <f>+D16*'4 Yr averages'!N38</f>
        <v>0</v>
      </c>
      <c r="G16" s="2">
        <f t="shared" si="0"/>
        <v>14666</v>
      </c>
      <c r="H16" s="2">
        <f>+'4 Yr averages'!N14</f>
        <v>0</v>
      </c>
      <c r="I16" s="2">
        <f>+G16*'4 Yr averages'!N38</f>
        <v>0</v>
      </c>
      <c r="J16" s="2">
        <f t="shared" si="1"/>
        <v>14666</v>
      </c>
      <c r="K16" s="2">
        <f>+'4 Yr averages'!O14</f>
        <v>0</v>
      </c>
      <c r="L16" s="2">
        <f>+J16*'4 Yr averages'!N38</f>
        <v>0</v>
      </c>
      <c r="M16" s="2">
        <f t="shared" si="2"/>
        <v>14666</v>
      </c>
      <c r="N16" s="2">
        <f>+'4 Yr averages'!P14</f>
        <v>0</v>
      </c>
      <c r="O16" s="2">
        <f>+M16*'4 Yr averages'!N38</f>
        <v>0</v>
      </c>
      <c r="P16" s="2">
        <f t="shared" si="3"/>
        <v>14666</v>
      </c>
      <c r="Q16" s="2">
        <f>+'4 Yr averages'!Q14</f>
        <v>0</v>
      </c>
      <c r="R16" s="2">
        <f>+P16*'4 Yr averages'!N38</f>
        <v>0</v>
      </c>
      <c r="S16" s="2">
        <f t="shared" si="4"/>
        <v>14666</v>
      </c>
      <c r="T16" s="2">
        <f>+'4 Yr averages'!R14</f>
        <v>0</v>
      </c>
      <c r="U16" s="2">
        <f>+S16*'4 Yr averages'!N38</f>
        <v>0</v>
      </c>
      <c r="V16" s="2">
        <f t="shared" si="5"/>
        <v>14666</v>
      </c>
    </row>
    <row r="17" spans="1:25">
      <c r="A17" s="8">
        <v>367</v>
      </c>
      <c r="B17" s="2" t="s">
        <v>8</v>
      </c>
      <c r="D17" s="2">
        <v>17495586</v>
      </c>
      <c r="E17" s="2">
        <f>+'4 Yr averages'!M15</f>
        <v>721453.08404645615</v>
      </c>
      <c r="F17" s="2">
        <f>+D17*'4 Yr averages'!N39</f>
        <v>52486.758000000002</v>
      </c>
      <c r="G17" s="2">
        <f t="shared" si="0"/>
        <v>18164552.326046456</v>
      </c>
      <c r="H17" s="2">
        <f>+'4 Yr averages'!N15</f>
        <v>727550.83378999203</v>
      </c>
      <c r="I17" s="2">
        <f>+G17*'4 Yr averages'!N39</f>
        <v>54493.65697813937</v>
      </c>
      <c r="J17" s="2">
        <f t="shared" si="1"/>
        <v>18837609.502858311</v>
      </c>
      <c r="K17" s="2">
        <f>+'4 Yr averages'!O15</f>
        <v>739986.93167997361</v>
      </c>
      <c r="L17" s="2">
        <f>+J17*'4 Yr averages'!N39</f>
        <v>56512.828508574938</v>
      </c>
      <c r="M17" s="2">
        <f t="shared" si="2"/>
        <v>19521083.606029712</v>
      </c>
      <c r="N17" s="2">
        <f>+'4 Yr averages'!P15</f>
        <v>856269.38165141549</v>
      </c>
      <c r="O17" s="2">
        <f>+M17*'4 Yr averages'!N39</f>
        <v>58563.250818089138</v>
      </c>
      <c r="P17" s="2">
        <f t="shared" si="3"/>
        <v>20318789.736863039</v>
      </c>
      <c r="Q17" s="2">
        <f>+'4 Yr averages'!Q15</f>
        <v>796553.99096044968</v>
      </c>
      <c r="R17" s="2">
        <f>+P17*'4 Yr averages'!N39</f>
        <v>60956.369210589117</v>
      </c>
      <c r="S17" s="2">
        <f t="shared" si="4"/>
        <v>21054387.358612899</v>
      </c>
      <c r="T17" s="2">
        <f>+'4 Yr averages'!R15</f>
        <v>988295.23161574325</v>
      </c>
      <c r="U17" s="2">
        <f>+S17*'4 Yr averages'!N39</f>
        <v>63163.1620758387</v>
      </c>
      <c r="V17" s="2">
        <f t="shared" si="5"/>
        <v>21979519.428152803</v>
      </c>
    </row>
    <row r="18" spans="1:25">
      <c r="A18" s="8">
        <v>368</v>
      </c>
      <c r="B18" s="2" t="s">
        <v>9</v>
      </c>
      <c r="D18" s="2">
        <v>36763961</v>
      </c>
      <c r="E18" s="2">
        <f>+'4 Yr averages'!M16</f>
        <v>1626600.5699473124</v>
      </c>
      <c r="F18" s="2">
        <f>+D18*'4 Yr averages'!N40</f>
        <v>367639.61</v>
      </c>
      <c r="G18" s="2">
        <f t="shared" si="0"/>
        <v>38022921.95994731</v>
      </c>
      <c r="H18" s="2">
        <f>+'4 Yr averages'!N16</f>
        <v>1640348.6617187141</v>
      </c>
      <c r="I18" s="2">
        <f>+G18*'4 Yr averages'!N40</f>
        <v>380229.21959947312</v>
      </c>
      <c r="J18" s="2">
        <f t="shared" si="1"/>
        <v>39283041.402066551</v>
      </c>
      <c r="K18" s="2">
        <f>+'4 Yr averages'!O16</f>
        <v>1668387.302571571</v>
      </c>
      <c r="L18" s="2">
        <f>+J18*'4 Yr averages'!N40</f>
        <v>392830.41402066551</v>
      </c>
      <c r="M18" s="2">
        <f t="shared" si="2"/>
        <v>40558598.290617459</v>
      </c>
      <c r="N18" s="2">
        <f>+'4 Yr averages'!P16</f>
        <v>1930559.7204057951</v>
      </c>
      <c r="O18" s="2">
        <f>+M18*'4 Yr averages'!N40</f>
        <v>405585.98290617461</v>
      </c>
      <c r="P18" s="2">
        <f t="shared" si="3"/>
        <v>42083572.028117076</v>
      </c>
      <c r="Q18" s="2">
        <f>+'4 Yr averages'!Q16</f>
        <v>1795924.3703318094</v>
      </c>
      <c r="R18" s="2">
        <f>+P18*'4 Yr averages'!N40</f>
        <v>420835.72028117074</v>
      </c>
      <c r="S18" s="2">
        <f t="shared" si="4"/>
        <v>43458660.678167716</v>
      </c>
      <c r="T18" s="2">
        <f>+'4 Yr averages'!R16</f>
        <v>2228227.4794723368</v>
      </c>
      <c r="U18" s="2">
        <f>+S18*'4 Yr averages'!N40</f>
        <v>434586.60678167717</v>
      </c>
      <c r="V18" s="2">
        <f t="shared" si="5"/>
        <v>45252301.550858378</v>
      </c>
    </row>
    <row r="19" spans="1:25">
      <c r="A19" s="8">
        <v>369</v>
      </c>
      <c r="B19" s="2" t="s">
        <v>10</v>
      </c>
      <c r="D19" s="2">
        <v>28751336</v>
      </c>
      <c r="E19" s="2">
        <f>+'4 Yr averages'!M17</f>
        <v>1071514.9292539768</v>
      </c>
      <c r="F19" s="2">
        <f>+D19*'4 Yr averages'!N41</f>
        <v>86254.008000000002</v>
      </c>
      <c r="G19" s="2">
        <f t="shared" si="0"/>
        <v>29736596.921253975</v>
      </c>
      <c r="H19" s="2">
        <f>+'4 Yr averages'!N17</f>
        <v>1080571.415433794</v>
      </c>
      <c r="I19" s="2">
        <f>+G19*'4 Yr averages'!N41</f>
        <v>89209.790763761936</v>
      </c>
      <c r="J19" s="2">
        <f t="shared" si="1"/>
        <v>30727958.545924008</v>
      </c>
      <c r="K19" s="2">
        <f>+'4 Yr averages'!O17</f>
        <v>1099041.7288130643</v>
      </c>
      <c r="L19" s="2">
        <f>+J19*'4 Yr averages'!N41</f>
        <v>92183.875637772027</v>
      </c>
      <c r="M19" s="2">
        <f t="shared" si="2"/>
        <v>31734816.399099298</v>
      </c>
      <c r="N19" s="2">
        <f>+'4 Yr averages'!P17</f>
        <v>1271746.4880134636</v>
      </c>
      <c r="O19" s="2">
        <f>+M19*'4 Yr averages'!N41</f>
        <v>95204.449197297901</v>
      </c>
      <c r="P19" s="2">
        <f t="shared" si="3"/>
        <v>32911358.437915467</v>
      </c>
      <c r="Q19" s="2">
        <f>+'4 Yr averages'!Q17</f>
        <v>1183056.1295597688</v>
      </c>
      <c r="R19" s="2">
        <f>+P19*'4 Yr averages'!N41</f>
        <v>98734.075313746405</v>
      </c>
      <c r="S19" s="2">
        <f t="shared" si="4"/>
        <v>33995680.49216149</v>
      </c>
      <c r="T19" s="2">
        <f>+'4 Yr averages'!R17</f>
        <v>1467833.6243948964</v>
      </c>
      <c r="U19" s="2">
        <f>+S19*'4 Yr averages'!N41</f>
        <v>101987.04147648448</v>
      </c>
      <c r="V19" s="2">
        <f t="shared" si="5"/>
        <v>35361527.075079896</v>
      </c>
    </row>
    <row r="20" spans="1:25">
      <c r="A20" s="8">
        <v>370</v>
      </c>
      <c r="B20" s="2" t="s">
        <v>56</v>
      </c>
      <c r="D20" s="2">
        <v>6083570</v>
      </c>
      <c r="E20" s="2">
        <f>+'4 Yr averages'!M18</f>
        <v>54378.616464300751</v>
      </c>
      <c r="F20" s="2">
        <f>+D20*'4 Yr averages'!N42+0.4*4409844</f>
        <v>1824773.3</v>
      </c>
      <c r="G20" s="2">
        <f t="shared" si="0"/>
        <v>4313175.3164643012</v>
      </c>
      <c r="H20" s="2">
        <f>+'4 Yr averages'!N18</f>
        <v>54838.226662013447</v>
      </c>
      <c r="I20" s="2">
        <f>+G20*'4 Yr averages'!N42+0.6*4409844+157901</f>
        <v>2846939.1531646429</v>
      </c>
      <c r="J20" s="2">
        <f t="shared" si="1"/>
        <v>1521074.389961672</v>
      </c>
      <c r="K20" s="2">
        <f>+'4 Yr averages'!O18</f>
        <v>55775.581858665792</v>
      </c>
      <c r="L20" s="2">
        <f>+J20*'4 Yr averages'!N42</f>
        <v>15210.74389961672</v>
      </c>
      <c r="M20" s="2">
        <f t="shared" si="2"/>
        <v>1561639.2279207211</v>
      </c>
      <c r="N20" s="2">
        <f>+'4 Yr averages'!P18</f>
        <v>64540.224894163723</v>
      </c>
      <c r="O20" s="2">
        <f>+M20*'4 Yr averages'!N42</f>
        <v>15616.392279207212</v>
      </c>
      <c r="P20" s="2">
        <f t="shared" si="3"/>
        <v>1610563.0605356775</v>
      </c>
      <c r="Q20" s="2">
        <f>+'4 Yr averages'!Q18</f>
        <v>60039.252621390398</v>
      </c>
      <c r="R20" s="2">
        <f>+P20*'4 Yr averages'!N42</f>
        <v>16105.630605356775</v>
      </c>
      <c r="S20" s="2">
        <f t="shared" si="4"/>
        <v>1654496.6825517111</v>
      </c>
      <c r="T20" s="2">
        <f>+'4 Yr averages'!R18</f>
        <v>74491.506851842903</v>
      </c>
      <c r="U20" s="2">
        <f>+S20*'4 Yr averages'!N42</f>
        <v>16544.966825517113</v>
      </c>
      <c r="V20" s="2">
        <f t="shared" si="5"/>
        <v>1712443.2225780368</v>
      </c>
    </row>
    <row r="21" spans="1:25">
      <c r="A21" s="28">
        <v>370</v>
      </c>
      <c r="B21" s="2" t="s">
        <v>63</v>
      </c>
      <c r="E21" s="2">
        <f>+'4 Yr averages'!M19</f>
        <v>4000000</v>
      </c>
      <c r="F21" s="2">
        <f>+D21*'4 Yr averages'!N43</f>
        <v>0</v>
      </c>
      <c r="G21" s="2">
        <f t="shared" si="0"/>
        <v>4000000</v>
      </c>
      <c r="H21" s="2">
        <f>+'4 Yr averages'!N19</f>
        <v>6000000</v>
      </c>
      <c r="I21" s="2">
        <f>+G21*'4 Yr averages'!N43</f>
        <v>40000</v>
      </c>
      <c r="J21" s="2">
        <f t="shared" si="1"/>
        <v>9960000</v>
      </c>
      <c r="K21" s="2">
        <f>+'4 Yr averages'!O19</f>
        <v>221327.4934118934</v>
      </c>
      <c r="L21" s="2">
        <f>+J21*'4 Yr averages'!N43</f>
        <v>99600</v>
      </c>
      <c r="M21" s="2">
        <f t="shared" si="2"/>
        <v>10081727.493411893</v>
      </c>
      <c r="N21" s="2">
        <f>+'4 Yr averages'!P19</f>
        <v>256107.16596846707</v>
      </c>
      <c r="O21" s="2">
        <f>+M21*'4 Yr averages'!N43</f>
        <v>100817.27493411893</v>
      </c>
      <c r="P21" s="2">
        <f t="shared" si="3"/>
        <v>10237017.384446241</v>
      </c>
      <c r="Q21" s="2">
        <f>+'4 Yr averages'!Q19</f>
        <v>238246.50225412563</v>
      </c>
      <c r="R21" s="2">
        <f>+P21*'4 Yr averages'!N43</f>
        <v>102370.17384446241</v>
      </c>
      <c r="S21" s="2">
        <f t="shared" si="4"/>
        <v>10372893.712855903</v>
      </c>
      <c r="T21" s="2">
        <f>+'4 Yr averages'!R19</f>
        <v>295595.63419295289</v>
      </c>
      <c r="U21" s="2">
        <f>+S21*'4 Yr averages'!N43</f>
        <v>103728.93712855903</v>
      </c>
      <c r="V21" s="2">
        <f t="shared" si="5"/>
        <v>10564760.409920298</v>
      </c>
    </row>
    <row r="22" spans="1:25">
      <c r="A22" s="8">
        <v>371</v>
      </c>
      <c r="B22" s="2" t="s">
        <v>12</v>
      </c>
      <c r="D22" s="2">
        <v>4341205</v>
      </c>
      <c r="E22" s="2">
        <f>+'4 Yr averages'!M20</f>
        <v>241160.58071809623</v>
      </c>
      <c r="F22" s="2">
        <f>+D22*'4 Yr averages'!N44</f>
        <v>78141.689999999988</v>
      </c>
      <c r="G22" s="2">
        <f t="shared" si="0"/>
        <v>4504223.8907180959</v>
      </c>
      <c r="H22" s="2">
        <f>+'4 Yr averages'!N20</f>
        <v>243198.87939855488</v>
      </c>
      <c r="I22" s="2">
        <f>+G22*'4 Yr averages'!N44</f>
        <v>81076.030032925715</v>
      </c>
      <c r="J22" s="2">
        <f t="shared" si="1"/>
        <v>4666346.7400837252</v>
      </c>
      <c r="K22" s="2">
        <f>+'4 Yr averages'!O20</f>
        <v>247355.90174045664</v>
      </c>
      <c r="L22" s="2">
        <f>+J22*'4 Yr averages'!N44</f>
        <v>83994.241321507041</v>
      </c>
      <c r="M22" s="2">
        <f t="shared" si="2"/>
        <v>4829708.4005026752</v>
      </c>
      <c r="N22" s="2">
        <f>+'4 Yr averages'!P20</f>
        <v>286225.71016258013</v>
      </c>
      <c r="O22" s="2">
        <f>+M22*'4 Yr averages'!N44</f>
        <v>86934.751209048147</v>
      </c>
      <c r="P22" s="2">
        <f t="shared" si="3"/>
        <v>5028999.3594562067</v>
      </c>
      <c r="Q22" s="2">
        <f>+'4 Yr averages'!Q20</f>
        <v>266264.6085812138</v>
      </c>
      <c r="R22" s="2">
        <f>+P22*'4 Yr averages'!N44</f>
        <v>90521.988470211712</v>
      </c>
      <c r="S22" s="2">
        <f t="shared" si="4"/>
        <v>5204741.9795672093</v>
      </c>
      <c r="T22" s="2">
        <f>+'4 Yr averages'!R20</f>
        <v>330358.07490155642</v>
      </c>
      <c r="U22" s="2">
        <f>+S22*'4 Yr averages'!N44</f>
        <v>93685.355632209757</v>
      </c>
      <c r="V22" s="2">
        <f t="shared" si="5"/>
        <v>5441414.6988365557</v>
      </c>
    </row>
    <row r="23" spans="1:25">
      <c r="A23" s="8">
        <v>373</v>
      </c>
      <c r="B23" s="2" t="s">
        <v>13</v>
      </c>
      <c r="D23" s="2">
        <v>897999</v>
      </c>
      <c r="E23" s="2">
        <f>+'4 Yr averages'!M21</f>
        <v>26206.113944528141</v>
      </c>
      <c r="F23" s="2">
        <f>+D23*'4 Yr averages'!N45</f>
        <v>7183.9920000000002</v>
      </c>
      <c r="G23" s="2">
        <f t="shared" si="0"/>
        <v>917021.12194452819</v>
      </c>
      <c r="H23" s="2">
        <f>+'4 Yr averages'!N21</f>
        <v>26427.609046729449</v>
      </c>
      <c r="I23" s="2">
        <f>+G23*'4 Yr averages'!N45</f>
        <v>7336.1689755562256</v>
      </c>
      <c r="J23" s="2">
        <f t="shared" si="1"/>
        <v>936112.56201570132</v>
      </c>
      <c r="K23" s="2">
        <f>+'4 Yr averages'!O21</f>
        <v>26879.338764900807</v>
      </c>
      <c r="L23" s="2">
        <f>+J23*'4 Yr averages'!N45</f>
        <v>7488.9004961256105</v>
      </c>
      <c r="M23" s="2">
        <f t="shared" si="2"/>
        <v>955503.00028447655</v>
      </c>
      <c r="N23" s="2">
        <f>+'4 Yr averages'!P21</f>
        <v>31103.190878206453</v>
      </c>
      <c r="O23" s="2">
        <f>+M23*'4 Yr averages'!N45</f>
        <v>7644.0240022758126</v>
      </c>
      <c r="P23" s="2">
        <f t="shared" si="3"/>
        <v>978962.16716040717</v>
      </c>
      <c r="Q23" s="2">
        <f>+'4 Yr averages'!Q21</f>
        <v>28934.084712754538</v>
      </c>
      <c r="R23" s="2">
        <f>+P23*'4 Yr averages'!N45</f>
        <v>7831.6973372832572</v>
      </c>
      <c r="S23" s="2">
        <f t="shared" si="4"/>
        <v>1000064.5545358785</v>
      </c>
      <c r="T23" s="2">
        <f>+'4 Yr averages'!R21</f>
        <v>35898.907390197353</v>
      </c>
      <c r="U23" s="2">
        <f>+S23*'4 Yr averages'!N45</f>
        <v>8000.5164362870282</v>
      </c>
      <c r="V23" s="2">
        <f t="shared" si="5"/>
        <v>1027962.9454897888</v>
      </c>
    </row>
    <row r="24" spans="1:25" s="7" customFormat="1" ht="15">
      <c r="A24" s="1"/>
      <c r="B24" s="7" t="s">
        <v>14</v>
      </c>
      <c r="D24" s="7">
        <f t="shared" ref="D24:V24" si="13">SUM(D13:D23)+D6</f>
        <v>261441465</v>
      </c>
      <c r="E24" s="7">
        <f>SUM(E13:E23)+E6</f>
        <v>13749556.865348976</v>
      </c>
      <c r="F24" s="7">
        <f t="shared" si="13"/>
        <v>4150183.7719999999</v>
      </c>
      <c r="G24" s="7">
        <f t="shared" si="13"/>
        <v>271040838.09334898</v>
      </c>
      <c r="H24" s="7">
        <f t="shared" si="13"/>
        <v>15831497.266107902</v>
      </c>
      <c r="I24" s="7">
        <f t="shared" si="13"/>
        <v>5272723.5946034174</v>
      </c>
      <c r="J24" s="7">
        <f t="shared" si="13"/>
        <v>281599611.76485348</v>
      </c>
      <c r="K24" s="7">
        <f t="shared" si="13"/>
        <v>10233225.237078998</v>
      </c>
      <c r="L24" s="7">
        <f t="shared" si="13"/>
        <v>2561101.8701495714</v>
      </c>
      <c r="M24" s="7">
        <f t="shared" si="13"/>
        <v>289271735.13178295</v>
      </c>
      <c r="N24" s="7">
        <f t="shared" si="13"/>
        <v>11837306.595893603</v>
      </c>
      <c r="O24" s="7">
        <f t="shared" si="13"/>
        <v>2624379.377798141</v>
      </c>
      <c r="P24" s="7">
        <f t="shared" si="13"/>
        <v>298484662.34987831</v>
      </c>
      <c r="Q24" s="7">
        <f t="shared" si="13"/>
        <v>11014927.497914135</v>
      </c>
      <c r="R24" s="7">
        <f t="shared" si="13"/>
        <v>2701375.9343592096</v>
      </c>
      <c r="S24" s="7">
        <f t="shared" si="13"/>
        <v>306798213.91343325</v>
      </c>
      <c r="T24" s="7">
        <f t="shared" si="13"/>
        <v>13655064.940424565</v>
      </c>
      <c r="U24" s="7">
        <f t="shared" si="13"/>
        <v>2770265.6095957365</v>
      </c>
      <c r="V24" s="7">
        <f t="shared" si="13"/>
        <v>317683013.2442621</v>
      </c>
    </row>
    <row r="25" spans="1:25" s="7" customFormat="1" ht="15">
      <c r="A25" s="1"/>
      <c r="F25" s="35">
        <f>+F24/D24</f>
        <v>1.5874236980732953E-2</v>
      </c>
      <c r="I25" s="35">
        <f>+I24/G24</f>
        <v>1.9453613085373661E-2</v>
      </c>
      <c r="L25" s="35">
        <f>+L24/J24</f>
        <v>9.0948345208948303E-3</v>
      </c>
      <c r="O25" s="35">
        <f>+O24/M24</f>
        <v>9.0723671173837898E-3</v>
      </c>
      <c r="R25" s="35">
        <f>+R24/P24</f>
        <v>9.0503006522750767E-3</v>
      </c>
      <c r="U25" s="35">
        <f>+U24/S24</f>
        <v>9.0296014903704751E-3</v>
      </c>
    </row>
    <row r="26" spans="1:25" s="7" customFormat="1" ht="15">
      <c r="A26" s="1"/>
    </row>
    <row r="27" spans="1:25" hidden="1">
      <c r="B27" s="20" t="s">
        <v>29</v>
      </c>
    </row>
    <row r="28" spans="1:25" s="10" customFormat="1" hidden="1">
      <c r="A28" s="9"/>
      <c r="B28" s="18" t="s">
        <v>48</v>
      </c>
      <c r="E28" s="10">
        <v>0.02</v>
      </c>
      <c r="H28" s="10">
        <f>+E28</f>
        <v>0.02</v>
      </c>
      <c r="K28" s="10">
        <f>+H28</f>
        <v>0.02</v>
      </c>
      <c r="N28" s="10">
        <f>+K28</f>
        <v>0.02</v>
      </c>
      <c r="Q28" s="10">
        <f>+N28</f>
        <v>0.02</v>
      </c>
      <c r="T28" s="10">
        <f>+Q28</f>
        <v>0.02</v>
      </c>
    </row>
    <row r="29" spans="1:25" s="10" customFormat="1" hidden="1">
      <c r="A29" s="9"/>
      <c r="B29" s="18" t="s">
        <v>49</v>
      </c>
      <c r="E29" s="10">
        <v>1</v>
      </c>
      <c r="H29" s="10">
        <f>+E29</f>
        <v>1</v>
      </c>
      <c r="K29" s="10">
        <f>+H29</f>
        <v>1</v>
      </c>
      <c r="N29" s="10">
        <f>+K29</f>
        <v>1</v>
      </c>
      <c r="Q29" s="10">
        <f>+N29</f>
        <v>1</v>
      </c>
      <c r="T29" s="10">
        <f>+Q29</f>
        <v>1</v>
      </c>
    </row>
    <row r="30" spans="1:25" s="12" customFormat="1" hidden="1">
      <c r="A30" s="11"/>
      <c r="B30" s="19" t="s">
        <v>50</v>
      </c>
      <c r="F30" s="10">
        <v>1</v>
      </c>
      <c r="G30" s="10"/>
      <c r="H30" s="10"/>
      <c r="I30" s="10">
        <f>+F30</f>
        <v>1</v>
      </c>
      <c r="J30" s="10"/>
      <c r="K30" s="10"/>
      <c r="L30" s="10">
        <f>+I30</f>
        <v>1</v>
      </c>
      <c r="M30" s="10"/>
      <c r="N30" s="10"/>
      <c r="O30" s="10">
        <f>+L30</f>
        <v>1</v>
      </c>
      <c r="P30" s="10"/>
      <c r="Q30" s="10"/>
      <c r="R30" s="10">
        <f>+O30</f>
        <v>1</v>
      </c>
      <c r="S30" s="10"/>
      <c r="T30" s="10"/>
      <c r="U30" s="10">
        <f>+R30</f>
        <v>1</v>
      </c>
      <c r="V30" s="10"/>
      <c r="X30" s="10"/>
    </row>
    <row r="31" spans="1:25" ht="15">
      <c r="A31" s="1"/>
      <c r="B31" s="7"/>
      <c r="D31" s="37" t="s">
        <v>40</v>
      </c>
      <c r="E31" s="37"/>
      <c r="F31" s="37"/>
      <c r="G31" s="37"/>
      <c r="H31" s="37"/>
      <c r="I31" s="37"/>
      <c r="J31" s="37"/>
      <c r="K31" s="37"/>
      <c r="M31" s="1"/>
      <c r="N31" s="1"/>
      <c r="O31" s="1"/>
      <c r="P31" s="1"/>
      <c r="Q31" s="1" t="s">
        <v>40</v>
      </c>
      <c r="R31" s="1"/>
      <c r="S31" s="1"/>
      <c r="T31" s="1"/>
      <c r="U31" s="3"/>
      <c r="V31" s="1"/>
      <c r="W31" s="1"/>
      <c r="X31" s="1"/>
      <c r="Y31" s="1"/>
    </row>
    <row r="32" spans="1:25" s="10" customFormat="1">
      <c r="A32" s="9"/>
    </row>
    <row r="33" spans="1:22" s="10" customFormat="1">
      <c r="A33" s="9"/>
      <c r="D33" s="4" t="s">
        <v>61</v>
      </c>
      <c r="E33" s="38">
        <v>2015</v>
      </c>
      <c r="F33" s="38"/>
      <c r="G33" s="38"/>
      <c r="H33" s="38">
        <v>2016</v>
      </c>
      <c r="I33" s="38"/>
      <c r="J33" s="38"/>
      <c r="K33" s="38">
        <v>2017</v>
      </c>
      <c r="L33" s="38"/>
      <c r="M33" s="38"/>
      <c r="N33" s="38">
        <v>2018</v>
      </c>
      <c r="O33" s="38"/>
      <c r="P33" s="38"/>
      <c r="Q33" s="38">
        <v>2019</v>
      </c>
      <c r="R33" s="38"/>
      <c r="S33" s="38"/>
      <c r="T33" s="38">
        <v>2020</v>
      </c>
      <c r="U33" s="38"/>
      <c r="V33" s="38"/>
    </row>
    <row r="34" spans="1:22" s="21" customFormat="1" ht="16.5">
      <c r="B34" s="7" t="s">
        <v>3</v>
      </c>
      <c r="D34" s="21" t="s">
        <v>31</v>
      </c>
      <c r="E34" s="21" t="s">
        <v>30</v>
      </c>
      <c r="F34" s="21" t="s">
        <v>32</v>
      </c>
      <c r="G34" s="21" t="s">
        <v>2</v>
      </c>
      <c r="H34" s="21" t="s">
        <v>30</v>
      </c>
      <c r="I34" s="21" t="s">
        <v>32</v>
      </c>
      <c r="J34" s="21" t="s">
        <v>2</v>
      </c>
      <c r="K34" s="21" t="s">
        <v>30</v>
      </c>
      <c r="L34" s="21" t="s">
        <v>32</v>
      </c>
      <c r="M34" s="21" t="s">
        <v>2</v>
      </c>
      <c r="N34" s="21" t="s">
        <v>30</v>
      </c>
      <c r="O34" s="21" t="s">
        <v>32</v>
      </c>
      <c r="P34" s="21" t="s">
        <v>2</v>
      </c>
      <c r="Q34" s="21" t="s">
        <v>30</v>
      </c>
      <c r="R34" s="21" t="s">
        <v>32</v>
      </c>
      <c r="S34" s="21" t="s">
        <v>2</v>
      </c>
      <c r="T34" s="21" t="s">
        <v>30</v>
      </c>
      <c r="U34" s="21" t="s">
        <v>32</v>
      </c>
      <c r="V34" s="21" t="s">
        <v>2</v>
      </c>
    </row>
    <row r="35" spans="1:22" ht="15">
      <c r="A35" s="1"/>
    </row>
    <row r="37" spans="1:22">
      <c r="A37" s="8">
        <v>362</v>
      </c>
      <c r="B37" s="2" t="s">
        <v>4</v>
      </c>
      <c r="D37" s="2">
        <v>5372136</v>
      </c>
      <c r="E37" s="2">
        <f t="shared" ref="E37:E42" si="14">+$D97/100*((D7+G7)/2)</f>
        <v>397907.37741365226</v>
      </c>
      <c r="F37" s="2">
        <f t="shared" ref="F37:F42" si="15">+$F97/100*F7</f>
        <v>60133.72608</v>
      </c>
      <c r="G37" s="2">
        <f t="shared" ref="G37:G42" si="16">+D37+E37+F37-F7</f>
        <v>5454341.3154936526</v>
      </c>
      <c r="H37" s="2">
        <f t="shared" ref="H37:H42" si="17">+$E97/100*((G7+J7)/2)</f>
        <v>400309.82225642051</v>
      </c>
      <c r="I37" s="2">
        <f t="shared" ref="I37:I42" si="18">+$F97/100*I7</f>
        <v>60495.036756980888</v>
      </c>
      <c r="J37" s="2">
        <f t="shared" ref="J37:J42" si="19">+G37+H37+I37-I7</f>
        <v>5537052.1947759241</v>
      </c>
      <c r="K37" s="2">
        <f t="shared" ref="K37:K42" si="20">+$E97/100*((J7+M7)/2)</f>
        <v>402791.36377666175</v>
      </c>
      <c r="L37" s="2">
        <f t="shared" ref="L37:L42" si="21">+$F97/100*L7</f>
        <v>60862.046200755023</v>
      </c>
      <c r="M37" s="2">
        <f t="shared" ref="M37:M42" si="22">+J37+K37+L37-L7</f>
        <v>5620317.8159986213</v>
      </c>
      <c r="N37" s="2">
        <f t="shared" ref="N37:N42" si="23">+$E97/100*((M7+P7)/2)</f>
        <v>406077.90004720056</v>
      </c>
      <c r="O37" s="2">
        <f t="shared" ref="O37:O42" si="24">+$F97/100*O7</f>
        <v>61247.335659959273</v>
      </c>
      <c r="P37" s="2">
        <f t="shared" ref="P37:P42" si="25">+M37+N37+O37-O7</f>
        <v>5704847.2038310356</v>
      </c>
      <c r="Q37" s="2">
        <f>+$E97/100*((P7+S7)/2)</f>
        <v>409678.67402763735</v>
      </c>
      <c r="R37" s="2">
        <f t="shared" ref="R37:R42" si="26">+$F97/100*R7</f>
        <v>61858.385617507847</v>
      </c>
      <c r="S37" s="2">
        <f t="shared" ref="S37:S42" si="27">+P37+Q37+R37-R7</f>
        <v>5789769.3533667568</v>
      </c>
      <c r="T37" s="2">
        <f>+$E97/100*((S7+V7)/2)</f>
        <v>414086.12785335584</v>
      </c>
      <c r="U37" s="2">
        <f t="shared" ref="U37:U42" si="28">+$F97/100*U7</f>
        <v>62338.938719291691</v>
      </c>
      <c r="V37" s="2">
        <f t="shared" ref="V37:V42" si="29">+S37+T37+U37-U7</f>
        <v>5876576.0529438313</v>
      </c>
    </row>
    <row r="38" spans="1:22">
      <c r="A38" s="8" t="s">
        <v>17</v>
      </c>
      <c r="B38" s="2" t="s">
        <v>18</v>
      </c>
      <c r="D38" s="2">
        <v>1628449</v>
      </c>
      <c r="E38" s="2">
        <f t="shared" si="14"/>
        <v>85533.723462469046</v>
      </c>
      <c r="F38" s="2">
        <f t="shared" si="15"/>
        <v>0</v>
      </c>
      <c r="G38" s="2">
        <f t="shared" si="16"/>
        <v>1662836.323462469</v>
      </c>
      <c r="H38" s="2">
        <f t="shared" si="17"/>
        <v>86117.734722030218</v>
      </c>
      <c r="I38" s="2">
        <f t="shared" si="18"/>
        <v>0</v>
      </c>
      <c r="J38" s="2">
        <f t="shared" si="19"/>
        <v>1697459.9900295364</v>
      </c>
      <c r="K38" s="2">
        <f t="shared" si="20"/>
        <v>86724.516801701204</v>
      </c>
      <c r="L38" s="2">
        <f t="shared" si="21"/>
        <v>0</v>
      </c>
      <c r="M38" s="2">
        <f t="shared" si="22"/>
        <v>1732337.2933197641</v>
      </c>
      <c r="N38" s="2">
        <f t="shared" si="23"/>
        <v>87592.91963242444</v>
      </c>
      <c r="O38" s="2">
        <f t="shared" si="24"/>
        <v>0</v>
      </c>
      <c r="P38" s="2">
        <f t="shared" si="25"/>
        <v>1767708.0063016205</v>
      </c>
      <c r="Q38" s="2">
        <f>+$E98/100*((P8+S8)/2)-2002720+S8+6601-5212</f>
        <v>-133419.60839342419</v>
      </c>
      <c r="R38" s="2">
        <f t="shared" si="26"/>
        <v>0</v>
      </c>
      <c r="S38" s="2">
        <f t="shared" si="27"/>
        <v>1581399.100999855</v>
      </c>
      <c r="T38" s="2">
        <f>+T8</f>
        <v>85939.109920185583</v>
      </c>
      <c r="U38" s="2">
        <f t="shared" si="28"/>
        <v>0</v>
      </c>
      <c r="V38" s="2">
        <f t="shared" si="29"/>
        <v>1613957.6164561491</v>
      </c>
    </row>
    <row r="39" spans="1:22" s="7" customFormat="1" ht="15">
      <c r="A39" s="8" t="s">
        <v>19</v>
      </c>
      <c r="B39" s="2" t="s">
        <v>20</v>
      </c>
      <c r="D39" s="2">
        <v>445027</v>
      </c>
      <c r="E39" s="2">
        <f t="shared" si="14"/>
        <v>25775.039351377476</v>
      </c>
      <c r="F39" s="2">
        <f t="shared" si="15"/>
        <v>0</v>
      </c>
      <c r="G39" s="2">
        <f t="shared" si="16"/>
        <v>461170.81935137749</v>
      </c>
      <c r="H39" s="2">
        <f t="shared" si="17"/>
        <v>29151.456373839123</v>
      </c>
      <c r="I39" s="2">
        <f t="shared" si="18"/>
        <v>0</v>
      </c>
      <c r="J39" s="2">
        <f t="shared" si="19"/>
        <v>479333.46424411464</v>
      </c>
      <c r="K39" s="2">
        <f t="shared" si="20"/>
        <v>32510.125605645324</v>
      </c>
      <c r="L39" s="2">
        <f t="shared" si="21"/>
        <v>0</v>
      </c>
      <c r="M39" s="2">
        <f t="shared" si="22"/>
        <v>499511.23623179062</v>
      </c>
      <c r="N39" s="2">
        <f t="shared" si="23"/>
        <v>36147.349992722637</v>
      </c>
      <c r="O39" s="2">
        <f t="shared" si="24"/>
        <v>0</v>
      </c>
      <c r="P39" s="2">
        <f t="shared" si="25"/>
        <v>521982.83935796632</v>
      </c>
      <c r="Q39" s="2">
        <f>+$E99/100*((P9+S9)/2)</f>
        <v>39863.764847329498</v>
      </c>
      <c r="R39" s="2">
        <f t="shared" si="26"/>
        <v>0</v>
      </c>
      <c r="S39" s="2">
        <f t="shared" si="27"/>
        <v>546604.47107766464</v>
      </c>
      <c r="T39" s="2">
        <f>+$E99/100*((S9+V9)/2)</f>
        <v>43860.463114629201</v>
      </c>
      <c r="U39" s="2">
        <f t="shared" si="28"/>
        <v>0</v>
      </c>
      <c r="V39" s="2">
        <f t="shared" si="29"/>
        <v>573816.05544206139</v>
      </c>
    </row>
    <row r="40" spans="1:22" s="7" customFormat="1" ht="15">
      <c r="A40" s="8" t="s">
        <v>21</v>
      </c>
      <c r="B40" s="2" t="s">
        <v>22</v>
      </c>
      <c r="D40" s="2">
        <v>1146983</v>
      </c>
      <c r="E40" s="2">
        <f t="shared" si="14"/>
        <v>39424.507709999998</v>
      </c>
      <c r="F40" s="2">
        <f t="shared" si="15"/>
        <v>2823.0940000000005</v>
      </c>
      <c r="G40" s="2">
        <f t="shared" si="16"/>
        <v>1160999.6617100001</v>
      </c>
      <c r="H40" s="2">
        <f t="shared" si="17"/>
        <v>39227.385171449998</v>
      </c>
      <c r="I40" s="2">
        <f t="shared" si="18"/>
        <v>2808.9785300000003</v>
      </c>
      <c r="J40" s="2">
        <f t="shared" si="19"/>
        <v>1174946.24011145</v>
      </c>
      <c r="K40" s="2">
        <f t="shared" si="20"/>
        <v>39031.248245592746</v>
      </c>
      <c r="L40" s="2">
        <f t="shared" si="21"/>
        <v>2794.9336373500005</v>
      </c>
      <c r="M40" s="2">
        <f t="shared" si="22"/>
        <v>1188823.0856208927</v>
      </c>
      <c r="N40" s="2">
        <f t="shared" si="23"/>
        <v>38836.092004364778</v>
      </c>
      <c r="O40" s="2">
        <f t="shared" si="24"/>
        <v>2780.95896916325</v>
      </c>
      <c r="P40" s="2">
        <f t="shared" si="25"/>
        <v>1202630.5469027883</v>
      </c>
      <c r="Q40" s="2">
        <f>+$E100/100*((P10+S10)/2)</f>
        <v>38641.911544342955</v>
      </c>
      <c r="R40" s="2">
        <f t="shared" si="26"/>
        <v>2767.054174317434</v>
      </c>
      <c r="S40" s="2">
        <f t="shared" si="27"/>
        <v>1216368.9708782744</v>
      </c>
      <c r="T40" s="2">
        <f>+$E100/100*((S10+V10)/2)</f>
        <v>38448.701986621236</v>
      </c>
      <c r="U40" s="2">
        <f t="shared" si="28"/>
        <v>2753.2189034458461</v>
      </c>
      <c r="V40" s="2">
        <f t="shared" si="29"/>
        <v>1230038.7027338829</v>
      </c>
    </row>
    <row r="41" spans="1:22" s="7" customFormat="1" ht="15">
      <c r="A41" s="33">
        <v>362.3</v>
      </c>
      <c r="B41" s="2" t="s">
        <v>62</v>
      </c>
      <c r="D41" s="2">
        <v>3920</v>
      </c>
      <c r="E41" s="2">
        <f t="shared" si="14"/>
        <v>0</v>
      </c>
      <c r="F41" s="2">
        <f t="shared" si="15"/>
        <v>0</v>
      </c>
      <c r="G41" s="2">
        <f t="shared" si="16"/>
        <v>2888.06</v>
      </c>
      <c r="H41" s="2">
        <f t="shared" si="17"/>
        <v>2048.4266984999999</v>
      </c>
      <c r="I41" s="2">
        <f t="shared" si="18"/>
        <v>0</v>
      </c>
      <c r="J41" s="2">
        <f t="shared" si="19"/>
        <v>3909.7063985</v>
      </c>
      <c r="K41" s="2">
        <f t="shared" si="20"/>
        <v>2038.1845650075002</v>
      </c>
      <c r="L41" s="2">
        <f t="shared" si="21"/>
        <v>0</v>
      </c>
      <c r="M41" s="2">
        <f t="shared" si="22"/>
        <v>4926.2445650074997</v>
      </c>
      <c r="N41" s="2">
        <f t="shared" si="23"/>
        <v>2027.9936421824625</v>
      </c>
      <c r="O41" s="2">
        <f t="shared" si="24"/>
        <v>0</v>
      </c>
      <c r="P41" s="2">
        <f t="shared" si="25"/>
        <v>5937.7000406824618</v>
      </c>
      <c r="Q41" s="2">
        <f>+$E101/100*((P11+S11)/2)</f>
        <v>2017.8536739715503</v>
      </c>
      <c r="R41" s="2">
        <f t="shared" si="26"/>
        <v>0</v>
      </c>
      <c r="S41" s="2">
        <f t="shared" si="27"/>
        <v>6944.0982389790497</v>
      </c>
      <c r="T41" s="2">
        <f>+$E101/100*((S11+V11)/2)</f>
        <v>2007.7644056016923</v>
      </c>
      <c r="U41" s="2">
        <f t="shared" si="28"/>
        <v>0</v>
      </c>
      <c r="V41" s="2">
        <f t="shared" si="29"/>
        <v>7945.4644462841543</v>
      </c>
    </row>
    <row r="42" spans="1:22" s="7" customFormat="1" ht="15">
      <c r="A42" s="33">
        <v>362.4</v>
      </c>
      <c r="B42" s="2" t="s">
        <v>24</v>
      </c>
      <c r="D42" s="2">
        <v>807031</v>
      </c>
      <c r="E42" s="2">
        <f t="shared" si="14"/>
        <v>36237.064200000001</v>
      </c>
      <c r="F42" s="2">
        <f t="shared" si="15"/>
        <v>0</v>
      </c>
      <c r="G42" s="2">
        <f t="shared" si="16"/>
        <v>825058.48420000006</v>
      </c>
      <c r="H42" s="2">
        <f t="shared" si="17"/>
        <v>35874.693558000006</v>
      </c>
      <c r="I42" s="2">
        <f t="shared" si="18"/>
        <v>0</v>
      </c>
      <c r="J42" s="2">
        <f t="shared" si="19"/>
        <v>842905.69355800014</v>
      </c>
      <c r="K42" s="2">
        <f t="shared" si="20"/>
        <v>35777.474528840008</v>
      </c>
      <c r="L42" s="2">
        <f t="shared" si="21"/>
        <v>0</v>
      </c>
      <c r="M42" s="2">
        <f t="shared" si="22"/>
        <v>860835.95872884023</v>
      </c>
      <c r="N42" s="2">
        <f t="shared" si="23"/>
        <v>36001.925038263209</v>
      </c>
      <c r="O42" s="2">
        <f t="shared" si="24"/>
        <v>0</v>
      </c>
      <c r="P42" s="2">
        <f t="shared" si="25"/>
        <v>878907.61859626346</v>
      </c>
      <c r="Q42" s="2">
        <f>+$E102/100*((P12+S12)/2)</f>
        <v>36281.88653749795</v>
      </c>
      <c r="R42" s="2">
        <f t="shared" si="26"/>
        <v>0</v>
      </c>
      <c r="S42" s="2">
        <f t="shared" si="27"/>
        <v>897117.8452663382</v>
      </c>
      <c r="T42" s="2">
        <f>+$E102/100*((S12+V12)/2)</f>
        <v>36556.248806747986</v>
      </c>
      <c r="U42" s="2">
        <f t="shared" si="28"/>
        <v>0</v>
      </c>
      <c r="V42" s="2">
        <f t="shared" si="29"/>
        <v>915463.86740301142</v>
      </c>
    </row>
    <row r="43" spans="1:22">
      <c r="B43" s="2" t="s">
        <v>26</v>
      </c>
      <c r="D43" s="2">
        <f t="shared" ref="D43:V43" si="30">SUM(D37:D42)</f>
        <v>9403546</v>
      </c>
      <c r="E43" s="2">
        <f t="shared" si="30"/>
        <v>584877.71213749878</v>
      </c>
      <c r="F43" s="2">
        <f t="shared" si="30"/>
        <v>62956.820079999998</v>
      </c>
      <c r="G43" s="2">
        <f t="shared" si="30"/>
        <v>9567294.6642175019</v>
      </c>
      <c r="H43" s="2">
        <f t="shared" si="30"/>
        <v>592729.51878023997</v>
      </c>
      <c r="I43" s="2">
        <f t="shared" si="30"/>
        <v>63304.015286980888</v>
      </c>
      <c r="J43" s="2">
        <f t="shared" si="30"/>
        <v>9735607.2891175244</v>
      </c>
      <c r="K43" s="2">
        <f t="shared" si="30"/>
        <v>598872.91352344851</v>
      </c>
      <c r="L43" s="2">
        <f t="shared" si="30"/>
        <v>63656.97983810502</v>
      </c>
      <c r="M43" s="2">
        <f t="shared" si="30"/>
        <v>9906751.6344649177</v>
      </c>
      <c r="N43" s="2">
        <f t="shared" si="30"/>
        <v>606684.18035715807</v>
      </c>
      <c r="O43" s="2">
        <f t="shared" si="30"/>
        <v>64028.294629122523</v>
      </c>
      <c r="P43" s="2">
        <f t="shared" si="30"/>
        <v>10082013.915030358</v>
      </c>
      <c r="Q43" s="2">
        <f t="shared" si="30"/>
        <v>393064.48223735509</v>
      </c>
      <c r="R43" s="2">
        <f t="shared" si="30"/>
        <v>64625.43979182528</v>
      </c>
      <c r="S43" s="2">
        <f t="shared" si="30"/>
        <v>10038203.839827867</v>
      </c>
      <c r="T43" s="2">
        <f t="shared" si="30"/>
        <v>620898.41608714149</v>
      </c>
      <c r="U43" s="2">
        <f t="shared" si="30"/>
        <v>65092.157622737534</v>
      </c>
      <c r="V43" s="2">
        <f t="shared" si="30"/>
        <v>10217797.759425221</v>
      </c>
    </row>
    <row r="44" spans="1:22">
      <c r="A44" s="8">
        <v>364</v>
      </c>
      <c r="B44" s="2" t="s">
        <v>5</v>
      </c>
      <c r="D44" s="2">
        <v>25875065</v>
      </c>
      <c r="E44" s="2">
        <f t="shared" ref="E44:E51" si="31">+$D104/100*((D14+G14)/2)</f>
        <v>3978425.2462637234</v>
      </c>
      <c r="F44" s="2">
        <f t="shared" ref="F44:F51" si="32">+$F104/100*F14</f>
        <v>-534126.63679999998</v>
      </c>
      <c r="G44" s="2">
        <f t="shared" ref="G44:G50" si="33">+D44+E44+F44-F14</f>
        <v>28651705.313463725</v>
      </c>
      <c r="H44" s="2">
        <f t="shared" ref="H44:H50" si="34">+$E104/100*((G14+J14)/2)</f>
        <v>4090448.6568307574</v>
      </c>
      <c r="I44" s="2">
        <f t="shared" ref="I44:I49" si="35">+$F104/100*I14</f>
        <v>-549359.38771437586</v>
      </c>
      <c r="J44" s="2">
        <f t="shared" ref="J44:J50" si="36">+G44+H44+I44-I14</f>
        <v>31506095.347937137</v>
      </c>
      <c r="K44" s="2">
        <f t="shared" ref="K44:K50" si="37">+$E104/100*((J14+M14)/2)</f>
        <v>4203415.8399703</v>
      </c>
      <c r="L44" s="2">
        <f t="shared" ref="L44:L51" si="38">+$F104/100*L14</f>
        <v>-564635.14010336238</v>
      </c>
      <c r="M44" s="2">
        <f t="shared" ref="M44:M50" si="39">+J44+K44+L44-L14</f>
        <v>34439082.122674868</v>
      </c>
      <c r="N44" s="2">
        <f t="shared" ref="N44:N50" si="40">+$E104/100*((M14+P14)/2)</f>
        <v>4328257.9037495796</v>
      </c>
      <c r="O44" s="2">
        <f t="shared" ref="O44:O51" si="41">+$F104/100*O14</f>
        <v>-580124.91844174068</v>
      </c>
      <c r="P44" s="2">
        <f t="shared" ref="P44:P50" si="42">+M44+N44+O44-O14</f>
        <v>37462058.959930524</v>
      </c>
      <c r="Q44" s="2">
        <f t="shared" ref="Q44:Q50" si="43">+$E104/100*((P14+S14)/2)</f>
        <v>4457716.9628604567</v>
      </c>
      <c r="R44" s="2">
        <f t="shared" ref="R44:R51" si="44">+$F104/100*R14</f>
        <v>-598634.68087729381</v>
      </c>
      <c r="S44" s="2">
        <f t="shared" ref="S44:S50" si="45">+P44+Q44+R44-R14</f>
        <v>40572847.890817076</v>
      </c>
      <c r="T44" s="2">
        <f t="shared" ref="T44:T50" si="46">+$E104/100*((S14+V14)/2)</f>
        <v>4599247.3021846982</v>
      </c>
      <c r="U44" s="2">
        <f t="shared" ref="U44:U51" si="47">+$F104/100*U14</f>
        <v>-615381.85368895833</v>
      </c>
      <c r="V44" s="2">
        <f t="shared" ref="V44:V50" si="48">+S44+T44+U44-U14</f>
        <v>43787486.022201627</v>
      </c>
    </row>
    <row r="45" spans="1:22">
      <c r="A45" s="8">
        <v>365</v>
      </c>
      <c r="B45" s="2" t="s">
        <v>6</v>
      </c>
      <c r="D45" s="2">
        <v>17721929</v>
      </c>
      <c r="E45" s="2">
        <f t="shared" si="31"/>
        <v>2302910.3784935684</v>
      </c>
      <c r="F45" s="2">
        <f t="shared" si="32"/>
        <v>-256062.51</v>
      </c>
      <c r="G45" s="2">
        <f t="shared" si="33"/>
        <v>19186816.618493568</v>
      </c>
      <c r="H45" s="2">
        <f t="shared" si="34"/>
        <v>2430241.6488013961</v>
      </c>
      <c r="I45" s="2">
        <f t="shared" si="35"/>
        <v>-263568.54976265138</v>
      </c>
      <c r="J45" s="2">
        <f t="shared" si="36"/>
        <v>20754470.28625356</v>
      </c>
      <c r="K45" s="2">
        <f t="shared" si="37"/>
        <v>2499016.6062017162</v>
      </c>
      <c r="L45" s="2">
        <f t="shared" si="38"/>
        <v>-271084.61297365575</v>
      </c>
      <c r="M45" s="2">
        <f t="shared" si="39"/>
        <v>22366300.886359673</v>
      </c>
      <c r="N45" s="2">
        <f t="shared" si="40"/>
        <v>2575267.6818940323</v>
      </c>
      <c r="O45" s="2">
        <f t="shared" si="41"/>
        <v>-278699.04039072176</v>
      </c>
      <c r="P45" s="2">
        <f t="shared" si="42"/>
        <v>24029462.61788407</v>
      </c>
      <c r="Q45" s="2">
        <f t="shared" si="43"/>
        <v>2654343.9659670838</v>
      </c>
      <c r="R45" s="2">
        <f t="shared" si="44"/>
        <v>-287859.84962596535</v>
      </c>
      <c r="S45" s="2">
        <f t="shared" si="45"/>
        <v>25741719.803257089</v>
      </c>
      <c r="T45" s="2">
        <f t="shared" si="46"/>
        <v>2741003.1179768848</v>
      </c>
      <c r="U45" s="2">
        <f t="shared" si="47"/>
        <v>-296095.822886793</v>
      </c>
      <c r="V45" s="2">
        <f t="shared" si="48"/>
        <v>27513682.046331741</v>
      </c>
    </row>
    <row r="46" spans="1:22">
      <c r="A46" s="8">
        <v>366</v>
      </c>
      <c r="B46" s="2" t="s">
        <v>7</v>
      </c>
      <c r="D46" s="2">
        <v>12565</v>
      </c>
      <c r="E46" s="2">
        <f t="shared" si="31"/>
        <v>322.65200000000004</v>
      </c>
      <c r="F46" s="2">
        <f t="shared" si="32"/>
        <v>0</v>
      </c>
      <c r="G46" s="2">
        <f t="shared" si="33"/>
        <v>12887.652</v>
      </c>
      <c r="H46" s="2">
        <f t="shared" si="34"/>
        <v>322.65200000000004</v>
      </c>
      <c r="I46" s="2">
        <f t="shared" si="35"/>
        <v>0</v>
      </c>
      <c r="J46" s="2">
        <f t="shared" si="36"/>
        <v>13210.304</v>
      </c>
      <c r="K46" s="2">
        <f t="shared" si="37"/>
        <v>322.65200000000004</v>
      </c>
      <c r="L46" s="2">
        <f t="shared" si="38"/>
        <v>0</v>
      </c>
      <c r="M46" s="2">
        <f t="shared" si="39"/>
        <v>13532.956</v>
      </c>
      <c r="N46" s="2">
        <f t="shared" si="40"/>
        <v>322.65200000000004</v>
      </c>
      <c r="O46" s="2">
        <f t="shared" si="41"/>
        <v>0</v>
      </c>
      <c r="P46" s="2">
        <f t="shared" si="42"/>
        <v>13855.608</v>
      </c>
      <c r="Q46" s="2">
        <f t="shared" si="43"/>
        <v>322.65200000000004</v>
      </c>
      <c r="R46" s="2">
        <f t="shared" si="44"/>
        <v>0</v>
      </c>
      <c r="S46" s="2">
        <f t="shared" si="45"/>
        <v>14178.26</v>
      </c>
      <c r="T46" s="2">
        <f t="shared" si="46"/>
        <v>322.65200000000004</v>
      </c>
      <c r="U46" s="2">
        <f t="shared" si="47"/>
        <v>0</v>
      </c>
      <c r="V46" s="2">
        <f t="shared" si="48"/>
        <v>14500.912</v>
      </c>
    </row>
    <row r="47" spans="1:22">
      <c r="A47" s="8">
        <v>367</v>
      </c>
      <c r="B47" s="2" t="s">
        <v>8</v>
      </c>
      <c r="D47" s="2">
        <v>4980610</v>
      </c>
      <c r="E47" s="2">
        <f t="shared" si="31"/>
        <v>552732.14405372005</v>
      </c>
      <c r="F47" s="2">
        <f t="shared" si="32"/>
        <v>-16270.894980000001</v>
      </c>
      <c r="G47" s="2">
        <f t="shared" si="33"/>
        <v>5464584.4910737192</v>
      </c>
      <c r="H47" s="2">
        <f t="shared" si="34"/>
        <v>610535.67017692863</v>
      </c>
      <c r="I47" s="2">
        <f t="shared" si="35"/>
        <v>-16893.033663223203</v>
      </c>
      <c r="J47" s="2">
        <f t="shared" si="36"/>
        <v>6003733.4706092849</v>
      </c>
      <c r="K47" s="2">
        <f t="shared" si="37"/>
        <v>632918.43629665242</v>
      </c>
      <c r="L47" s="2">
        <f t="shared" si="38"/>
        <v>-17518.976837658229</v>
      </c>
      <c r="M47" s="2">
        <f t="shared" si="39"/>
        <v>6562620.1015597042</v>
      </c>
      <c r="N47" s="2">
        <f t="shared" si="40"/>
        <v>657357.91015773045</v>
      </c>
      <c r="O47" s="2">
        <f t="shared" si="41"/>
        <v>-18154.607753607634</v>
      </c>
      <c r="P47" s="2">
        <f t="shared" si="42"/>
        <v>7143260.1531457379</v>
      </c>
      <c r="Q47" s="2">
        <f t="shared" si="43"/>
        <v>682657.4220753531</v>
      </c>
      <c r="R47" s="2">
        <f t="shared" si="44"/>
        <v>-18896.474455282627</v>
      </c>
      <c r="S47" s="2">
        <f t="shared" si="45"/>
        <v>7746064.7315552197</v>
      </c>
      <c r="T47" s="2">
        <f t="shared" si="46"/>
        <v>710059.46198163414</v>
      </c>
      <c r="U47" s="2">
        <f t="shared" si="47"/>
        <v>-19580.580243509998</v>
      </c>
      <c r="V47" s="2">
        <f t="shared" si="48"/>
        <v>8373380.4512175051</v>
      </c>
    </row>
    <row r="48" spans="1:22">
      <c r="A48" s="8">
        <v>368</v>
      </c>
      <c r="B48" s="2" t="s">
        <v>9</v>
      </c>
      <c r="D48" s="2">
        <v>9470599</v>
      </c>
      <c r="E48" s="2">
        <f t="shared" si="31"/>
        <v>1084409.802919236</v>
      </c>
      <c r="F48" s="2">
        <f t="shared" si="32"/>
        <v>-165437.82449999999</v>
      </c>
      <c r="G48" s="2">
        <f t="shared" si="33"/>
        <v>10021931.368419236</v>
      </c>
      <c r="H48" s="2">
        <f t="shared" si="34"/>
        <v>1275548.3954732288</v>
      </c>
      <c r="I48" s="2">
        <f t="shared" si="35"/>
        <v>-171103.14881976289</v>
      </c>
      <c r="J48" s="2">
        <f t="shared" si="36"/>
        <v>10746147.395473229</v>
      </c>
      <c r="K48" s="2">
        <f t="shared" si="37"/>
        <v>1317387.0549292862</v>
      </c>
      <c r="L48" s="2">
        <f t="shared" si="38"/>
        <v>-176773.68630929949</v>
      </c>
      <c r="M48" s="2">
        <f t="shared" si="39"/>
        <v>11493930.35007255</v>
      </c>
      <c r="N48" s="2">
        <f t="shared" si="40"/>
        <v>1363595.8102591198</v>
      </c>
      <c r="O48" s="2">
        <f t="shared" si="41"/>
        <v>-182513.69230777858</v>
      </c>
      <c r="P48" s="2">
        <f t="shared" si="42"/>
        <v>12269426.485117719</v>
      </c>
      <c r="Q48" s="2">
        <f t="shared" si="43"/>
        <v>1411446.8396536992</v>
      </c>
      <c r="R48" s="2">
        <f t="shared" si="44"/>
        <v>-189376.07412652683</v>
      </c>
      <c r="S48" s="2">
        <f t="shared" si="45"/>
        <v>13070661.53036372</v>
      </c>
      <c r="T48" s="2">
        <f t="shared" si="46"/>
        <v>1463730.8767789307</v>
      </c>
      <c r="U48" s="2">
        <f t="shared" si="47"/>
        <v>-195563.97305175473</v>
      </c>
      <c r="V48" s="2">
        <f t="shared" si="48"/>
        <v>13904241.827309219</v>
      </c>
    </row>
    <row r="49" spans="1:22">
      <c r="A49" s="8">
        <v>369</v>
      </c>
      <c r="B49" s="2" t="s">
        <v>10</v>
      </c>
      <c r="D49" s="2">
        <v>10252247</v>
      </c>
      <c r="E49" s="2">
        <f t="shared" si="31"/>
        <v>1111270.7255038256</v>
      </c>
      <c r="F49" s="2">
        <f t="shared" si="32"/>
        <v>-69003.20640000001</v>
      </c>
      <c r="G49" s="2">
        <f t="shared" si="33"/>
        <v>11208260.511103826</v>
      </c>
      <c r="H49" s="2">
        <f t="shared" si="34"/>
        <v>1209291.1093435597</v>
      </c>
      <c r="I49" s="2">
        <f t="shared" si="35"/>
        <v>-71367.832611009551</v>
      </c>
      <c r="J49" s="2">
        <f t="shared" si="36"/>
        <v>12256973.997072615</v>
      </c>
      <c r="K49" s="2">
        <f t="shared" si="37"/>
        <v>1249255.4989004661</v>
      </c>
      <c r="L49" s="2">
        <f t="shared" si="38"/>
        <v>-73747.100510217628</v>
      </c>
      <c r="M49" s="2">
        <f t="shared" si="39"/>
        <v>13340298.519825092</v>
      </c>
      <c r="N49" s="2">
        <f t="shared" si="40"/>
        <v>1292923.4967402953</v>
      </c>
      <c r="O49" s="2">
        <f t="shared" si="41"/>
        <v>-76163.559357838327</v>
      </c>
      <c r="P49" s="2">
        <f t="shared" si="42"/>
        <v>14461854.00801025</v>
      </c>
      <c r="Q49" s="2">
        <f t="shared" si="43"/>
        <v>1338140.7786015391</v>
      </c>
      <c r="R49" s="2">
        <f t="shared" si="44"/>
        <v>-78987.260250997133</v>
      </c>
      <c r="S49" s="2">
        <f t="shared" si="45"/>
        <v>15622273.451047044</v>
      </c>
      <c r="T49" s="2">
        <f t="shared" si="46"/>
        <v>1387144.1513448278</v>
      </c>
      <c r="U49" s="2">
        <f t="shared" si="47"/>
        <v>-81589.633181187586</v>
      </c>
      <c r="V49" s="2">
        <f t="shared" si="48"/>
        <v>16825840.9277342</v>
      </c>
    </row>
    <row r="50" spans="1:22">
      <c r="A50" s="8">
        <v>370</v>
      </c>
      <c r="B50" s="2" t="s">
        <v>56</v>
      </c>
      <c r="D50" s="2">
        <v>1514524</v>
      </c>
      <c r="E50" s="2">
        <f>+$D110/100*((D20+G20)/2)+3884717</f>
        <v>4144635.6329116076</v>
      </c>
      <c r="F50" s="2">
        <f>-0.4*580354</f>
        <v>-232141.6</v>
      </c>
      <c r="G50" s="2">
        <f t="shared" si="33"/>
        <v>3602244.7329116082</v>
      </c>
      <c r="H50" s="2">
        <f t="shared" si="34"/>
        <v>175027.49119277918</v>
      </c>
      <c r="I50" s="2">
        <f>-0.6*580354</f>
        <v>-348212.39999999997</v>
      </c>
      <c r="J50" s="2">
        <f t="shared" si="36"/>
        <v>582120.67093974445</v>
      </c>
      <c r="K50" s="2">
        <f t="shared" si="37"/>
        <v>92481.40853647179</v>
      </c>
      <c r="L50" s="2">
        <f t="shared" si="38"/>
        <v>-21142.934020467241</v>
      </c>
      <c r="M50" s="2">
        <f t="shared" si="39"/>
        <v>638248.40155613224</v>
      </c>
      <c r="N50" s="2">
        <f t="shared" si="40"/>
        <v>95166.068653691953</v>
      </c>
      <c r="O50" s="2">
        <f t="shared" si="41"/>
        <v>-21706.785268098021</v>
      </c>
      <c r="P50" s="2">
        <f t="shared" si="42"/>
        <v>696091.29266251891</v>
      </c>
      <c r="Q50" s="2">
        <f t="shared" si="43"/>
        <v>97951.792292621656</v>
      </c>
      <c r="R50" s="2">
        <f t="shared" si="44"/>
        <v>-22386.826541445917</v>
      </c>
      <c r="S50" s="2">
        <f t="shared" si="45"/>
        <v>755550.62780833791</v>
      </c>
      <c r="T50" s="2">
        <f t="shared" si="46"/>
        <v>101008.19715389244</v>
      </c>
      <c r="U50" s="2">
        <f t="shared" si="47"/>
        <v>-22997.503887468785</v>
      </c>
      <c r="V50" s="2">
        <f t="shared" si="48"/>
        <v>817016.35424924444</v>
      </c>
    </row>
    <row r="51" spans="1:22">
      <c r="A51" s="28">
        <v>370</v>
      </c>
      <c r="B51" s="2" t="s">
        <v>63</v>
      </c>
      <c r="E51" s="2">
        <f t="shared" si="31"/>
        <v>0</v>
      </c>
      <c r="F51" s="2">
        <f t="shared" si="32"/>
        <v>0</v>
      </c>
      <c r="G51" s="2">
        <f t="shared" ref="G51" si="49">+D51+E51+F51-F21</f>
        <v>0</v>
      </c>
      <c r="H51" s="2">
        <f t="shared" ref="H51" si="50">+$E111/100*((G21+J21)/2)</f>
        <v>523500</v>
      </c>
      <c r="I51" s="2">
        <f>-0.6*580354</f>
        <v>-348212.39999999997</v>
      </c>
      <c r="J51" s="2">
        <f t="shared" ref="J51" si="51">+G51+H51+I51-I21</f>
        <v>135287.60000000003</v>
      </c>
      <c r="K51" s="2">
        <f t="shared" ref="K51" si="52">+$E111/100*((J21+M21)/2)</f>
        <v>751564.78100294585</v>
      </c>
      <c r="L51" s="2">
        <f t="shared" si="38"/>
        <v>-11952</v>
      </c>
      <c r="M51" s="2">
        <f t="shared" ref="M51" si="53">+J51+K51+L51-L21</f>
        <v>775300.38100294583</v>
      </c>
      <c r="N51" s="2">
        <f t="shared" ref="N51" si="54">+$E111/100*((M21+P21)/2)</f>
        <v>761952.93291967991</v>
      </c>
      <c r="O51" s="2">
        <f t="shared" si="41"/>
        <v>-12098.072992094272</v>
      </c>
      <c r="P51" s="2">
        <f t="shared" ref="P51" si="55">+M51+N51+O51-O21</f>
        <v>1424337.9659964126</v>
      </c>
      <c r="Q51" s="2">
        <f t="shared" ref="Q51" si="56">+$E111/100*((P21+S21)/2)</f>
        <v>772871.66614883044</v>
      </c>
      <c r="R51" s="2">
        <f t="shared" si="44"/>
        <v>-12284.420861335488</v>
      </c>
      <c r="S51" s="2">
        <f t="shared" ref="S51" si="57">+P51+Q51+R51-R21</f>
        <v>2082555.0374394448</v>
      </c>
      <c r="T51" s="2">
        <f t="shared" ref="T51" si="58">+$E111/100*((S21+V21)/2)</f>
        <v>785162.02960410761</v>
      </c>
      <c r="U51" s="2">
        <f t="shared" si="47"/>
        <v>-12447.472455427083</v>
      </c>
      <c r="V51" s="2">
        <f t="shared" ref="V51" si="59">+S51+T51+U51-U21</f>
        <v>2751540.6574595659</v>
      </c>
    </row>
    <row r="52" spans="1:22">
      <c r="A52" s="8">
        <v>371</v>
      </c>
      <c r="B52" s="2" t="s">
        <v>12</v>
      </c>
      <c r="D52" s="2">
        <v>1014909</v>
      </c>
      <c r="E52" s="2">
        <f>+$D112/100*((D22+G22)/2)</f>
        <v>238826.58004938861</v>
      </c>
      <c r="F52" s="2">
        <f>+$F112/100*F22</f>
        <v>-51573.515399999997</v>
      </c>
      <c r="G52" s="2">
        <f>+D52+E52+F52-F22</f>
        <v>1124020.3746493887</v>
      </c>
      <c r="H52" s="2">
        <f>+$E112/100*((G22+J22)/2)</f>
        <v>233849.55108544644</v>
      </c>
      <c r="I52" s="2">
        <f>+$F112/100*I22</f>
        <v>-53510.179821730977</v>
      </c>
      <c r="J52" s="2">
        <f>+G52+H52+I52-I22</f>
        <v>1223283.7158801784</v>
      </c>
      <c r="K52" s="2">
        <f>+$E112/100*((J22+M22)/2)</f>
        <v>242149.4060849532</v>
      </c>
      <c r="L52" s="2">
        <f>+$F112/100*L22</f>
        <v>-55436.199272194652</v>
      </c>
      <c r="M52" s="2">
        <f>+J52+K52+L52-L22</f>
        <v>1326002.6813714297</v>
      </c>
      <c r="N52" s="2">
        <f>+$E112/100*((M22+P22)/2)</f>
        <v>251397.04787895147</v>
      </c>
      <c r="O52" s="2">
        <f>+$F112/100*O22</f>
        <v>-57376.935797971782</v>
      </c>
      <c r="P52" s="2">
        <f>+M52+N52+O52-O22</f>
        <v>1433088.0422433615</v>
      </c>
      <c r="Q52" s="2">
        <f>+$E112/100*((P22+S22)/2)</f>
        <v>260960.40414509707</v>
      </c>
      <c r="R52" s="2">
        <f>+$F112/100*R22</f>
        <v>-59744.512390339733</v>
      </c>
      <c r="S52" s="2">
        <f>+P52+Q52+R52-R22</f>
        <v>1543781.9455279072</v>
      </c>
      <c r="T52" s="2">
        <f>+$E112/100*((S22+V22)/2)</f>
        <v>271476.99529929599</v>
      </c>
      <c r="U52" s="2">
        <f>+$F112/100*U22</f>
        <v>-61832.33471725844</v>
      </c>
      <c r="V52" s="2">
        <f>+S52+T52+U52-U22</f>
        <v>1659741.2504777352</v>
      </c>
    </row>
    <row r="53" spans="1:22">
      <c r="A53" s="8">
        <v>373</v>
      </c>
      <c r="B53" s="2" t="s">
        <v>13</v>
      </c>
      <c r="D53" s="2">
        <v>313229</v>
      </c>
      <c r="E53" s="2">
        <f>+$D113/100*((D23+G23)/2)</f>
        <v>34485.38231694603</v>
      </c>
      <c r="F53" s="2">
        <f>+$F113/100*F23</f>
        <v>-1077.5988</v>
      </c>
      <c r="G53" s="2">
        <f>+D53+E53+F53-F23</f>
        <v>339452.79151694605</v>
      </c>
      <c r="H53" s="2">
        <f>+$E113/100*((G23+J23)/2)</f>
        <v>42622.074731085282</v>
      </c>
      <c r="I53" s="2">
        <f>+$F113/100*I23</f>
        <v>-1100.4253463334337</v>
      </c>
      <c r="J53" s="2">
        <f>+G53+H53+I53-I23</f>
        <v>373638.27192614169</v>
      </c>
      <c r="K53" s="2">
        <f>+$E113/100*((J23+M23)/2)</f>
        <v>43507.157932904091</v>
      </c>
      <c r="L53" s="2">
        <f>+$F113/100*L23</f>
        <v>-1123.3350744188415</v>
      </c>
      <c r="M53" s="2">
        <f>+J53+K53+L53-L23</f>
        <v>408533.19428850128</v>
      </c>
      <c r="N53" s="2">
        <f>+$E113/100*((M23+P23)/2)</f>
        <v>44492.69885123233</v>
      </c>
      <c r="O53" s="2">
        <f>+$F113/100*O23</f>
        <v>-1146.6036003413719</v>
      </c>
      <c r="P53" s="2">
        <f>+M53+N53+O53-O23</f>
        <v>444235.26553711639</v>
      </c>
      <c r="Q53" s="2">
        <f>+$E113/100*((P23+S23)/2)</f>
        <v>45517.614599014567</v>
      </c>
      <c r="R53" s="2">
        <f>+$F113/100*R23</f>
        <v>-1174.7546005924885</v>
      </c>
      <c r="S53" s="2">
        <f>+P53+Q53+R53-R23</f>
        <v>480746.42819825525</v>
      </c>
      <c r="T53" s="2">
        <f>+$E113/100*((S23+V23)/2)</f>
        <v>46644.632500590349</v>
      </c>
      <c r="U53" s="2">
        <f>+$F113/100*U23</f>
        <v>-1200.0774654430543</v>
      </c>
      <c r="V53" s="2">
        <f>+S53+T53+U53-U23</f>
        <v>518190.46679711557</v>
      </c>
    </row>
    <row r="54" spans="1:22" ht="15">
      <c r="A54" s="1"/>
      <c r="B54" s="7" t="s">
        <v>14</v>
      </c>
      <c r="D54" s="7">
        <f t="shared" ref="D54:V54" si="60">SUM(D43:D53)+D36</f>
        <v>80559223</v>
      </c>
      <c r="E54" s="7">
        <f t="shared" si="60"/>
        <v>14032896.256649511</v>
      </c>
      <c r="F54" s="7">
        <f t="shared" si="60"/>
        <v>-1262736.9668000001</v>
      </c>
      <c r="G54" s="7">
        <f t="shared" si="60"/>
        <v>89179198.517849505</v>
      </c>
      <c r="H54" s="7">
        <f t="shared" si="60"/>
        <v>11184116.768415421</v>
      </c>
      <c r="I54" s="7">
        <f t="shared" si="60"/>
        <v>-1760023.3424521065</v>
      </c>
      <c r="J54" s="7">
        <f t="shared" si="60"/>
        <v>93330568.349209398</v>
      </c>
      <c r="K54" s="7">
        <f t="shared" si="60"/>
        <v>11630891.755379142</v>
      </c>
      <c r="L54" s="7">
        <f t="shared" si="60"/>
        <v>-1129757.0052631693</v>
      </c>
      <c r="M54" s="7">
        <f t="shared" si="60"/>
        <v>101270601.22917582</v>
      </c>
      <c r="N54" s="7">
        <f t="shared" si="60"/>
        <v>11977418.383461468</v>
      </c>
      <c r="O54" s="7">
        <f t="shared" si="60"/>
        <v>-1163955.92128107</v>
      </c>
      <c r="P54" s="7">
        <f t="shared" si="60"/>
        <v>109459684.31355806</v>
      </c>
      <c r="Q54" s="7">
        <f t="shared" si="60"/>
        <v>12114994.580581047</v>
      </c>
      <c r="R54" s="7">
        <f t="shared" si="60"/>
        <v>-1204719.413937954</v>
      </c>
      <c r="S54" s="7">
        <f t="shared" si="60"/>
        <v>117668583.54584198</v>
      </c>
      <c r="T54" s="7">
        <f t="shared" si="60"/>
        <v>12726697.832912004</v>
      </c>
      <c r="U54" s="7">
        <f t="shared" si="60"/>
        <v>-1241597.093955063</v>
      </c>
      <c r="V54" s="7">
        <f t="shared" si="60"/>
        <v>126383418.67520316</v>
      </c>
    </row>
    <row r="55" spans="1:22">
      <c r="B55" s="2" t="s">
        <v>45</v>
      </c>
      <c r="D55" s="10">
        <f>+D54/D24</f>
        <v>0.3081348362242386</v>
      </c>
      <c r="E55" s="12">
        <f>+E54/((D24+G24)/2)</f>
        <v>5.2707465300267139E-2</v>
      </c>
      <c r="G55" s="10">
        <f>+G54/G24</f>
        <v>0.32902495116671443</v>
      </c>
      <c r="H55" s="12">
        <f>+H54/((G24+J24)/2)</f>
        <v>4.0475201448916968E-2</v>
      </c>
      <c r="J55" s="10">
        <f>+J54/J24</f>
        <v>0.33143003203833965</v>
      </c>
      <c r="K55" s="12">
        <f>+K54/((J24+M24)/2)</f>
        <v>4.0747856127678672E-2</v>
      </c>
      <c r="M55" s="10">
        <f>+M54/M24</f>
        <v>0.35008813143475692</v>
      </c>
      <c r="N55" s="12">
        <f>+N54/((M24+P24)/2)</f>
        <v>4.0756403281293686E-2</v>
      </c>
      <c r="O55" s="30"/>
      <c r="P55" s="10">
        <f>+P54/P24</f>
        <v>0.36671795278127689</v>
      </c>
      <c r="Q55" s="12">
        <f>+Q54/((P24+S24)/2)</f>
        <v>4.0030851873333856E-2</v>
      </c>
      <c r="R55" s="30"/>
      <c r="S55" s="10">
        <f>+S54/S24</f>
        <v>0.38353738128033416</v>
      </c>
      <c r="T55" s="12">
        <f>+T54/((S24+V24)/2)</f>
        <v>4.0759264744713398E-2</v>
      </c>
      <c r="V55" s="10">
        <f>+V54/V24</f>
        <v>0.39782869529139314</v>
      </c>
    </row>
    <row r="56" spans="1:22">
      <c r="A56" s="26"/>
      <c r="E56" s="12"/>
      <c r="H56" s="12"/>
      <c r="K56" s="12"/>
      <c r="N56" s="12"/>
      <c r="O56" s="30"/>
      <c r="P56" s="30"/>
      <c r="Q56" s="12"/>
      <c r="R56" s="30"/>
      <c r="S56" s="30"/>
      <c r="T56" s="12"/>
    </row>
    <row r="57" spans="1:22">
      <c r="A57" s="26"/>
      <c r="E57" s="12"/>
      <c r="H57" s="12"/>
      <c r="K57" s="12"/>
      <c r="N57" s="12"/>
      <c r="O57" s="30"/>
      <c r="P57" s="30"/>
      <c r="Q57" s="12"/>
      <c r="R57" s="30"/>
      <c r="S57" s="30"/>
      <c r="T57" s="12"/>
    </row>
    <row r="58" spans="1:22">
      <c r="A58" s="26"/>
      <c r="E58" s="12"/>
      <c r="H58" s="12"/>
      <c r="K58" s="12"/>
      <c r="N58" s="12"/>
      <c r="O58" s="30"/>
      <c r="P58" s="30"/>
      <c r="Q58" s="12"/>
      <c r="R58" s="30"/>
      <c r="S58" s="30"/>
      <c r="T58" s="12"/>
    </row>
    <row r="59" spans="1:22">
      <c r="A59" s="26"/>
      <c r="E59" s="12"/>
      <c r="H59" s="12"/>
      <c r="K59" s="12"/>
      <c r="N59" s="12"/>
      <c r="O59" s="30"/>
      <c r="P59" s="30"/>
      <c r="Q59" s="12"/>
      <c r="R59" s="30"/>
      <c r="S59" s="30"/>
      <c r="T59" s="12"/>
    </row>
    <row r="60" spans="1:22">
      <c r="A60" s="26"/>
      <c r="E60" s="12"/>
      <c r="H60" s="12"/>
      <c r="K60" s="12"/>
      <c r="N60" s="12"/>
      <c r="O60" s="30"/>
      <c r="P60" s="30"/>
      <c r="Q60" s="12"/>
      <c r="R60" s="30"/>
      <c r="S60" s="30"/>
      <c r="T60" s="12"/>
    </row>
    <row r="61" spans="1:22">
      <c r="A61" s="26"/>
      <c r="E61" s="12"/>
      <c r="H61" s="12"/>
      <c r="K61" s="12"/>
      <c r="N61" s="12"/>
      <c r="O61" s="30"/>
      <c r="P61" s="30"/>
      <c r="Q61" s="12"/>
      <c r="R61" s="30"/>
      <c r="S61" s="30"/>
      <c r="T61" s="12"/>
    </row>
    <row r="62" spans="1:22">
      <c r="A62" s="26"/>
      <c r="E62" s="12"/>
      <c r="H62" s="12"/>
      <c r="K62" s="12"/>
      <c r="N62" s="12"/>
      <c r="O62" s="30"/>
      <c r="P62" s="30"/>
      <c r="Q62" s="12"/>
      <c r="R62" s="30"/>
      <c r="S62" s="30"/>
      <c r="T62" s="12"/>
    </row>
    <row r="63" spans="1:22">
      <c r="A63" s="26"/>
      <c r="C63" s="31"/>
      <c r="E63" s="12"/>
      <c r="H63" s="12"/>
      <c r="K63" s="12"/>
      <c r="N63" s="12"/>
      <c r="O63" s="30"/>
      <c r="P63" s="30"/>
      <c r="Q63" s="12"/>
      <c r="R63" s="30"/>
      <c r="S63" s="30"/>
      <c r="T63" s="12"/>
    </row>
    <row r="64" spans="1:22" ht="15">
      <c r="A64" s="22" t="s">
        <v>36</v>
      </c>
    </row>
    <row r="65" spans="1:13">
      <c r="A65" s="39" t="s">
        <v>38</v>
      </c>
      <c r="B65" s="39"/>
      <c r="C65" s="39"/>
      <c r="D65" s="39"/>
      <c r="E65" s="39"/>
      <c r="F65" s="39"/>
      <c r="G65" s="39"/>
      <c r="H65" s="39"/>
      <c r="I65" s="39"/>
      <c r="J65" s="39"/>
      <c r="L65" s="8" t="s">
        <v>46</v>
      </c>
    </row>
    <row r="66" spans="1:13">
      <c r="K66" s="8" t="s">
        <v>51</v>
      </c>
      <c r="L66" s="8" t="s">
        <v>47</v>
      </c>
    </row>
    <row r="67" spans="1:13" s="4" customFormat="1">
      <c r="D67" s="23">
        <v>2014</v>
      </c>
      <c r="E67" s="23">
        <v>2015</v>
      </c>
      <c r="F67" s="23">
        <v>2016</v>
      </c>
      <c r="G67" s="23">
        <v>2017</v>
      </c>
      <c r="H67" s="23">
        <v>2018</v>
      </c>
      <c r="I67" s="23">
        <v>2019</v>
      </c>
      <c r="J67" s="23">
        <v>2020</v>
      </c>
      <c r="K67" s="23" t="s">
        <v>47</v>
      </c>
      <c r="L67" s="23" t="s">
        <v>84</v>
      </c>
    </row>
    <row r="68" spans="1:13" ht="15">
      <c r="A68" s="1"/>
      <c r="B68" s="7" t="s">
        <v>3</v>
      </c>
    </row>
    <row r="70" spans="1:13">
      <c r="A70" s="8">
        <v>362</v>
      </c>
      <c r="B70" s="2" t="s">
        <v>4</v>
      </c>
      <c r="D70" s="9">
        <f>+D37/D7</f>
        <v>0.25728909030877073</v>
      </c>
      <c r="E70" s="9">
        <f>+G37/G7</f>
        <v>0.25966597973525524</v>
      </c>
      <c r="F70" s="9">
        <f>+J37/J7</f>
        <v>0.26201403528816669</v>
      </c>
      <c r="G70" s="9">
        <f>+M37/M7</f>
        <v>0.26428113379400497</v>
      </c>
      <c r="H70" s="9">
        <f>+P37/P7</f>
        <v>0.2656060254890194</v>
      </c>
      <c r="I70" s="9">
        <f>+S37/S7</f>
        <v>0.26748186735710472</v>
      </c>
      <c r="J70" s="9">
        <f>+V37/V7</f>
        <v>0.2678164762595267</v>
      </c>
      <c r="K70" s="13">
        <f>(100-G97)/100</f>
        <v>0.84</v>
      </c>
      <c r="L70" s="9">
        <f>+J70/K70</f>
        <v>0.31882913840419846</v>
      </c>
      <c r="M70" s="10"/>
    </row>
    <row r="71" spans="1:13">
      <c r="A71" s="8" t="s">
        <v>17</v>
      </c>
      <c r="B71" s="2" t="s">
        <v>18</v>
      </c>
      <c r="D71" s="9">
        <f>+D38/D8</f>
        <v>0.95516927877621882</v>
      </c>
      <c r="E71" s="9">
        <f>+G38/G8</f>
        <v>0.96875410103068937</v>
      </c>
      <c r="F71" s="9">
        <f>+J38/J8</f>
        <v>0.98218971188523019</v>
      </c>
      <c r="G71" s="9">
        <f>+M38/M8</f>
        <v>0.99517278439300971</v>
      </c>
      <c r="H71" s="9">
        <f>+P38/P8</f>
        <v>1.0026837808215394</v>
      </c>
      <c r="I71" s="9">
        <f>+S38/S8</f>
        <v>0.8887494323819698</v>
      </c>
      <c r="J71" s="9">
        <f>+V38/V8</f>
        <v>0.89074851070172167</v>
      </c>
      <c r="K71" s="13">
        <f t="shared" ref="K71:K87" si="61">(100-G98)/100</f>
        <v>1</v>
      </c>
      <c r="L71" s="9">
        <f t="shared" ref="L71:L86" si="62">+J71/K71</f>
        <v>0.89074851070172167</v>
      </c>
      <c r="M71" s="10"/>
    </row>
    <row r="72" spans="1:13">
      <c r="A72" s="8" t="s">
        <v>19</v>
      </c>
      <c r="B72" s="2" t="s">
        <v>20</v>
      </c>
      <c r="D72" s="9">
        <f>+D39/D9</f>
        <v>0.92413422183274807</v>
      </c>
      <c r="E72" s="9">
        <f>+G39/G9</f>
        <v>0.83934612973291345</v>
      </c>
      <c r="F72" s="9">
        <f>+J39/J9</f>
        <v>0.77735926019131307</v>
      </c>
      <c r="G72" s="9">
        <f>+M39/M9</f>
        <v>0.73050670081306479</v>
      </c>
      <c r="H72" s="9">
        <f>+P39/P9</f>
        <v>0.68492098184303074</v>
      </c>
      <c r="I72" s="9">
        <f>+S39/S9</f>
        <v>0.65662616597533185</v>
      </c>
      <c r="J72" s="9">
        <f>+V39/V9</f>
        <v>0.62237730137814273</v>
      </c>
      <c r="K72" s="13">
        <f t="shared" si="61"/>
        <v>1</v>
      </c>
      <c r="L72" s="9">
        <f t="shared" si="62"/>
        <v>0.62237730137814273</v>
      </c>
      <c r="M72" s="10"/>
    </row>
    <row r="73" spans="1:13">
      <c r="A73" s="8" t="s">
        <v>21</v>
      </c>
      <c r="B73" s="2" t="s">
        <v>22</v>
      </c>
      <c r="D73" s="9">
        <f>+D40/D10</f>
        <v>0.81257159697835069</v>
      </c>
      <c r="E73" s="9">
        <f>+G40/G10</f>
        <v>0.82663477083251324</v>
      </c>
      <c r="F73" s="9">
        <f>+J40/J10</f>
        <v>0.8407686139020234</v>
      </c>
      <c r="G73" s="9">
        <f>+M40/M10</f>
        <v>0.85497348130856632</v>
      </c>
      <c r="H73" s="9">
        <f>+P40/P10</f>
        <v>0.86924972995835814</v>
      </c>
      <c r="I73" s="9">
        <f>+S40/S10</f>
        <v>0.8835977185511138</v>
      </c>
      <c r="J73" s="9">
        <f>+V40/V10</f>
        <v>0.89801780758905903</v>
      </c>
      <c r="K73" s="13">
        <f t="shared" si="61"/>
        <v>0.9</v>
      </c>
      <c r="L73" s="9">
        <f t="shared" si="62"/>
        <v>0.99779756398784336</v>
      </c>
      <c r="M73" s="10"/>
    </row>
    <row r="74" spans="1:13">
      <c r="A74" s="33">
        <v>362.3</v>
      </c>
      <c r="B74" s="2" t="s">
        <v>62</v>
      </c>
      <c r="D74" s="9"/>
      <c r="E74" s="9">
        <f>+G41/G11</f>
        <v>5.6254682720344361E-2</v>
      </c>
      <c r="F74" s="9">
        <f>+J41/J11</f>
        <v>7.6537369568185284E-2</v>
      </c>
      <c r="G74" s="9">
        <f>+M41/M11</f>
        <v>9.6921979465512842E-2</v>
      </c>
      <c r="H74" s="9">
        <f>+P41/P11</f>
        <v>0.11740902458845512</v>
      </c>
      <c r="I74" s="9">
        <f>+S41/S11</f>
        <v>0.13799901968688957</v>
      </c>
      <c r="J74" s="9">
        <f>+V41/V11</f>
        <v>0.15869248209737644</v>
      </c>
      <c r="K74" s="13">
        <f t="shared" si="61"/>
        <v>1</v>
      </c>
      <c r="L74" s="9">
        <f t="shared" ref="L74" si="63">+J74/K74</f>
        <v>0.15869248209737644</v>
      </c>
      <c r="M74" s="10"/>
    </row>
    <row r="75" spans="1:13">
      <c r="A75" s="33">
        <v>362.4</v>
      </c>
      <c r="B75" s="2" t="s">
        <v>24</v>
      </c>
      <c r="D75" s="9">
        <f t="shared" ref="D75:D83" si="64">+D42/D12</f>
        <v>0.88638068533156722</v>
      </c>
      <c r="E75" s="9">
        <f t="shared" ref="E75:E83" si="65">+G42/G12</f>
        <v>0.91533402558744159</v>
      </c>
      <c r="F75" s="9">
        <f t="shared" ref="F75:F83" si="66">+J42/J12</f>
        <v>0.94457982382569861</v>
      </c>
      <c r="G75" s="9">
        <f t="shared" ref="G75:G83" si="67">+M42/M12</f>
        <v>0.960204381281341</v>
      </c>
      <c r="H75" s="9">
        <f t="shared" ref="H75:H83" si="68">+P42/P12</f>
        <v>0.97269163435354633</v>
      </c>
      <c r="I75" s="9">
        <f t="shared" ref="I75:I83" si="69">+S42/S12</f>
        <v>0.98529014659723202</v>
      </c>
      <c r="J75" s="9">
        <f t="shared" ref="J75:J83" si="70">+V42/V12</f>
        <v>0.99799712502583515</v>
      </c>
      <c r="K75" s="13">
        <f t="shared" si="61"/>
        <v>1</v>
      </c>
      <c r="L75" s="9">
        <f t="shared" si="62"/>
        <v>0.99799712502583515</v>
      </c>
      <c r="M75" s="10"/>
    </row>
    <row r="76" spans="1:13">
      <c r="B76" s="2" t="s">
        <v>26</v>
      </c>
      <c r="D76" s="9">
        <f t="shared" si="64"/>
        <v>0.36963871220837563</v>
      </c>
      <c r="E76" s="9">
        <f t="shared" si="65"/>
        <v>0.37330928341540998</v>
      </c>
      <c r="F76" s="9">
        <f t="shared" si="66"/>
        <v>0.37707986324657811</v>
      </c>
      <c r="G76" s="9">
        <f t="shared" si="67"/>
        <v>0.38060755874473101</v>
      </c>
      <c r="H76" s="9">
        <f t="shared" si="68"/>
        <v>0.38274444633089072</v>
      </c>
      <c r="I76" s="9">
        <f t="shared" si="69"/>
        <v>0.37745125355682302</v>
      </c>
      <c r="J76" s="9">
        <f t="shared" si="70"/>
        <v>0.37824740029725046</v>
      </c>
      <c r="K76" s="13">
        <f t="shared" si="61"/>
        <v>1</v>
      </c>
      <c r="L76" s="9">
        <f t="shared" si="62"/>
        <v>0.37824740029725046</v>
      </c>
      <c r="M76" s="10"/>
    </row>
    <row r="77" spans="1:13">
      <c r="A77" s="8">
        <v>364</v>
      </c>
      <c r="B77" s="2" t="s">
        <v>5</v>
      </c>
      <c r="D77" s="9">
        <f t="shared" si="64"/>
        <v>0.31003961343723047</v>
      </c>
      <c r="E77" s="9">
        <f t="shared" si="65"/>
        <v>0.33379044411908088</v>
      </c>
      <c r="F77" s="9">
        <f t="shared" si="66"/>
        <v>0.35711381723405589</v>
      </c>
      <c r="G77" s="9">
        <f t="shared" si="67"/>
        <v>0.37993562865245883</v>
      </c>
      <c r="H77" s="9">
        <f t="shared" si="68"/>
        <v>0.40050666124487372</v>
      </c>
      <c r="I77" s="9">
        <f t="shared" si="69"/>
        <v>0.42195951171559293</v>
      </c>
      <c r="J77" s="9">
        <f t="shared" si="70"/>
        <v>0.43981339706568318</v>
      </c>
      <c r="K77" s="13">
        <f t="shared" si="61"/>
        <v>1.51</v>
      </c>
      <c r="L77" s="9">
        <f t="shared" si="62"/>
        <v>0.29126715037462464</v>
      </c>
      <c r="M77" s="10"/>
    </row>
    <row r="78" spans="1:13">
      <c r="A78" s="8">
        <v>365</v>
      </c>
      <c r="B78" s="2" t="s">
        <v>6</v>
      </c>
      <c r="D78" s="9">
        <f t="shared" si="64"/>
        <v>0.30452129677241702</v>
      </c>
      <c r="E78" s="9">
        <f t="shared" si="65"/>
        <v>0.32030374336162398</v>
      </c>
      <c r="F78" s="9">
        <f t="shared" si="66"/>
        <v>0.3368677707590515</v>
      </c>
      <c r="G78" s="9">
        <f t="shared" si="67"/>
        <v>0.35311109705298727</v>
      </c>
      <c r="H78" s="9">
        <f t="shared" si="68"/>
        <v>0.36729552820954764</v>
      </c>
      <c r="I78" s="9">
        <f t="shared" si="69"/>
        <v>0.38252335352138861</v>
      </c>
      <c r="J78" s="9">
        <f t="shared" si="70"/>
        <v>0.39442943720395324</v>
      </c>
      <c r="K78" s="13">
        <f t="shared" si="61"/>
        <v>1.44</v>
      </c>
      <c r="L78" s="9">
        <f t="shared" si="62"/>
        <v>0.2739093313916342</v>
      </c>
      <c r="M78" s="10"/>
    </row>
    <row r="79" spans="1:13">
      <c r="A79" s="8">
        <v>366</v>
      </c>
      <c r="B79" s="2" t="s">
        <v>7</v>
      </c>
      <c r="D79" s="9">
        <f t="shared" si="64"/>
        <v>0.85674348834037906</v>
      </c>
      <c r="E79" s="9">
        <f t="shared" ref="E79" si="71">+G46/G16</f>
        <v>0.87874348834037908</v>
      </c>
      <c r="F79" s="9">
        <f t="shared" ref="F79" si="72">+J46/J16</f>
        <v>0.90074348834037909</v>
      </c>
      <c r="G79" s="9">
        <f t="shared" ref="G79" si="73">+M46/M16</f>
        <v>0.92274348834037911</v>
      </c>
      <c r="H79" s="9">
        <f t="shared" ref="H79" si="74">+P46/P16</f>
        <v>0.94474348834037913</v>
      </c>
      <c r="I79" s="9">
        <f t="shared" ref="I79" si="75">+S46/S16</f>
        <v>0.96674348834037915</v>
      </c>
      <c r="J79" s="9">
        <f t="shared" si="70"/>
        <v>0.98874348834037917</v>
      </c>
      <c r="K79" s="13">
        <f t="shared" si="61"/>
        <v>1</v>
      </c>
      <c r="L79" s="9">
        <f t="shared" si="62"/>
        <v>0.98874348834037917</v>
      </c>
      <c r="M79" s="10"/>
    </row>
    <row r="80" spans="1:13">
      <c r="A80" s="8">
        <v>367</v>
      </c>
      <c r="B80" s="2" t="s">
        <v>8</v>
      </c>
      <c r="D80" s="9">
        <f t="shared" si="64"/>
        <v>0.28467808966215824</v>
      </c>
      <c r="E80" s="9">
        <f t="shared" si="65"/>
        <v>0.30083782925043301</v>
      </c>
      <c r="F80" s="9">
        <f t="shared" si="66"/>
        <v>0.31870994404562386</v>
      </c>
      <c r="G80" s="9">
        <f t="shared" si="67"/>
        <v>0.33618113799444149</v>
      </c>
      <c r="H80" s="9">
        <f t="shared" si="68"/>
        <v>0.35155933230541742</v>
      </c>
      <c r="I80" s="9">
        <f t="shared" si="69"/>
        <v>0.36790739144382989</v>
      </c>
      <c r="J80" s="9">
        <f t="shared" si="70"/>
        <v>0.38096285401455743</v>
      </c>
      <c r="K80" s="13">
        <f t="shared" si="61"/>
        <v>1.31</v>
      </c>
      <c r="L80" s="9">
        <f t="shared" si="62"/>
        <v>0.29081133894241024</v>
      </c>
      <c r="M80" s="10"/>
    </row>
    <row r="81" spans="1:13">
      <c r="A81" s="8">
        <v>368</v>
      </c>
      <c r="B81" s="2" t="s">
        <v>9</v>
      </c>
      <c r="D81" s="9">
        <f t="shared" si="64"/>
        <v>0.25760551209375943</v>
      </c>
      <c r="E81" s="9">
        <f t="shared" si="65"/>
        <v>0.26357604444435295</v>
      </c>
      <c r="F81" s="9">
        <f t="shared" si="66"/>
        <v>0.27355690934123827</v>
      </c>
      <c r="G81" s="9">
        <f t="shared" si="67"/>
        <v>0.28339071946506283</v>
      </c>
      <c r="H81" s="9">
        <f t="shared" si="68"/>
        <v>0.29154907470592589</v>
      </c>
      <c r="I81" s="9">
        <f t="shared" si="69"/>
        <v>0.30076079949076789</v>
      </c>
      <c r="J81" s="9">
        <f t="shared" si="70"/>
        <v>0.30726043429376632</v>
      </c>
      <c r="K81" s="13">
        <f t="shared" si="61"/>
        <v>1.39</v>
      </c>
      <c r="L81" s="9">
        <f t="shared" si="62"/>
        <v>0.22105067215378874</v>
      </c>
      <c r="M81" s="10"/>
    </row>
    <row r="82" spans="1:13">
      <c r="A82" s="8">
        <v>369</v>
      </c>
      <c r="B82" s="2" t="s">
        <v>10</v>
      </c>
      <c r="D82" s="9">
        <f t="shared" si="64"/>
        <v>0.35658332538007975</v>
      </c>
      <c r="E82" s="9">
        <f t="shared" si="65"/>
        <v>0.37691806297757019</v>
      </c>
      <c r="F82" s="9">
        <f t="shared" si="66"/>
        <v>0.39888670048659886</v>
      </c>
      <c r="G82" s="9">
        <f t="shared" si="67"/>
        <v>0.4203679123917578</v>
      </c>
      <c r="H82" s="9">
        <f t="shared" si="68"/>
        <v>0.43941832529615366</v>
      </c>
      <c r="I82" s="9">
        <f t="shared" si="69"/>
        <v>0.45953701249337042</v>
      </c>
      <c r="J82" s="9">
        <f t="shared" si="70"/>
        <v>0.47582336848771917</v>
      </c>
      <c r="K82" s="13">
        <f t="shared" si="61"/>
        <v>1.32</v>
      </c>
      <c r="L82" s="9">
        <f t="shared" si="62"/>
        <v>0.36047224885433271</v>
      </c>
      <c r="M82" s="10"/>
    </row>
    <row r="83" spans="1:13">
      <c r="A83" s="8">
        <v>370</v>
      </c>
      <c r="B83" s="2" t="s">
        <v>11</v>
      </c>
      <c r="D83" s="9">
        <f t="shared" si="64"/>
        <v>0.24895316401389317</v>
      </c>
      <c r="E83" s="9">
        <f t="shared" si="65"/>
        <v>0.83517234255725226</v>
      </c>
      <c r="F83" s="9">
        <f t="shared" si="66"/>
        <v>0.38270361711527645</v>
      </c>
      <c r="G83" s="9">
        <f t="shared" si="67"/>
        <v>0.40870412970218617</v>
      </c>
      <c r="H83" s="9">
        <f t="shared" si="68"/>
        <v>0.43220368684663435</v>
      </c>
      <c r="I83" s="9">
        <f t="shared" si="69"/>
        <v>0.45666493972236977</v>
      </c>
      <c r="J83" s="9">
        <f t="shared" si="70"/>
        <v>0.47710566019190315</v>
      </c>
      <c r="K83" s="13">
        <f t="shared" si="61"/>
        <v>2.27</v>
      </c>
      <c r="L83" s="9">
        <f t="shared" si="62"/>
        <v>0.21017870493035382</v>
      </c>
      <c r="M83" s="10"/>
    </row>
    <row r="84" spans="1:13">
      <c r="A84" s="28">
        <v>370</v>
      </c>
      <c r="B84" s="2" t="s">
        <v>63</v>
      </c>
      <c r="D84" s="9"/>
      <c r="E84" s="9">
        <f t="shared" ref="E84" si="76">+G51/G21</f>
        <v>0</v>
      </c>
      <c r="F84" s="9">
        <f t="shared" ref="F84" si="77">+J51/J21</f>
        <v>1.3583092369477915E-2</v>
      </c>
      <c r="G84" s="9">
        <f t="shared" ref="G84" si="78">+M51/M21</f>
        <v>7.6901541081087682E-2</v>
      </c>
      <c r="H84" s="9">
        <f t="shared" ref="H84" si="79">+P51/P21</f>
        <v>0.13913603078964198</v>
      </c>
      <c r="I84" s="9">
        <f t="shared" ref="I84" si="80">+S51/S21</f>
        <v>0.20076895561538227</v>
      </c>
      <c r="J84" s="9">
        <f t="shared" ref="J84" si="81">+V51/V21</f>
        <v>0.26044515452294331</v>
      </c>
      <c r="K84" s="13">
        <f t="shared" si="61"/>
        <v>1.1200000000000001</v>
      </c>
      <c r="L84" s="9">
        <f t="shared" ref="L84" si="82">+J84/K84</f>
        <v>0.23254031653834223</v>
      </c>
      <c r="M84" s="10"/>
    </row>
    <row r="85" spans="1:13">
      <c r="A85" s="8">
        <v>371</v>
      </c>
      <c r="B85" s="2" t="s">
        <v>12</v>
      </c>
      <c r="D85" s="9">
        <f>+D52/D22</f>
        <v>0.23378508962373351</v>
      </c>
      <c r="E85" s="9">
        <f>+G52/G22</f>
        <v>0.24954806908370383</v>
      </c>
      <c r="F85" s="9">
        <f>+J52/J22</f>
        <v>0.26215019672074985</v>
      </c>
      <c r="G85" s="9">
        <f>+M52/M22</f>
        <v>0.27455129200624606</v>
      </c>
      <c r="H85" s="9">
        <f>+P52/P22</f>
        <v>0.28496484883194007</v>
      </c>
      <c r="I85" s="9">
        <f>+S52/S22</f>
        <v>0.29661065843196277</v>
      </c>
      <c r="J85" s="9">
        <f>+V52/V22</f>
        <v>0.30502017257251302</v>
      </c>
      <c r="K85" s="13">
        <f t="shared" si="61"/>
        <v>1.54</v>
      </c>
      <c r="L85" s="9">
        <f t="shared" si="62"/>
        <v>0.19806504712500844</v>
      </c>
      <c r="M85" s="10"/>
    </row>
    <row r="86" spans="1:13">
      <c r="A86" s="8">
        <v>373</v>
      </c>
      <c r="B86" s="2" t="s">
        <v>13</v>
      </c>
      <c r="D86" s="9">
        <f>+D53/D23</f>
        <v>0.34880773809324955</v>
      </c>
      <c r="E86" s="9">
        <f>+G53/G23</f>
        <v>0.37016899981228568</v>
      </c>
      <c r="F86" s="9">
        <f>+J53/J23</f>
        <v>0.39913818817001911</v>
      </c>
      <c r="G86" s="9">
        <f>+M53/M23</f>
        <v>0.42755825378556739</v>
      </c>
      <c r="H86" s="9">
        <f>+P53/P23</f>
        <v>0.45378185229126072</v>
      </c>
      <c r="I86" s="9">
        <f>+S53/S23</f>
        <v>0.4807153958389872</v>
      </c>
      <c r="J86" s="9">
        <f>+V53/V23</f>
        <v>0.50409449977811771</v>
      </c>
      <c r="K86" s="13">
        <f t="shared" si="61"/>
        <v>1.1499999999999999</v>
      </c>
      <c r="L86" s="9">
        <f t="shared" si="62"/>
        <v>0.43834304328531976</v>
      </c>
      <c r="M86" s="10"/>
    </row>
    <row r="87" spans="1:13" ht="15">
      <c r="A87" s="1"/>
      <c r="B87" s="7" t="s">
        <v>14</v>
      </c>
      <c r="D87" s="9">
        <f>+D54/D24</f>
        <v>0.3081348362242386</v>
      </c>
      <c r="E87" s="9">
        <f>+G54/G24</f>
        <v>0.32902495116671443</v>
      </c>
      <c r="F87" s="9">
        <f>+J54/J24</f>
        <v>0.33143003203833965</v>
      </c>
      <c r="G87" s="9">
        <f>+M54/M24</f>
        <v>0.35008813143475692</v>
      </c>
      <c r="H87" s="9">
        <f>+P54/P24</f>
        <v>0.36671795278127689</v>
      </c>
      <c r="I87" s="9">
        <f>+S54/S24</f>
        <v>0.38353738128033416</v>
      </c>
      <c r="J87" s="9">
        <f>+V54/V24</f>
        <v>0.39782869529139314</v>
      </c>
      <c r="K87" s="13">
        <f t="shared" si="61"/>
        <v>1</v>
      </c>
      <c r="L87" s="9">
        <f t="shared" ref="L87" si="83">+J87/K87</f>
        <v>0.39782869529139314</v>
      </c>
      <c r="M87" s="9"/>
    </row>
    <row r="88" spans="1:13">
      <c r="L88" s="15"/>
    </row>
    <row r="92" spans="1:13">
      <c r="D92" s="8" t="s">
        <v>41</v>
      </c>
      <c r="E92" s="8" t="s">
        <v>44</v>
      </c>
      <c r="F92" s="2" t="s">
        <v>88</v>
      </c>
    </row>
    <row r="93" spans="1:13">
      <c r="D93" s="8" t="s">
        <v>37</v>
      </c>
      <c r="E93" s="9" t="s">
        <v>37</v>
      </c>
      <c r="F93" s="2" t="s">
        <v>89</v>
      </c>
      <c r="G93" s="28" t="s">
        <v>44</v>
      </c>
      <c r="I93" s="32"/>
      <c r="J93" s="32"/>
      <c r="K93" s="32"/>
      <c r="L93" s="32" t="s">
        <v>52</v>
      </c>
    </row>
    <row r="94" spans="1:13">
      <c r="A94" s="5"/>
      <c r="B94" s="5"/>
      <c r="C94" s="5"/>
      <c r="D94" s="4" t="s">
        <v>34</v>
      </c>
      <c r="E94" s="8" t="s">
        <v>34</v>
      </c>
      <c r="F94" s="8" t="s">
        <v>33</v>
      </c>
      <c r="G94" s="27" t="s">
        <v>33</v>
      </c>
      <c r="H94" s="32"/>
    </row>
    <row r="95" spans="1:13" ht="15">
      <c r="A95" s="16"/>
      <c r="B95" s="7" t="s">
        <v>3</v>
      </c>
      <c r="D95" s="8"/>
      <c r="E95" s="8"/>
      <c r="G95" s="6"/>
      <c r="I95" s="2" t="s">
        <v>85</v>
      </c>
      <c r="L95" s="2">
        <f>+V24</f>
        <v>317683013.2442621</v>
      </c>
    </row>
    <row r="96" spans="1:13">
      <c r="A96" s="17"/>
      <c r="D96" s="8"/>
      <c r="E96" s="8"/>
      <c r="I96" s="2" t="s">
        <v>86</v>
      </c>
      <c r="L96" s="2">
        <f>+V54</f>
        <v>126383418.67520316</v>
      </c>
    </row>
    <row r="97" spans="1:12">
      <c r="A97" s="17">
        <v>362</v>
      </c>
      <c r="B97" s="2" t="s">
        <v>4</v>
      </c>
      <c r="D97" s="25">
        <v>1.9</v>
      </c>
      <c r="E97" s="25">
        <v>1.9</v>
      </c>
      <c r="F97" s="36">
        <v>16</v>
      </c>
      <c r="G97" s="36">
        <v>16</v>
      </c>
      <c r="I97" s="2" t="s">
        <v>57</v>
      </c>
      <c r="K97" s="10"/>
      <c r="L97" s="10">
        <f>+L96/L95</f>
        <v>0.39782869529139314</v>
      </c>
    </row>
    <row r="98" spans="1:12">
      <c r="A98" s="17" t="s">
        <v>17</v>
      </c>
      <c r="B98" s="2" t="s">
        <v>18</v>
      </c>
      <c r="D98" s="25">
        <v>5</v>
      </c>
      <c r="E98" s="25">
        <v>5</v>
      </c>
      <c r="F98" s="36">
        <v>0</v>
      </c>
      <c r="G98" s="36">
        <v>0</v>
      </c>
    </row>
    <row r="99" spans="1:12">
      <c r="A99" s="17" t="s">
        <v>19</v>
      </c>
      <c r="B99" s="2" t="s">
        <v>20</v>
      </c>
      <c r="D99" s="25">
        <v>5</v>
      </c>
      <c r="E99" s="25">
        <v>5</v>
      </c>
      <c r="F99" s="36">
        <v>0</v>
      </c>
      <c r="G99" s="36">
        <v>0</v>
      </c>
      <c r="I99" s="2" t="s">
        <v>87</v>
      </c>
      <c r="L99" s="2">
        <v>184488848</v>
      </c>
    </row>
    <row r="100" spans="1:12">
      <c r="A100" s="17" t="s">
        <v>21</v>
      </c>
      <c r="B100" s="2" t="s">
        <v>22</v>
      </c>
      <c r="D100" s="25">
        <v>2.8</v>
      </c>
      <c r="E100" s="25">
        <v>2.8</v>
      </c>
      <c r="F100" s="36">
        <v>10</v>
      </c>
      <c r="G100" s="36">
        <v>10</v>
      </c>
      <c r="I100" s="2" t="s">
        <v>58</v>
      </c>
      <c r="L100" s="15">
        <f>+L95/L99</f>
        <v>1.7219632334864061</v>
      </c>
    </row>
    <row r="101" spans="1:12">
      <c r="A101" s="33">
        <v>362.3</v>
      </c>
      <c r="B101" s="2" t="s">
        <v>62</v>
      </c>
      <c r="D101" s="25"/>
      <c r="E101" s="25">
        <v>4</v>
      </c>
      <c r="F101" s="36"/>
      <c r="G101" s="36"/>
      <c r="L101" s="15"/>
    </row>
    <row r="102" spans="1:12">
      <c r="A102" s="33">
        <v>362.4</v>
      </c>
      <c r="B102" s="2" t="s">
        <v>24</v>
      </c>
      <c r="D102" s="25">
        <v>4</v>
      </c>
      <c r="E102" s="25">
        <v>4</v>
      </c>
      <c r="F102" s="36">
        <v>0</v>
      </c>
      <c r="G102" s="36">
        <v>0</v>
      </c>
      <c r="I102" s="2" t="s">
        <v>59</v>
      </c>
      <c r="L102" s="2" t="s">
        <v>60</v>
      </c>
    </row>
    <row r="103" spans="1:12">
      <c r="A103" s="17"/>
      <c r="B103" s="2" t="s">
        <v>26</v>
      </c>
      <c r="D103" s="25"/>
      <c r="E103" s="25"/>
      <c r="F103" s="36"/>
      <c r="G103" s="36"/>
    </row>
    <row r="104" spans="1:12">
      <c r="A104" s="17">
        <v>364</v>
      </c>
      <c r="B104" s="2" t="s">
        <v>5</v>
      </c>
      <c r="D104" s="25">
        <v>4.7</v>
      </c>
      <c r="E104" s="25">
        <v>4.7</v>
      </c>
      <c r="F104" s="36">
        <v>-80</v>
      </c>
      <c r="G104" s="36">
        <v>-51</v>
      </c>
      <c r="I104" s="2" t="s">
        <v>55</v>
      </c>
    </row>
    <row r="105" spans="1:12">
      <c r="A105" s="17">
        <v>365</v>
      </c>
      <c r="B105" s="2" t="s">
        <v>6</v>
      </c>
      <c r="D105" s="25">
        <v>3.9</v>
      </c>
      <c r="E105" s="25">
        <v>4</v>
      </c>
      <c r="F105" s="36">
        <v>-44</v>
      </c>
      <c r="G105" s="36">
        <v>-44</v>
      </c>
    </row>
    <row r="106" spans="1:12">
      <c r="A106" s="17">
        <v>366</v>
      </c>
      <c r="B106" s="2" t="s">
        <v>7</v>
      </c>
      <c r="D106" s="25">
        <v>2.2000000000000002</v>
      </c>
      <c r="E106" s="25">
        <v>2.2000000000000002</v>
      </c>
      <c r="F106" s="36">
        <v>0</v>
      </c>
      <c r="G106" s="36">
        <v>0</v>
      </c>
      <c r="I106" s="2" t="s">
        <v>68</v>
      </c>
    </row>
    <row r="107" spans="1:12">
      <c r="A107" s="17">
        <v>367</v>
      </c>
      <c r="B107" s="2" t="s">
        <v>8</v>
      </c>
      <c r="D107" s="25">
        <v>3.1</v>
      </c>
      <c r="E107" s="25">
        <v>3.3</v>
      </c>
      <c r="F107" s="36">
        <v>-31</v>
      </c>
      <c r="G107" s="36">
        <v>-31</v>
      </c>
      <c r="I107" s="2" t="s">
        <v>69</v>
      </c>
    </row>
    <row r="108" spans="1:12">
      <c r="A108" s="17">
        <v>368</v>
      </c>
      <c r="B108" s="2" t="s">
        <v>9</v>
      </c>
      <c r="D108" s="25">
        <v>2.9</v>
      </c>
      <c r="E108" s="25">
        <v>3.3</v>
      </c>
      <c r="F108" s="36">
        <v>-45</v>
      </c>
      <c r="G108" s="36">
        <v>-39</v>
      </c>
      <c r="I108" s="2" t="s">
        <v>70</v>
      </c>
    </row>
    <row r="109" spans="1:12">
      <c r="A109" s="17">
        <v>369</v>
      </c>
      <c r="B109" s="2" t="s">
        <v>10</v>
      </c>
      <c r="D109" s="25">
        <v>3.8</v>
      </c>
      <c r="E109" s="25">
        <v>4</v>
      </c>
      <c r="F109" s="36">
        <v>-80</v>
      </c>
      <c r="G109" s="36">
        <v>-32</v>
      </c>
      <c r="I109" s="2" t="s">
        <v>71</v>
      </c>
    </row>
    <row r="110" spans="1:12">
      <c r="A110" s="17">
        <v>370</v>
      </c>
      <c r="B110" s="2" t="s">
        <v>11</v>
      </c>
      <c r="D110" s="25">
        <v>5</v>
      </c>
      <c r="E110" s="25">
        <v>6</v>
      </c>
      <c r="F110" s="36">
        <v>-139</v>
      </c>
      <c r="G110" s="36">
        <v>-127</v>
      </c>
      <c r="I110" s="2" t="s">
        <v>72</v>
      </c>
    </row>
    <row r="111" spans="1:12">
      <c r="A111" s="28">
        <v>370</v>
      </c>
      <c r="B111" s="2" t="s">
        <v>63</v>
      </c>
      <c r="D111" s="25"/>
      <c r="E111" s="25">
        <v>7.5</v>
      </c>
      <c r="F111" s="36">
        <v>-12</v>
      </c>
      <c r="G111" s="36">
        <v>-12</v>
      </c>
      <c r="I111" s="2" t="s">
        <v>73</v>
      </c>
    </row>
    <row r="112" spans="1:12">
      <c r="A112" s="17">
        <v>371</v>
      </c>
      <c r="B112" s="2" t="s">
        <v>12</v>
      </c>
      <c r="D112" s="25">
        <v>5.4</v>
      </c>
      <c r="E112" s="25">
        <v>5.0999999999999996</v>
      </c>
      <c r="F112" s="36">
        <v>-66</v>
      </c>
      <c r="G112" s="36">
        <v>-54</v>
      </c>
    </row>
    <row r="113" spans="1:9">
      <c r="A113" s="17">
        <v>373</v>
      </c>
      <c r="B113" s="2" t="s">
        <v>13</v>
      </c>
      <c r="D113" s="25">
        <v>3.8</v>
      </c>
      <c r="E113" s="25">
        <v>4.5999999999999996</v>
      </c>
      <c r="F113" s="36">
        <v>-15</v>
      </c>
      <c r="G113" s="36">
        <v>-15</v>
      </c>
      <c r="I113" s="2" t="s">
        <v>74</v>
      </c>
    </row>
    <row r="114" spans="1:9" ht="15">
      <c r="A114" s="16"/>
      <c r="B114" s="7" t="s">
        <v>14</v>
      </c>
      <c r="D114" s="14"/>
      <c r="G114" s="7"/>
    </row>
    <row r="115" spans="1:9">
      <c r="A115" s="17"/>
      <c r="D115" s="8"/>
      <c r="E115" s="8"/>
    </row>
  </sheetData>
  <mergeCells count="15">
    <mergeCell ref="T4:V4"/>
    <mergeCell ref="T33:V33"/>
    <mergeCell ref="Q33:S33"/>
    <mergeCell ref="N33:P33"/>
    <mergeCell ref="A65:J65"/>
    <mergeCell ref="K33:M33"/>
    <mergeCell ref="H33:J33"/>
    <mergeCell ref="E33:G33"/>
    <mergeCell ref="N4:P4"/>
    <mergeCell ref="Q4:S4"/>
    <mergeCell ref="D2:K2"/>
    <mergeCell ref="D31:K31"/>
    <mergeCell ref="E4:G4"/>
    <mergeCell ref="H4:J4"/>
    <mergeCell ref="K4:M4"/>
  </mergeCells>
  <phoneticPr fontId="0" type="noConversion"/>
  <pageMargins left="1.25" right="1" top="1" bottom="0.75" header="0.5" footer="0.5"/>
  <pageSetup scale="55" fitToWidth="2" fitToHeight="2" pageOrder="overThenDown" orientation="landscape" horizontalDpi="300" verticalDpi="300" r:id="rId1"/>
  <headerFooter alignWithMargins="0">
    <oddFooter>&amp;L&amp;"Lucida Sans,Regular"&amp;10Welsh Group&amp;C&amp;"Lucida Sans,Regular"&amp;10Page &amp;P&amp;R&amp;"Lucida Sans,Regular"&amp;10June 26, 2015
Revised July 23, 2015</oddFooter>
  </headerFooter>
  <rowBreaks count="1" manualBreakCount="1">
    <brk id="63" max="16383" man="1"/>
  </rowBreaks>
  <colBreaks count="1" manualBreakCount="1">
    <brk id="1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opLeftCell="A16" zoomScaleNormal="100" workbookViewId="0">
      <pane xSplit="1" topLeftCell="K1" activePane="topRight" state="frozen"/>
      <selection activeCell="A19" sqref="A19"/>
      <selection pane="topRight" activeCell="P35" sqref="P35"/>
    </sheetView>
  </sheetViews>
  <sheetFormatPr defaultColWidth="9.140625" defaultRowHeight="14.25"/>
  <cols>
    <col min="1" max="1" width="9.28515625" style="2" bestFit="1" customWidth="1"/>
    <col min="2" max="3" width="9.140625" style="2"/>
    <col min="4" max="5" width="15" style="2" customWidth="1"/>
    <col min="6" max="6" width="15.42578125" style="2" customWidth="1"/>
    <col min="7" max="8" width="14.7109375" style="2" customWidth="1"/>
    <col min="9" max="9" width="15.42578125" style="2" bestFit="1" customWidth="1"/>
    <col min="10" max="10" width="14.5703125" style="2" customWidth="1"/>
    <col min="11" max="11" width="15.140625" style="2" customWidth="1"/>
    <col min="12" max="12" width="15" style="2" customWidth="1"/>
    <col min="13" max="13" width="15.28515625" style="2" customWidth="1"/>
    <col min="14" max="14" width="15.140625" style="2" customWidth="1"/>
    <col min="15" max="15" width="15.140625" style="2" bestFit="1" customWidth="1"/>
    <col min="16" max="16" width="16.28515625" style="2" customWidth="1"/>
    <col min="17" max="17" width="15.7109375" style="2" customWidth="1"/>
    <col min="18" max="18" width="16.140625" style="2" customWidth="1"/>
    <col min="19" max="19" width="15.85546875" style="2" customWidth="1"/>
    <col min="20" max="20" width="13.42578125" style="2" customWidth="1"/>
    <col min="21" max="21" width="14.42578125" style="2" customWidth="1"/>
    <col min="22" max="22" width="12.7109375" style="2" customWidth="1"/>
    <col min="23" max="24" width="13.85546875" style="2" customWidth="1"/>
    <col min="25" max="25" width="14.140625" style="2" customWidth="1"/>
    <col min="26" max="26" width="9.140625" style="2"/>
    <col min="27" max="27" width="12.85546875" style="2" customWidth="1"/>
    <col min="28" max="28" width="14.28515625" style="2" customWidth="1"/>
    <col min="29" max="29" width="14" style="2" customWidth="1"/>
    <col min="30" max="30" width="9.140625" style="2"/>
    <col min="31" max="31" width="13.28515625" style="2" customWidth="1"/>
    <col min="32" max="32" width="13.7109375" style="2" customWidth="1"/>
    <col min="33" max="33" width="15.42578125" style="2" customWidth="1"/>
    <col min="34" max="16384" width="9.140625" style="2"/>
  </cols>
  <sheetData>
    <row r="1" spans="1:26">
      <c r="A1" s="2" t="s">
        <v>36</v>
      </c>
    </row>
    <row r="2" spans="1:26" s="4" customFormat="1">
      <c r="E2" s="27">
        <v>2011</v>
      </c>
      <c r="F2" s="4">
        <v>2012</v>
      </c>
      <c r="G2" s="4">
        <v>2013</v>
      </c>
      <c r="H2" s="4">
        <v>2014</v>
      </c>
      <c r="I2" s="4" t="s">
        <v>27</v>
      </c>
      <c r="J2" s="4" t="s">
        <v>28</v>
      </c>
      <c r="K2" s="5" t="s">
        <v>53</v>
      </c>
      <c r="L2" s="2" t="s">
        <v>64</v>
      </c>
      <c r="M2" s="27">
        <v>2015</v>
      </c>
      <c r="N2" s="27">
        <v>2016</v>
      </c>
      <c r="O2" s="27">
        <v>2017</v>
      </c>
      <c r="P2" s="27">
        <v>2018</v>
      </c>
      <c r="Q2" s="27">
        <v>2019</v>
      </c>
      <c r="R2" s="27">
        <v>2020</v>
      </c>
      <c r="S2" s="2"/>
      <c r="T2" s="2"/>
      <c r="U2" s="27"/>
      <c r="V2" s="2"/>
      <c r="W2" s="2"/>
      <c r="X2" s="2"/>
      <c r="Z2" s="2"/>
    </row>
    <row r="3" spans="1:26">
      <c r="A3" s="2" t="s">
        <v>0</v>
      </c>
      <c r="K3" s="17" t="s">
        <v>54</v>
      </c>
    </row>
    <row r="4" spans="1:26">
      <c r="A4" s="8"/>
    </row>
    <row r="5" spans="1:26">
      <c r="A5" s="8" t="s">
        <v>15</v>
      </c>
      <c r="B5" s="2" t="s">
        <v>16</v>
      </c>
      <c r="E5" s="2">
        <v>458165</v>
      </c>
      <c r="F5" s="2">
        <v>1022909</v>
      </c>
      <c r="G5" s="2">
        <v>449234</v>
      </c>
      <c r="H5" s="2">
        <v>834936</v>
      </c>
      <c r="I5" s="2">
        <f>SUM(E5:H5)</f>
        <v>2765244</v>
      </c>
      <c r="J5" s="2">
        <f>+I5/4</f>
        <v>691311</v>
      </c>
      <c r="K5" s="2">
        <f>+(H5+G5+E5)/3</f>
        <v>580778.33333333337</v>
      </c>
      <c r="L5" s="12">
        <f t="shared" ref="L5:L10" si="0">+K5/K$22</f>
        <v>5.0460670529508485E-2</v>
      </c>
      <c r="M5" s="2">
        <f t="shared" ref="M5:R10" si="1">+$L5*M$24</f>
        <v>501290.88417392032</v>
      </c>
      <c r="N5" s="2">
        <f t="shared" si="1"/>
        <v>505527.81437493052</v>
      </c>
      <c r="O5" s="2">
        <f t="shared" si="1"/>
        <v>514168.85097841511</v>
      </c>
      <c r="P5" s="2">
        <f t="shared" si="1"/>
        <v>594965.9720235588</v>
      </c>
      <c r="Q5" s="2">
        <f t="shared" si="1"/>
        <v>553473.62600658939</v>
      </c>
      <c r="R5" s="2">
        <f t="shared" si="1"/>
        <v>686702.15906877152</v>
      </c>
    </row>
    <row r="6" spans="1:26">
      <c r="A6" s="8" t="s">
        <v>17</v>
      </c>
      <c r="B6" s="2" t="s">
        <v>18</v>
      </c>
      <c r="E6" s="2">
        <v>22591</v>
      </c>
      <c r="F6" s="2">
        <v>91882</v>
      </c>
      <c r="G6" s="2">
        <v>77652</v>
      </c>
      <c r="H6" s="2">
        <v>98607</v>
      </c>
      <c r="I6" s="2">
        <f t="shared" ref="I6:I21" si="2">SUM(E6:H6)</f>
        <v>290732</v>
      </c>
      <c r="J6" s="2">
        <f t="shared" ref="J6:J21" si="3">+I6/4</f>
        <v>72683</v>
      </c>
      <c r="K6" s="2">
        <f>+J6</f>
        <v>72683</v>
      </c>
      <c r="L6" s="12">
        <f t="shared" si="0"/>
        <v>6.3150305471041997E-3</v>
      </c>
      <c r="M6" s="2">
        <f t="shared" si="1"/>
        <v>62735.33849876123</v>
      </c>
      <c r="N6" s="2">
        <f t="shared" si="1"/>
        <v>63265.580038648841</v>
      </c>
      <c r="O6" s="2">
        <f t="shared" si="1"/>
        <v>64346.984814626601</v>
      </c>
      <c r="P6" s="2">
        <f t="shared" si="1"/>
        <v>74458.548576344372</v>
      </c>
      <c r="Q6" s="2">
        <f t="shared" si="1"/>
        <v>69265.882093346459</v>
      </c>
      <c r="R6" s="2">
        <f t="shared" si="1"/>
        <v>85939.109920185583</v>
      </c>
    </row>
    <row r="7" spans="1:26">
      <c r="A7" s="8" t="s">
        <v>19</v>
      </c>
      <c r="B7" s="2" t="s">
        <v>20</v>
      </c>
      <c r="E7" s="2">
        <v>-56700</v>
      </c>
      <c r="F7" s="2">
        <v>105338</v>
      </c>
      <c r="G7" s="2">
        <v>90267</v>
      </c>
      <c r="H7" s="2">
        <v>73799</v>
      </c>
      <c r="I7" s="2">
        <f t="shared" si="2"/>
        <v>212704</v>
      </c>
      <c r="J7" s="2">
        <f t="shared" si="3"/>
        <v>53176</v>
      </c>
      <c r="K7" s="2">
        <f>+(H7+G7+F7)/3</f>
        <v>89801.333333333328</v>
      </c>
      <c r="L7" s="12">
        <f t="shared" si="0"/>
        <v>7.8023494238086835E-3</v>
      </c>
      <c r="M7" s="2">
        <f t="shared" si="1"/>
        <v>77510.794055098944</v>
      </c>
      <c r="N7" s="2">
        <f t="shared" si="1"/>
        <v>78165.918324469036</v>
      </c>
      <c r="O7" s="2">
        <f t="shared" si="1"/>
        <v>79502.016046850316</v>
      </c>
      <c r="P7" s="2">
        <f t="shared" si="1"/>
        <v>91995.059920758533</v>
      </c>
      <c r="Q7" s="2">
        <f t="shared" si="1"/>
        <v>85579.414257693948</v>
      </c>
      <c r="R7" s="2">
        <f t="shared" si="1"/>
        <v>106179.52831215771</v>
      </c>
    </row>
    <row r="8" spans="1:26">
      <c r="A8" s="8" t="s">
        <v>21</v>
      </c>
      <c r="B8" s="2" t="s">
        <v>22</v>
      </c>
      <c r="E8" s="2">
        <v>56700</v>
      </c>
      <c r="F8" s="2">
        <v>0</v>
      </c>
      <c r="G8" s="2">
        <v>0</v>
      </c>
      <c r="I8" s="2">
        <f t="shared" si="2"/>
        <v>56700</v>
      </c>
      <c r="J8" s="2">
        <f t="shared" si="3"/>
        <v>14175</v>
      </c>
      <c r="K8" s="2">
        <v>0</v>
      </c>
      <c r="L8" s="12">
        <f t="shared" si="0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</row>
    <row r="9" spans="1:26">
      <c r="A9" s="33">
        <v>362.3</v>
      </c>
      <c r="B9" s="2" t="s">
        <v>62</v>
      </c>
      <c r="E9" s="2">
        <v>9033</v>
      </c>
      <c r="G9" s="2">
        <v>42563</v>
      </c>
      <c r="I9" s="2">
        <f t="shared" si="2"/>
        <v>51596</v>
      </c>
      <c r="J9" s="2">
        <f t="shared" si="3"/>
        <v>12899</v>
      </c>
      <c r="K9" s="2">
        <v>0</v>
      </c>
      <c r="L9" s="12">
        <f t="shared" si="0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0</v>
      </c>
      <c r="R9" s="2">
        <f t="shared" si="1"/>
        <v>0</v>
      </c>
    </row>
    <row r="10" spans="1:26">
      <c r="A10" s="8" t="s">
        <v>23</v>
      </c>
      <c r="B10" s="2" t="s">
        <v>24</v>
      </c>
      <c r="E10" s="2">
        <v>-9033</v>
      </c>
      <c r="F10" s="2">
        <v>0</v>
      </c>
      <c r="G10" s="2">
        <v>0</v>
      </c>
      <c r="H10" s="2">
        <v>0</v>
      </c>
      <c r="I10" s="2">
        <f t="shared" si="2"/>
        <v>-9033</v>
      </c>
      <c r="J10" s="2">
        <f t="shared" si="3"/>
        <v>-2258.25</v>
      </c>
      <c r="K10" s="2">
        <v>0</v>
      </c>
      <c r="L10" s="12">
        <f t="shared" si="0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</row>
    <row r="11" spans="1:26">
      <c r="A11" s="8"/>
      <c r="B11" s="2" t="s">
        <v>26</v>
      </c>
      <c r="E11" s="2">
        <f>SUM(E5:E10)</f>
        <v>480756</v>
      </c>
      <c r="F11" s="2">
        <f>SUM(F5:F10)</f>
        <v>1220129</v>
      </c>
      <c r="G11" s="2">
        <f t="shared" ref="G11:K11" si="4">SUM(G5:G10)</f>
        <v>659716</v>
      </c>
      <c r="H11" s="2">
        <f t="shared" si="4"/>
        <v>1007342</v>
      </c>
      <c r="I11" s="2">
        <f t="shared" si="2"/>
        <v>3367943</v>
      </c>
      <c r="J11" s="2">
        <f t="shared" si="3"/>
        <v>841985.75</v>
      </c>
      <c r="K11" s="2">
        <f t="shared" si="4"/>
        <v>743262.66666666674</v>
      </c>
      <c r="L11" s="12"/>
    </row>
    <row r="12" spans="1:26">
      <c r="A12" s="8">
        <v>364</v>
      </c>
      <c r="B12" s="2" t="s">
        <v>5</v>
      </c>
      <c r="E12" s="2">
        <v>2829071</v>
      </c>
      <c r="F12" s="2">
        <v>4615259</v>
      </c>
      <c r="G12" s="2">
        <v>3351473</v>
      </c>
      <c r="H12" s="2">
        <v>3328388</v>
      </c>
      <c r="I12" s="2">
        <f t="shared" si="2"/>
        <v>14124191</v>
      </c>
      <c r="J12" s="2">
        <f t="shared" si="3"/>
        <v>3531047.75</v>
      </c>
      <c r="K12" s="2">
        <f>+J12</f>
        <v>3531047.75</v>
      </c>
      <c r="L12" s="12">
        <f t="shared" ref="L12:L21" si="5">+K12/K$22</f>
        <v>0.30679353362593115</v>
      </c>
      <c r="M12" s="2">
        <f t="shared" ref="M12:R18" si="6">+$L12*M$24</f>
        <v>3047775.6263712179</v>
      </c>
      <c r="N12" s="2">
        <f t="shared" si="6"/>
        <v>3073535.5454221191</v>
      </c>
      <c r="O12" s="2">
        <f t="shared" si="6"/>
        <v>3126071.7905008243</v>
      </c>
      <c r="P12" s="2">
        <f t="shared" si="6"/>
        <v>3617306.5286073294</v>
      </c>
      <c r="Q12" s="2">
        <f t="shared" si="6"/>
        <v>3365039.1029192014</v>
      </c>
      <c r="R12" s="2">
        <f t="shared" si="6"/>
        <v>4175049.1961073978</v>
      </c>
    </row>
    <row r="13" spans="1:26">
      <c r="A13" s="8">
        <v>365</v>
      </c>
      <c r="B13" s="2" t="s">
        <v>6</v>
      </c>
      <c r="E13" s="2">
        <v>2299795</v>
      </c>
      <c r="F13" s="2">
        <v>3565565</v>
      </c>
      <c r="G13" s="2">
        <v>2800545</v>
      </c>
      <c r="H13" s="2">
        <v>1936723</v>
      </c>
      <c r="I13" s="2">
        <f t="shared" si="2"/>
        <v>10602628</v>
      </c>
      <c r="J13" s="2">
        <f t="shared" si="3"/>
        <v>2650657</v>
      </c>
      <c r="K13" s="2">
        <f>+J13</f>
        <v>2650657</v>
      </c>
      <c r="L13" s="12">
        <f t="shared" si="5"/>
        <v>0.23030116980443263</v>
      </c>
      <c r="M13" s="2">
        <f t="shared" si="6"/>
        <v>2287878.3778753071</v>
      </c>
      <c r="N13" s="2">
        <f t="shared" si="6"/>
        <v>2307215.6155979363</v>
      </c>
      <c r="O13" s="2">
        <f t="shared" si="6"/>
        <v>2346653.0788187571</v>
      </c>
      <c r="P13" s="2">
        <f t="shared" si="6"/>
        <v>2715409.0088979164</v>
      </c>
      <c r="Q13" s="2">
        <f t="shared" si="6"/>
        <v>2526039.0357016558</v>
      </c>
      <c r="R13" s="2">
        <f t="shared" si="6"/>
        <v>3134090.54777196</v>
      </c>
    </row>
    <row r="14" spans="1:26">
      <c r="A14" s="8">
        <v>366</v>
      </c>
      <c r="B14" s="2" t="s">
        <v>7</v>
      </c>
      <c r="I14" s="2">
        <f t="shared" si="2"/>
        <v>0</v>
      </c>
      <c r="J14" s="2">
        <f t="shared" si="3"/>
        <v>0</v>
      </c>
      <c r="L14" s="12">
        <f t="shared" si="5"/>
        <v>0</v>
      </c>
      <c r="M14" s="2">
        <f t="shared" si="6"/>
        <v>0</v>
      </c>
      <c r="N14" s="2">
        <f t="shared" si="6"/>
        <v>0</v>
      </c>
      <c r="O14" s="2">
        <f t="shared" si="6"/>
        <v>0</v>
      </c>
      <c r="P14" s="2">
        <f t="shared" si="6"/>
        <v>0</v>
      </c>
      <c r="Q14" s="2">
        <f t="shared" si="6"/>
        <v>0</v>
      </c>
      <c r="R14" s="2">
        <f t="shared" si="6"/>
        <v>0</v>
      </c>
    </row>
    <row r="15" spans="1:26">
      <c r="A15" s="8">
        <v>367</v>
      </c>
      <c r="B15" s="2" t="s">
        <v>8</v>
      </c>
      <c r="E15" s="2">
        <v>808167</v>
      </c>
      <c r="F15" s="2">
        <v>868953</v>
      </c>
      <c r="G15" s="2">
        <v>830432</v>
      </c>
      <c r="H15" s="2">
        <v>1079908</v>
      </c>
      <c r="I15" s="2">
        <f t="shared" si="2"/>
        <v>3587460</v>
      </c>
      <c r="J15" s="2">
        <f t="shared" si="3"/>
        <v>896865</v>
      </c>
      <c r="K15" s="2">
        <f>+(G15+F15+E15)/3</f>
        <v>835850.66666666663</v>
      </c>
      <c r="L15" s="12">
        <f t="shared" si="5"/>
        <v>7.2622518234214464E-2</v>
      </c>
      <c r="M15" s="2">
        <f t="shared" si="6"/>
        <v>721453.08404645615</v>
      </c>
      <c r="N15" s="2">
        <f t="shared" si="6"/>
        <v>727550.83378999203</v>
      </c>
      <c r="O15" s="2">
        <f t="shared" si="6"/>
        <v>739986.93167997361</v>
      </c>
      <c r="P15" s="2">
        <f t="shared" si="6"/>
        <v>856269.38165141549</v>
      </c>
      <c r="Q15" s="2">
        <f t="shared" si="6"/>
        <v>796553.99096044968</v>
      </c>
      <c r="R15" s="2">
        <f t="shared" si="6"/>
        <v>988295.23161574325</v>
      </c>
    </row>
    <row r="16" spans="1:26">
      <c r="A16" s="8">
        <v>368</v>
      </c>
      <c r="B16" s="2" t="s">
        <v>9</v>
      </c>
      <c r="E16" s="2">
        <v>1524996</v>
      </c>
      <c r="F16" s="2">
        <v>1999382</v>
      </c>
      <c r="G16" s="2">
        <v>1931494</v>
      </c>
      <c r="H16" s="2">
        <v>1722694</v>
      </c>
      <c r="I16" s="2">
        <f t="shared" si="2"/>
        <v>7178566</v>
      </c>
      <c r="J16" s="2">
        <f t="shared" si="3"/>
        <v>1794641.5</v>
      </c>
      <c r="K16" s="2">
        <f>+(H16+G16+F16)/3</f>
        <v>1884523.3333333333</v>
      </c>
      <c r="L16" s="12">
        <f t="shared" si="5"/>
        <v>0.16373598250939875</v>
      </c>
      <c r="M16" s="2">
        <f t="shared" si="6"/>
        <v>1626600.5699473124</v>
      </c>
      <c r="N16" s="2">
        <f t="shared" si="6"/>
        <v>1640348.6617187141</v>
      </c>
      <c r="O16" s="2">
        <f t="shared" si="6"/>
        <v>1668387.302571571</v>
      </c>
      <c r="P16" s="2">
        <f t="shared" si="6"/>
        <v>1930559.7204057951</v>
      </c>
      <c r="Q16" s="2">
        <f t="shared" si="6"/>
        <v>1795924.3703318094</v>
      </c>
      <c r="R16" s="2">
        <f t="shared" si="6"/>
        <v>2228227.4794723368</v>
      </c>
    </row>
    <row r="17" spans="1:26">
      <c r="A17" s="8">
        <v>369</v>
      </c>
      <c r="B17" s="2" t="s">
        <v>10</v>
      </c>
      <c r="E17" s="2">
        <v>1228735</v>
      </c>
      <c r="F17" s="2">
        <v>1258303</v>
      </c>
      <c r="G17" s="2">
        <v>1099395</v>
      </c>
      <c r="H17" s="2">
        <v>1379248</v>
      </c>
      <c r="I17" s="2">
        <f t="shared" si="2"/>
        <v>4965681</v>
      </c>
      <c r="J17" s="2">
        <f t="shared" si="3"/>
        <v>1241420.25</v>
      </c>
      <c r="K17" s="2">
        <f>+J17</f>
        <v>1241420.25</v>
      </c>
      <c r="L17" s="12">
        <f t="shared" si="5"/>
        <v>0.10786025343675594</v>
      </c>
      <c r="M17" s="2">
        <f t="shared" si="6"/>
        <v>1071514.9292539768</v>
      </c>
      <c r="N17" s="2">
        <f t="shared" si="6"/>
        <v>1080571.415433794</v>
      </c>
      <c r="O17" s="2">
        <f t="shared" si="6"/>
        <v>1099041.7288130643</v>
      </c>
      <c r="P17" s="2">
        <f t="shared" si="6"/>
        <v>1271746.4880134636</v>
      </c>
      <c r="Q17" s="2">
        <f t="shared" si="6"/>
        <v>1183056.1295597688</v>
      </c>
      <c r="R17" s="2">
        <f t="shared" si="6"/>
        <v>1467833.6243948964</v>
      </c>
    </row>
    <row r="18" spans="1:26">
      <c r="A18" s="8">
        <v>370</v>
      </c>
      <c r="B18" s="2" t="s">
        <v>11</v>
      </c>
      <c r="E18" s="2">
        <v>203022</v>
      </c>
      <c r="F18" s="2">
        <v>226419</v>
      </c>
      <c r="G18" s="2">
        <v>361021</v>
      </c>
      <c r="H18" s="2">
        <v>109555</v>
      </c>
      <c r="I18" s="2">
        <f t="shared" si="2"/>
        <v>900017</v>
      </c>
      <c r="J18" s="2">
        <f t="shared" si="3"/>
        <v>225004.25</v>
      </c>
      <c r="K18" s="2">
        <f>+J18*0.28</f>
        <v>63001.19000000001</v>
      </c>
      <c r="L18" s="12">
        <f t="shared" si="5"/>
        <v>5.4738307355766229E-3</v>
      </c>
      <c r="M18" s="2">
        <f t="shared" si="6"/>
        <v>54378.616464300751</v>
      </c>
      <c r="N18" s="2">
        <f t="shared" si="6"/>
        <v>54838.226662013447</v>
      </c>
      <c r="O18" s="2">
        <f t="shared" si="6"/>
        <v>55775.581858665792</v>
      </c>
      <c r="P18" s="2">
        <f t="shared" si="6"/>
        <v>64540.224894163723</v>
      </c>
      <c r="Q18" s="2">
        <f t="shared" si="6"/>
        <v>60039.252621390398</v>
      </c>
      <c r="R18" s="2">
        <f t="shared" si="6"/>
        <v>74491.506851842903</v>
      </c>
    </row>
    <row r="19" spans="1:26">
      <c r="A19" s="28">
        <v>370</v>
      </c>
      <c r="B19" s="2" t="s">
        <v>63</v>
      </c>
      <c r="I19" s="2">
        <f t="shared" si="2"/>
        <v>0</v>
      </c>
      <c r="J19" s="2">
        <f t="shared" si="3"/>
        <v>0</v>
      </c>
      <c r="K19" s="2">
        <f>10000000*0.025</f>
        <v>250000</v>
      </c>
      <c r="L19" s="12">
        <f t="shared" si="5"/>
        <v>2.1721140249797748E-2</v>
      </c>
      <c r="M19" s="2">
        <v>4000000</v>
      </c>
      <c r="N19" s="2">
        <v>6000000</v>
      </c>
      <c r="O19" s="2">
        <f t="shared" ref="O19:R21" si="7">+$L19*O$24</f>
        <v>221327.4934118934</v>
      </c>
      <c r="P19" s="2">
        <f t="shared" si="7"/>
        <v>256107.16596846707</v>
      </c>
      <c r="Q19" s="2">
        <f t="shared" si="7"/>
        <v>238246.50225412563</v>
      </c>
      <c r="R19" s="2">
        <f t="shared" si="7"/>
        <v>295595.63419295289</v>
      </c>
    </row>
    <row r="20" spans="1:26">
      <c r="A20" s="8">
        <v>371</v>
      </c>
      <c r="B20" s="2" t="s">
        <v>12</v>
      </c>
      <c r="E20" s="2">
        <v>249052</v>
      </c>
      <c r="F20" s="2">
        <v>292010</v>
      </c>
      <c r="G20" s="2">
        <v>297139</v>
      </c>
      <c r="H20" s="2">
        <v>453737</v>
      </c>
      <c r="I20" s="2">
        <f t="shared" si="2"/>
        <v>1291938</v>
      </c>
      <c r="J20" s="2">
        <f t="shared" si="3"/>
        <v>322984.5</v>
      </c>
      <c r="K20" s="2">
        <f>+(G20+F20+E20)/3</f>
        <v>279400.33333333331</v>
      </c>
      <c r="L20" s="12">
        <f t="shared" si="5"/>
        <v>2.4275575304694298E-2</v>
      </c>
      <c r="M20" s="2">
        <f>+$L20*M$24</f>
        <v>241160.58071809623</v>
      </c>
      <c r="N20" s="2">
        <f>+$L20*N$24</f>
        <v>243198.87939855488</v>
      </c>
      <c r="O20" s="2">
        <f t="shared" si="7"/>
        <v>247355.90174045664</v>
      </c>
      <c r="P20" s="2">
        <f t="shared" si="7"/>
        <v>286225.71016258013</v>
      </c>
      <c r="Q20" s="2">
        <f t="shared" si="7"/>
        <v>266264.6085812138</v>
      </c>
      <c r="R20" s="2">
        <f t="shared" si="7"/>
        <v>330358.07490155642</v>
      </c>
    </row>
    <row r="21" spans="1:26">
      <c r="A21" s="8">
        <v>373</v>
      </c>
      <c r="B21" s="2" t="s">
        <v>13</v>
      </c>
      <c r="E21" s="2">
        <v>10887</v>
      </c>
      <c r="F21" s="2">
        <v>56617</v>
      </c>
      <c r="G21" s="2">
        <v>29581</v>
      </c>
      <c r="H21" s="2">
        <v>24361</v>
      </c>
      <c r="I21" s="2">
        <f t="shared" si="2"/>
        <v>121446</v>
      </c>
      <c r="J21" s="2">
        <f t="shared" si="3"/>
        <v>30361.5</v>
      </c>
      <c r="K21" s="2">
        <f>+J21</f>
        <v>30361.5</v>
      </c>
      <c r="L21" s="12">
        <f t="shared" si="5"/>
        <v>2.6379455987769374E-3</v>
      </c>
      <c r="M21" s="2">
        <f>+$L21*M$24</f>
        <v>26206.113944528141</v>
      </c>
      <c r="N21" s="2">
        <f>+$L21*N$24</f>
        <v>26427.609046729449</v>
      </c>
      <c r="O21" s="2">
        <f t="shared" si="7"/>
        <v>26879.338764900807</v>
      </c>
      <c r="P21" s="2">
        <f t="shared" si="7"/>
        <v>31103.190878206453</v>
      </c>
      <c r="Q21" s="2">
        <f t="shared" si="7"/>
        <v>28934.084712754538</v>
      </c>
      <c r="R21" s="2">
        <f t="shared" si="7"/>
        <v>35898.907390197353</v>
      </c>
    </row>
    <row r="22" spans="1:26" ht="15">
      <c r="A22" s="1"/>
      <c r="B22" s="7" t="s">
        <v>14</v>
      </c>
      <c r="C22" s="7"/>
      <c r="D22" s="7"/>
      <c r="E22" s="7">
        <f t="shared" ref="E22:K22" si="8">SUM(E11:E21)</f>
        <v>9634481</v>
      </c>
      <c r="F22" s="7">
        <f t="shared" si="8"/>
        <v>14102637</v>
      </c>
      <c r="G22" s="7">
        <f t="shared" si="8"/>
        <v>11360796</v>
      </c>
      <c r="H22" s="7">
        <f t="shared" si="8"/>
        <v>11041956</v>
      </c>
      <c r="I22" s="7">
        <f t="shared" si="8"/>
        <v>46139870</v>
      </c>
      <c r="J22" s="7">
        <f t="shared" si="8"/>
        <v>11534967.5</v>
      </c>
      <c r="K22" s="7">
        <f t="shared" si="8"/>
        <v>11509524.690000001</v>
      </c>
      <c r="L22" s="35">
        <f t="shared" ref="L22:R22" si="9">SUM(L5:L21)</f>
        <v>1</v>
      </c>
      <c r="M22" s="7">
        <f t="shared" si="9"/>
        <v>13718504.915348977</v>
      </c>
      <c r="N22" s="7">
        <f t="shared" si="9"/>
        <v>15800646.099807901</v>
      </c>
      <c r="O22" s="7">
        <f t="shared" si="9"/>
        <v>10189496.999999996</v>
      </c>
      <c r="P22" s="7">
        <f t="shared" si="9"/>
        <v>11790686.999999998</v>
      </c>
      <c r="Q22" s="7">
        <f t="shared" si="9"/>
        <v>10968415.999999998</v>
      </c>
      <c r="R22" s="7">
        <f t="shared" si="9"/>
        <v>13608661</v>
      </c>
      <c r="S22" s="7"/>
      <c r="T22" s="7"/>
      <c r="V22" s="7"/>
      <c r="W22" s="7"/>
      <c r="X22" s="7"/>
      <c r="Z22" s="7"/>
    </row>
    <row r="23" spans="1:26" ht="15">
      <c r="A23" s="2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V23" s="7"/>
      <c r="W23" s="7"/>
      <c r="X23" s="7"/>
      <c r="Z23" s="7"/>
    </row>
    <row r="24" spans="1:26" ht="15">
      <c r="A24" s="29"/>
      <c r="B24" s="7"/>
      <c r="C24" s="7"/>
      <c r="D24" s="7"/>
      <c r="E24" s="7"/>
      <c r="F24" s="7"/>
      <c r="G24" s="7"/>
      <c r="H24" s="7"/>
      <c r="I24" s="7"/>
      <c r="J24" s="7"/>
      <c r="K24" s="7"/>
      <c r="L24" s="34" t="s">
        <v>65</v>
      </c>
      <c r="M24" s="7">
        <v>9934289</v>
      </c>
      <c r="N24" s="7">
        <v>10018254</v>
      </c>
      <c r="O24" s="7">
        <v>10189497</v>
      </c>
      <c r="P24" s="7">
        <f>+P25-3000000</f>
        <v>11790687</v>
      </c>
      <c r="Q24" s="7">
        <v>10968416</v>
      </c>
      <c r="R24" s="7">
        <v>13608661</v>
      </c>
      <c r="S24" s="7"/>
      <c r="T24" s="7"/>
      <c r="V24" s="7"/>
      <c r="W24" s="7"/>
      <c r="X24" s="7"/>
      <c r="Z24" s="7"/>
    </row>
    <row r="25" spans="1:26" ht="15">
      <c r="A25" s="2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14790687</v>
      </c>
      <c r="Q25" s="7"/>
      <c r="R25" s="7"/>
      <c r="S25" s="7"/>
      <c r="T25" s="7"/>
      <c r="V25" s="7"/>
      <c r="W25" s="7"/>
      <c r="X25" s="7"/>
      <c r="Z25" s="7"/>
    </row>
    <row r="26" spans="1:26" ht="15">
      <c r="A26" s="8"/>
      <c r="G26" s="7"/>
    </row>
    <row r="27" spans="1:26" ht="15">
      <c r="A27" s="7" t="s">
        <v>1</v>
      </c>
      <c r="K27" s="8" t="s">
        <v>75</v>
      </c>
      <c r="L27" s="8" t="s">
        <v>35</v>
      </c>
      <c r="M27" s="2" t="s">
        <v>66</v>
      </c>
      <c r="N27" s="28" t="s">
        <v>67</v>
      </c>
    </row>
    <row r="28" spans="1:26">
      <c r="A28" s="8"/>
      <c r="G28" s="24"/>
      <c r="P28" s="2" t="s">
        <v>76</v>
      </c>
    </row>
    <row r="29" spans="1:26">
      <c r="A29" s="8" t="s">
        <v>15</v>
      </c>
      <c r="B29" s="2" t="s">
        <v>16</v>
      </c>
      <c r="E29" s="2">
        <v>263751</v>
      </c>
      <c r="F29" s="2">
        <v>289222</v>
      </c>
      <c r="G29" s="2">
        <v>327031</v>
      </c>
      <c r="H29" s="2">
        <v>322076</v>
      </c>
      <c r="I29" s="2">
        <f>SUM(E29:H29)</f>
        <v>1202080</v>
      </c>
      <c r="J29" s="2">
        <f>+I29/4</f>
        <v>300520</v>
      </c>
      <c r="K29" s="2">
        <f>+'Five Year Forcast'!D7</f>
        <v>20879766</v>
      </c>
      <c r="L29" s="10">
        <f>+J29/K29</f>
        <v>1.439288160604865E-2</v>
      </c>
      <c r="M29" s="10">
        <v>1.7999999999999999E-2</v>
      </c>
      <c r="N29" s="10">
        <v>1.7999999999999999E-2</v>
      </c>
    </row>
    <row r="30" spans="1:26">
      <c r="A30" s="8" t="s">
        <v>17</v>
      </c>
      <c r="B30" s="2" t="s">
        <v>18</v>
      </c>
      <c r="E30" s="2">
        <v>6363</v>
      </c>
      <c r="F30" s="2">
        <v>33650</v>
      </c>
      <c r="G30" s="2">
        <v>66199</v>
      </c>
      <c r="H30" s="2">
        <v>104848</v>
      </c>
      <c r="I30" s="2">
        <f t="shared" ref="I30:I45" si="10">SUM(E30:H30)</f>
        <v>211060</v>
      </c>
      <c r="J30" s="2">
        <f t="shared" ref="J30:J45" si="11">+I30/4</f>
        <v>52765</v>
      </c>
      <c r="K30" s="2">
        <f>+'Five Year Forcast'!D8</f>
        <v>1704880</v>
      </c>
      <c r="L30" s="10">
        <f t="shared" ref="L30:L46" si="12">+J30/K30</f>
        <v>3.0949392332598188E-2</v>
      </c>
      <c r="M30" s="10"/>
      <c r="N30" s="10">
        <v>0.03</v>
      </c>
      <c r="P30" s="2" t="s">
        <v>77</v>
      </c>
      <c r="R30" s="2">
        <v>4409844</v>
      </c>
    </row>
    <row r="31" spans="1:26">
      <c r="A31" s="8" t="s">
        <v>19</v>
      </c>
      <c r="B31" s="2" t="s">
        <v>20</v>
      </c>
      <c r="F31" s="2">
        <v>690063</v>
      </c>
      <c r="G31" s="2">
        <v>41117</v>
      </c>
      <c r="I31" s="2">
        <f t="shared" si="10"/>
        <v>731180</v>
      </c>
      <c r="J31" s="2">
        <f t="shared" si="11"/>
        <v>182795</v>
      </c>
      <c r="K31" s="2">
        <f>+'Five Year Forcast'!D9</f>
        <v>481561</v>
      </c>
      <c r="L31" s="10">
        <f t="shared" si="12"/>
        <v>0.37958846335147572</v>
      </c>
      <c r="M31" s="10"/>
      <c r="N31" s="10">
        <v>0.02</v>
      </c>
      <c r="P31" s="2" t="s">
        <v>78</v>
      </c>
      <c r="R31" s="2">
        <v>157901</v>
      </c>
    </row>
    <row r="32" spans="1:26">
      <c r="A32" s="8" t="s">
        <v>21</v>
      </c>
      <c r="B32" s="2" t="s">
        <v>22</v>
      </c>
      <c r="G32" s="2">
        <v>0</v>
      </c>
      <c r="I32" s="2">
        <f t="shared" si="10"/>
        <v>0</v>
      </c>
      <c r="J32" s="2">
        <f t="shared" si="11"/>
        <v>0</v>
      </c>
      <c r="K32" s="2">
        <f>+'Five Year Forcast'!D10</f>
        <v>1411547</v>
      </c>
      <c r="L32" s="10">
        <f t="shared" si="12"/>
        <v>0</v>
      </c>
      <c r="M32" s="10"/>
      <c r="N32" s="10">
        <f>+N31</f>
        <v>0.02</v>
      </c>
      <c r="P32" s="2" t="s">
        <v>79</v>
      </c>
      <c r="R32" s="2">
        <v>1670541</v>
      </c>
    </row>
    <row r="33" spans="1:18">
      <c r="A33" s="33">
        <v>362.3</v>
      </c>
      <c r="B33" s="2" t="s">
        <v>62</v>
      </c>
      <c r="I33" s="2">
        <f t="shared" si="10"/>
        <v>0</v>
      </c>
      <c r="J33" s="2">
        <f t="shared" si="11"/>
        <v>0</v>
      </c>
      <c r="K33" s="2">
        <f>+'Five Year Forcast'!D11</f>
        <v>51597</v>
      </c>
      <c r="L33" s="10"/>
      <c r="M33" s="10"/>
      <c r="N33" s="10">
        <f t="shared" ref="N33:N34" si="13">+N32</f>
        <v>0.02</v>
      </c>
    </row>
    <row r="34" spans="1:18">
      <c r="A34" s="8" t="s">
        <v>23</v>
      </c>
      <c r="B34" s="2" t="s">
        <v>24</v>
      </c>
      <c r="G34" s="2">
        <v>0</v>
      </c>
      <c r="I34" s="2">
        <f t="shared" si="10"/>
        <v>0</v>
      </c>
      <c r="J34" s="2">
        <f t="shared" si="11"/>
        <v>0</v>
      </c>
      <c r="K34" s="2">
        <f>+'Five Year Forcast'!D12</f>
        <v>910479</v>
      </c>
      <c r="L34" s="10">
        <f t="shared" si="12"/>
        <v>0</v>
      </c>
      <c r="M34" s="10"/>
      <c r="N34" s="10">
        <f t="shared" si="13"/>
        <v>0.02</v>
      </c>
      <c r="P34" s="2" t="s">
        <v>80</v>
      </c>
    </row>
    <row r="35" spans="1:18">
      <c r="A35" s="8"/>
      <c r="B35" s="2" t="s">
        <v>26</v>
      </c>
      <c r="E35" s="2">
        <f>SUM(E29:E34)</f>
        <v>270114</v>
      </c>
      <c r="F35" s="2">
        <f>SUM(F29:F34)</f>
        <v>1012935</v>
      </c>
      <c r="G35" s="2">
        <f>SUM(G29:G34)</f>
        <v>434347</v>
      </c>
      <c r="H35" s="2">
        <f>SUM(H29:H34)</f>
        <v>426924</v>
      </c>
      <c r="I35" s="2">
        <f t="shared" si="10"/>
        <v>2144320</v>
      </c>
      <c r="J35" s="2">
        <f t="shared" si="11"/>
        <v>536080</v>
      </c>
      <c r="K35" s="2">
        <f>+'Five Year Forcast'!D13</f>
        <v>25439830</v>
      </c>
      <c r="L35" s="10">
        <f t="shared" si="12"/>
        <v>2.1072467858472325E-2</v>
      </c>
      <c r="M35" s="10">
        <v>1.7999999999999999E-2</v>
      </c>
      <c r="N35" s="10">
        <v>0.02</v>
      </c>
    </row>
    <row r="36" spans="1:18">
      <c r="A36" s="8">
        <v>364</v>
      </c>
      <c r="B36" s="2" t="s">
        <v>5</v>
      </c>
      <c r="E36" s="2">
        <v>337845</v>
      </c>
      <c r="F36" s="2">
        <v>510662</v>
      </c>
      <c r="G36" s="2">
        <v>414730</v>
      </c>
      <c r="H36" s="2">
        <v>415694</v>
      </c>
      <c r="I36" s="2">
        <f t="shared" si="10"/>
        <v>1678931</v>
      </c>
      <c r="J36" s="2">
        <f t="shared" si="11"/>
        <v>419732.75</v>
      </c>
      <c r="K36" s="2">
        <f>+'Five Year Forcast'!D14</f>
        <v>83457287</v>
      </c>
      <c r="L36" s="10">
        <f t="shared" si="12"/>
        <v>5.0293121797740682E-3</v>
      </c>
      <c r="M36" s="10">
        <v>8.0000000000000002E-3</v>
      </c>
      <c r="N36" s="10">
        <v>8.0000000000000002E-3</v>
      </c>
    </row>
    <row r="37" spans="1:18">
      <c r="A37" s="8">
        <v>365</v>
      </c>
      <c r="B37" s="2" t="s">
        <v>6</v>
      </c>
      <c r="E37" s="2">
        <v>417912</v>
      </c>
      <c r="F37" s="2">
        <v>873045</v>
      </c>
      <c r="G37" s="2">
        <v>599648</v>
      </c>
      <c r="H37" s="2">
        <v>296189</v>
      </c>
      <c r="I37" s="2">
        <f t="shared" si="10"/>
        <v>2186794</v>
      </c>
      <c r="J37" s="2">
        <f t="shared" si="11"/>
        <v>546698.5</v>
      </c>
      <c r="K37" s="2">
        <f>+'Five Year Forcast'!D15</f>
        <v>58196025</v>
      </c>
      <c r="L37" s="10">
        <f t="shared" si="12"/>
        <v>9.3940866236138978E-3</v>
      </c>
      <c r="M37" s="10">
        <v>8.0000000000000002E-3</v>
      </c>
      <c r="N37" s="10">
        <v>0.01</v>
      </c>
      <c r="P37" s="2" t="s">
        <v>81</v>
      </c>
    </row>
    <row r="38" spans="1:18">
      <c r="A38" s="8">
        <v>366</v>
      </c>
      <c r="B38" s="2" t="s">
        <v>7</v>
      </c>
      <c r="I38" s="2">
        <f t="shared" si="10"/>
        <v>0</v>
      </c>
      <c r="J38" s="2">
        <f t="shared" si="11"/>
        <v>0</v>
      </c>
      <c r="K38" s="2">
        <f>+'Five Year Forcast'!D16</f>
        <v>14666</v>
      </c>
      <c r="L38" s="10">
        <v>0</v>
      </c>
      <c r="M38" s="10">
        <v>0</v>
      </c>
      <c r="N38" s="10">
        <v>0</v>
      </c>
    </row>
    <row r="39" spans="1:18">
      <c r="A39" s="8">
        <v>367</v>
      </c>
      <c r="B39" s="2" t="s">
        <v>8</v>
      </c>
      <c r="E39" s="2">
        <v>30525</v>
      </c>
      <c r="F39" s="2">
        <v>61153</v>
      </c>
      <c r="G39" s="2">
        <v>29501</v>
      </c>
      <c r="H39" s="2">
        <v>31725</v>
      </c>
      <c r="I39" s="2">
        <f t="shared" si="10"/>
        <v>152904</v>
      </c>
      <c r="J39" s="2">
        <f t="shared" si="11"/>
        <v>38226</v>
      </c>
      <c r="K39" s="2">
        <f>+'Five Year Forcast'!D17</f>
        <v>17495586</v>
      </c>
      <c r="L39" s="10">
        <f t="shared" si="12"/>
        <v>2.1848939498225438E-3</v>
      </c>
      <c r="M39" s="10">
        <v>3.0000000000000001E-3</v>
      </c>
      <c r="N39" s="10">
        <v>3.0000000000000001E-3</v>
      </c>
      <c r="P39" s="2" t="s">
        <v>82</v>
      </c>
      <c r="R39" s="2">
        <v>580354</v>
      </c>
    </row>
    <row r="40" spans="1:18">
      <c r="A40" s="8">
        <v>368</v>
      </c>
      <c r="B40" s="2" t="s">
        <v>9</v>
      </c>
      <c r="E40" s="2">
        <v>331761</v>
      </c>
      <c r="F40" s="2">
        <v>330962</v>
      </c>
      <c r="G40" s="2">
        <v>245547</v>
      </c>
      <c r="H40" s="2">
        <v>176207</v>
      </c>
      <c r="I40" s="2">
        <f t="shared" si="10"/>
        <v>1084477</v>
      </c>
      <c r="J40" s="2">
        <f t="shared" si="11"/>
        <v>271119.25</v>
      </c>
      <c r="K40" s="2">
        <f>+'Five Year Forcast'!D18</f>
        <v>36763961</v>
      </c>
      <c r="L40" s="10">
        <f t="shared" si="12"/>
        <v>7.3745930151541614E-3</v>
      </c>
      <c r="M40" s="10">
        <v>1.0999999999999999E-2</v>
      </c>
      <c r="N40" s="10">
        <v>0.01</v>
      </c>
      <c r="P40" s="2" t="s">
        <v>83</v>
      </c>
      <c r="R40" s="2">
        <v>3884717</v>
      </c>
    </row>
    <row r="41" spans="1:18">
      <c r="A41" s="8">
        <v>369</v>
      </c>
      <c r="B41" s="2" t="s">
        <v>10</v>
      </c>
      <c r="E41" s="2">
        <v>54575</v>
      </c>
      <c r="F41" s="2">
        <v>-265031</v>
      </c>
      <c r="G41" s="2">
        <v>62717</v>
      </c>
      <c r="H41" s="2">
        <v>54889</v>
      </c>
      <c r="I41" s="2">
        <f t="shared" si="10"/>
        <v>-92850</v>
      </c>
      <c r="J41" s="2">
        <f t="shared" si="11"/>
        <v>-23212.5</v>
      </c>
      <c r="K41" s="2">
        <f>+'Five Year Forcast'!D19</f>
        <v>28751336</v>
      </c>
      <c r="L41" s="10">
        <f t="shared" si="12"/>
        <v>-8.0735378696836907E-4</v>
      </c>
      <c r="M41" s="10">
        <v>3.0000000000000001E-3</v>
      </c>
      <c r="N41" s="10">
        <v>3.0000000000000001E-3</v>
      </c>
    </row>
    <row r="42" spans="1:18">
      <c r="A42" s="8">
        <v>370</v>
      </c>
      <c r="B42" s="2" t="s">
        <v>43</v>
      </c>
      <c r="E42" s="2">
        <v>58710</v>
      </c>
      <c r="F42" s="2">
        <v>49458</v>
      </c>
      <c r="G42" s="2">
        <v>37428</v>
      </c>
      <c r="H42" s="2">
        <v>74561</v>
      </c>
      <c r="I42" s="2">
        <f t="shared" si="10"/>
        <v>220157</v>
      </c>
      <c r="J42" s="2">
        <f t="shared" si="11"/>
        <v>55039.25</v>
      </c>
      <c r="K42" s="2">
        <f>+'Five Year Forcast'!D20</f>
        <v>6083570</v>
      </c>
      <c r="L42" s="10">
        <f t="shared" si="12"/>
        <v>9.0471959721019068E-3</v>
      </c>
      <c r="M42" s="10">
        <v>0.01</v>
      </c>
      <c r="N42" s="10">
        <v>0.01</v>
      </c>
    </row>
    <row r="43" spans="1:18">
      <c r="A43" s="28">
        <v>370</v>
      </c>
      <c r="B43" s="2" t="s">
        <v>63</v>
      </c>
      <c r="I43" s="2">
        <f t="shared" si="10"/>
        <v>0</v>
      </c>
      <c r="J43" s="2">
        <f t="shared" si="11"/>
        <v>0</v>
      </c>
      <c r="K43" s="2">
        <f>+'Five Year Forcast'!D21</f>
        <v>0</v>
      </c>
      <c r="L43" s="10"/>
      <c r="M43" s="10">
        <v>0.01</v>
      </c>
      <c r="N43" s="10">
        <v>0.01</v>
      </c>
    </row>
    <row r="44" spans="1:18">
      <c r="A44" s="8">
        <v>371</v>
      </c>
      <c r="B44" s="2" t="s">
        <v>12</v>
      </c>
      <c r="E44" s="2">
        <v>54354</v>
      </c>
      <c r="F44" s="2">
        <v>87807</v>
      </c>
      <c r="G44" s="2">
        <v>79488</v>
      </c>
      <c r="H44" s="2">
        <v>130237</v>
      </c>
      <c r="I44" s="2">
        <f t="shared" si="10"/>
        <v>351886</v>
      </c>
      <c r="J44" s="2">
        <f t="shared" si="11"/>
        <v>87971.5</v>
      </c>
      <c r="K44" s="2">
        <f>+'Five Year Forcast'!D22</f>
        <v>4341205</v>
      </c>
      <c r="L44" s="10">
        <f t="shared" si="12"/>
        <v>2.0264304496101889E-2</v>
      </c>
      <c r="M44" s="10">
        <v>1.6E-2</v>
      </c>
      <c r="N44" s="10">
        <v>1.7999999999999999E-2</v>
      </c>
    </row>
    <row r="45" spans="1:18">
      <c r="A45" s="8">
        <v>373</v>
      </c>
      <c r="B45" s="2" t="s">
        <v>13</v>
      </c>
      <c r="E45" s="2">
        <v>6593</v>
      </c>
      <c r="F45" s="2">
        <v>9528</v>
      </c>
      <c r="G45" s="2">
        <v>9098</v>
      </c>
      <c r="H45" s="2">
        <v>7186</v>
      </c>
      <c r="I45" s="2">
        <f t="shared" si="10"/>
        <v>32405</v>
      </c>
      <c r="J45" s="2">
        <f t="shared" si="11"/>
        <v>8101.25</v>
      </c>
      <c r="K45" s="2">
        <f>+'Five Year Forcast'!D23</f>
        <v>897999</v>
      </c>
      <c r="L45" s="10">
        <f>+J45/K46</f>
        <v>3.0986859716380488E-5</v>
      </c>
      <c r="M45" s="10">
        <v>8.0000000000000002E-3</v>
      </c>
      <c r="N45" s="10">
        <v>8.0000000000000002E-3</v>
      </c>
    </row>
    <row r="46" spans="1:18" ht="15">
      <c r="A46" s="1"/>
      <c r="B46" s="7" t="s">
        <v>14</v>
      </c>
      <c r="C46" s="7"/>
      <c r="D46" s="7"/>
      <c r="E46" s="7">
        <f>SUM(E35:E45)</f>
        <v>1562389</v>
      </c>
      <c r="F46" s="2">
        <f>SUM(F35:F45)+F28</f>
        <v>2670519</v>
      </c>
      <c r="G46" s="2">
        <f>SUM(G35:G45)+G28</f>
        <v>1912504</v>
      </c>
      <c r="H46" s="2">
        <f>SUM(H35:H45)+H28</f>
        <v>1613612</v>
      </c>
      <c r="I46" s="2">
        <f>SUM(I35:I45)+I28</f>
        <v>7759024</v>
      </c>
      <c r="J46" s="2">
        <f>SUM(J35:J45)+J28</f>
        <v>1939756</v>
      </c>
      <c r="K46" s="2">
        <f>+'Five Year Forcast'!D24</f>
        <v>261441465</v>
      </c>
      <c r="L46" s="10">
        <f t="shared" si="12"/>
        <v>7.4194657683699866E-3</v>
      </c>
      <c r="M46" s="10"/>
      <c r="N46" s="10"/>
    </row>
  </sheetData>
  <phoneticPr fontId="2" type="noConversion"/>
  <pageMargins left="0.75" right="0.75" top="1" bottom="1" header="0.5" footer="0.5"/>
  <pageSetup scale="48" orientation="landscape" r:id="rId1"/>
  <headerFooter alignWithMargins="0">
    <oddFooter>&amp;L&amp;"Lucida Sans,Regular"&amp;10Welsh Group&amp;R&amp;"Lucida Sans,Regular"&amp;D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Five Year Forcast</vt:lpstr>
      <vt:lpstr>4 Yr averages</vt:lpstr>
      <vt:lpstr>Sheet1</vt:lpstr>
      <vt:lpstr>'Five Year Forcast'!Print_Area</vt:lpstr>
      <vt:lpstr>'Five Year Forcast'!Print_Titles</vt:lpstr>
    </vt:vector>
  </TitlesOfParts>
  <Company>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Welsh</dc:creator>
  <cp:lastModifiedBy>robert welsh</cp:lastModifiedBy>
  <cp:lastPrinted>2015-07-23T19:23:30Z</cp:lastPrinted>
  <dcterms:created xsi:type="dcterms:W3CDTF">2006-04-16T23:16:48Z</dcterms:created>
  <dcterms:modified xsi:type="dcterms:W3CDTF">2015-12-23T22:52:26Z</dcterms:modified>
</cp:coreProperties>
</file>