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20" yWindow="0" windowWidth="12480" windowHeight="11988" tabRatio="893"/>
  </bookViews>
  <sheets>
    <sheet name="labor adj" sheetId="4" r:id="rId1"/>
    <sheet name="OH adj" sheetId="21" r:id="rId2"/>
    <sheet name="labor by acct detail" sheetId="12" r:id="rId3"/>
    <sheet name="labor by acct summ" sheetId="19" r:id="rId4"/>
    <sheet name="OH by acct detail" sheetId="3" r:id="rId5"/>
    <sheet name="OH JE detail" sheetId="10" r:id="rId6"/>
    <sheet name="fulltime" sheetId="1" r:id="rId7"/>
    <sheet name="parttime" sheetId="2" r:id="rId8"/>
    <sheet name="supmntl inc" sheetId="20" r:id="rId9"/>
    <sheet name="healthpension" sheetId="16" r:id="rId10"/>
    <sheet name="fica" sheetId="5" r:id="rId11"/>
    <sheet name="unemp" sheetId="6" r:id="rId12"/>
    <sheet name="wkcp" sheetId="7" r:id="rId13"/>
    <sheet name="EAP" sheetId="22" r:id="rId14"/>
    <sheet name="plpdexcess" sheetId="8" r:id="rId15"/>
    <sheet name="lifeinsNRECA" sheetId="13" r:id="rId16"/>
    <sheet name="ficalifeW2" sheetId="14" r:id="rId17"/>
  </sheets>
  <definedNames>
    <definedName name="_xlnm._FilterDatabase" localSheetId="16" hidden="1">ficalifeW2!$A$14:$V$14</definedName>
    <definedName name="_xlnm._FilterDatabase" localSheetId="8" hidden="1">'supmntl inc'!$I$1:$L$1</definedName>
    <definedName name="_xlnm._FilterDatabase" localSheetId="12" hidden="1">wkcp!$A$2:$Q$2</definedName>
    <definedName name="_xlnm.Print_Area" localSheetId="16">ficalifeW2!$A$14:$T$177</definedName>
    <definedName name="_xlnm.Print_Area" localSheetId="0">'labor adj'!$A$1:$L$56</definedName>
    <definedName name="_xlnm.Print_Area" localSheetId="3">'labor by acct summ'!$A$1:$F$111</definedName>
    <definedName name="_xlnm.Print_Area" localSheetId="15">lifeinsNRECA!$B$80:$E$89</definedName>
    <definedName name="_xlnm.Print_Area" localSheetId="1">'OH adj'!$A$1:$J$45</definedName>
    <definedName name="_xlnm.Print_Area" localSheetId="4">'OH by acct detail'!$A$1:$AI$117</definedName>
    <definedName name="_xlnm.Print_Area" localSheetId="5">'OH JE detail'!$A$1:$J$46</definedName>
    <definedName name="_xlnm.Print_Area" localSheetId="7">parttime!$A$1:$K$14</definedName>
    <definedName name="_xlnm.Print_Area" localSheetId="11">unemp!$A$1:$E$14</definedName>
    <definedName name="_xlnm.Print_Titles" localSheetId="10">fica!$1:$2</definedName>
    <definedName name="_xlnm.Print_Titles" localSheetId="16">ficalifeW2!$14:$14</definedName>
    <definedName name="_xlnm.Print_Titles" localSheetId="6">fulltime!$1:$2</definedName>
    <definedName name="_xlnm.Print_Titles" localSheetId="9">healthpension!$1:$5</definedName>
    <definedName name="_xlnm.Print_Titles" localSheetId="4">'OH by acct detail'!$B:$B</definedName>
    <definedName name="_xlnm.Print_Titles" localSheetId="8">'supmntl inc'!#REF!</definedName>
    <definedName name="_xlnm.Print_Titles" localSheetId="12">wkcp!$1:$2</definedName>
  </definedNames>
  <calcPr calcId="145621"/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" i="3"/>
  <c r="O13" i="4"/>
  <c r="N13" i="4"/>
  <c r="A33" i="21" l="1"/>
  <c r="C106" i="19" l="1"/>
  <c r="C105" i="19"/>
  <c r="C104" i="19"/>
  <c r="AR160" i="16"/>
  <c r="AQ160" i="16"/>
  <c r="AP160" i="16"/>
  <c r="AP7" i="16"/>
  <c r="AQ7" i="16"/>
  <c r="AP8" i="16"/>
  <c r="AQ8" i="16"/>
  <c r="AP9" i="16"/>
  <c r="AQ9" i="16"/>
  <c r="AQ10" i="16"/>
  <c r="AR10" i="16"/>
  <c r="AP11" i="16"/>
  <c r="AQ11" i="16"/>
  <c r="AP12" i="16"/>
  <c r="AQ12" i="16"/>
  <c r="AP13" i="16"/>
  <c r="AQ13" i="16"/>
  <c r="AP14" i="16"/>
  <c r="AQ14" i="16"/>
  <c r="AP15" i="16"/>
  <c r="AQ15" i="16"/>
  <c r="AP16" i="16"/>
  <c r="AQ16" i="16"/>
  <c r="AP17" i="16"/>
  <c r="AR17" i="16"/>
  <c r="AP18" i="16"/>
  <c r="AQ18" i="16"/>
  <c r="AP19" i="16"/>
  <c r="AQ19" i="16"/>
  <c r="AP20" i="16"/>
  <c r="AQ20" i="16"/>
  <c r="AP21" i="16"/>
  <c r="AQ21" i="16"/>
  <c r="AP22" i="16"/>
  <c r="AR22" i="16"/>
  <c r="AP23" i="16"/>
  <c r="AR23" i="16"/>
  <c r="AQ24" i="16"/>
  <c r="AR24" i="16"/>
  <c r="AP25" i="16"/>
  <c r="AQ25" i="16"/>
  <c r="AQ26" i="16"/>
  <c r="AR26" i="16"/>
  <c r="AP27" i="16"/>
  <c r="AQ27" i="16"/>
  <c r="AP28" i="16"/>
  <c r="AQ28" i="16"/>
  <c r="AQ29" i="16"/>
  <c r="AR29" i="16"/>
  <c r="AP30" i="16"/>
  <c r="AQ30" i="16"/>
  <c r="AP31" i="16"/>
  <c r="AQ31" i="16"/>
  <c r="AQ32" i="16"/>
  <c r="AR32" i="16"/>
  <c r="AQ33" i="16"/>
  <c r="AR33" i="16"/>
  <c r="AQ34" i="16"/>
  <c r="AR34" i="16"/>
  <c r="AP35" i="16"/>
  <c r="AQ35" i="16"/>
  <c r="AP36" i="16"/>
  <c r="AR36" i="16"/>
  <c r="AP37" i="16"/>
  <c r="AR37" i="16"/>
  <c r="AP38" i="16"/>
  <c r="AQ38" i="16"/>
  <c r="AP39" i="16"/>
  <c r="AQ39" i="16"/>
  <c r="AP40" i="16"/>
  <c r="AQ40" i="16"/>
  <c r="AP41" i="16"/>
  <c r="AR41" i="16"/>
  <c r="AQ42" i="16"/>
  <c r="AR42" i="16"/>
  <c r="AP43" i="16"/>
  <c r="AQ43" i="16"/>
  <c r="AP44" i="16"/>
  <c r="AQ44" i="16"/>
  <c r="AP45" i="16"/>
  <c r="AQ45" i="16"/>
  <c r="AP46" i="16"/>
  <c r="AQ46" i="16"/>
  <c r="AP47" i="16"/>
  <c r="AQ47" i="16"/>
  <c r="AP48" i="16"/>
  <c r="AQ48" i="16"/>
  <c r="AQ49" i="16"/>
  <c r="AR49" i="16"/>
  <c r="AP50" i="16"/>
  <c r="AQ50" i="16"/>
  <c r="AP51" i="16"/>
  <c r="AQ51" i="16"/>
  <c r="AP52" i="16"/>
  <c r="AQ52" i="16"/>
  <c r="AP53" i="16"/>
  <c r="AQ53" i="16"/>
  <c r="AP54" i="16"/>
  <c r="AR54" i="16"/>
  <c r="AP55" i="16"/>
  <c r="AR55" i="16"/>
  <c r="AP56" i="16"/>
  <c r="AR56" i="16"/>
  <c r="AP57" i="16"/>
  <c r="AQ57" i="16"/>
  <c r="AP58" i="16"/>
  <c r="AQ58" i="16"/>
  <c r="AP59" i="16"/>
  <c r="AQ59" i="16"/>
  <c r="AP60" i="16"/>
  <c r="AQ60" i="16"/>
  <c r="AQ61" i="16"/>
  <c r="AR61" i="16"/>
  <c r="AP62" i="16"/>
  <c r="AQ62" i="16"/>
  <c r="AP63" i="16"/>
  <c r="AQ63" i="16"/>
  <c r="AP64" i="16"/>
  <c r="AQ64" i="16"/>
  <c r="AP65" i="16"/>
  <c r="AR65" i="16"/>
  <c r="AP66" i="16"/>
  <c r="AR66" i="16"/>
  <c r="AP67" i="16"/>
  <c r="AQ67" i="16"/>
  <c r="AP68" i="16"/>
  <c r="AQ68" i="16"/>
  <c r="AP69" i="16"/>
  <c r="AQ69" i="16"/>
  <c r="AP70" i="16"/>
  <c r="AQ70" i="16"/>
  <c r="AP71" i="16"/>
  <c r="AQ71" i="16"/>
  <c r="AP72" i="16"/>
  <c r="AR72" i="16"/>
  <c r="AP73" i="16"/>
  <c r="AR73" i="16"/>
  <c r="AP74" i="16"/>
  <c r="AQ74" i="16"/>
  <c r="AP75" i="16"/>
  <c r="AQ75" i="16"/>
  <c r="AP76" i="16"/>
  <c r="AQ76" i="16"/>
  <c r="AP77" i="16"/>
  <c r="AR77" i="16"/>
  <c r="AP78" i="16"/>
  <c r="AR78" i="16"/>
  <c r="AP79" i="16"/>
  <c r="AQ79" i="16"/>
  <c r="AP80" i="16"/>
  <c r="AQ80" i="16"/>
  <c r="AP81" i="16"/>
  <c r="AQ81" i="16"/>
  <c r="AP82" i="16"/>
  <c r="AQ82" i="16"/>
  <c r="AP83" i="16"/>
  <c r="AQ83" i="16"/>
  <c r="AP84" i="16"/>
  <c r="AQ84" i="16"/>
  <c r="AP85" i="16"/>
  <c r="AQ85" i="16"/>
  <c r="AP86" i="16"/>
  <c r="AQ86" i="16"/>
  <c r="AP87" i="16"/>
  <c r="AQ87" i="16"/>
  <c r="AP88" i="16"/>
  <c r="AQ88" i="16"/>
  <c r="AP89" i="16"/>
  <c r="AQ89" i="16"/>
  <c r="AP90" i="16"/>
  <c r="AR90" i="16"/>
  <c r="AP91" i="16"/>
  <c r="AQ91" i="16"/>
  <c r="AP92" i="16"/>
  <c r="AQ92" i="16"/>
  <c r="AP93" i="16"/>
  <c r="AQ93" i="16"/>
  <c r="AP94" i="16"/>
  <c r="AR94" i="16"/>
  <c r="AP95" i="16"/>
  <c r="AQ95" i="16"/>
  <c r="AP96" i="16"/>
  <c r="AR96" i="16"/>
  <c r="AP97" i="16"/>
  <c r="AQ97" i="16"/>
  <c r="AP98" i="16"/>
  <c r="AQ98" i="16"/>
  <c r="AP99" i="16"/>
  <c r="AR99" i="16"/>
  <c r="AP100" i="16"/>
  <c r="AQ100" i="16"/>
  <c r="AP101" i="16"/>
  <c r="AR101" i="16"/>
  <c r="AP102" i="16"/>
  <c r="AQ102" i="16"/>
  <c r="AQ103" i="16"/>
  <c r="AR103" i="16"/>
  <c r="AP104" i="16"/>
  <c r="AR104" i="16"/>
  <c r="AP105" i="16"/>
  <c r="AQ105" i="16"/>
  <c r="AQ106" i="16"/>
  <c r="AR106" i="16"/>
  <c r="AQ107" i="16"/>
  <c r="AR107" i="16"/>
  <c r="AP108" i="16"/>
  <c r="AQ108" i="16"/>
  <c r="AP109" i="16"/>
  <c r="AQ109" i="16"/>
  <c r="AP110" i="16"/>
  <c r="AQ110" i="16"/>
  <c r="AP111" i="16"/>
  <c r="AQ111" i="16"/>
  <c r="AP112" i="16"/>
  <c r="AR112" i="16"/>
  <c r="AQ113" i="16"/>
  <c r="AR113" i="16"/>
  <c r="AQ114" i="16"/>
  <c r="AR114" i="16"/>
  <c r="AP115" i="16"/>
  <c r="AR115" i="16"/>
  <c r="AP116" i="16"/>
  <c r="AQ116" i="16"/>
  <c r="AQ117" i="16"/>
  <c r="AR117" i="16"/>
  <c r="AP118" i="16"/>
  <c r="AR118" i="16"/>
  <c r="AQ119" i="16"/>
  <c r="AR119" i="16"/>
  <c r="AP120" i="16"/>
  <c r="AQ120" i="16"/>
  <c r="AP121" i="16"/>
  <c r="AR121" i="16"/>
  <c r="AQ122" i="16"/>
  <c r="AR122" i="16"/>
  <c r="AP123" i="16"/>
  <c r="AR123" i="16"/>
  <c r="AQ124" i="16"/>
  <c r="AR124" i="16"/>
  <c r="AP125" i="16"/>
  <c r="AQ125" i="16"/>
  <c r="AQ126" i="16"/>
  <c r="AR126" i="16"/>
  <c r="AP127" i="16"/>
  <c r="AQ127" i="16"/>
  <c r="AP128" i="16"/>
  <c r="AQ128" i="16"/>
  <c r="AP129" i="16"/>
  <c r="AQ129" i="16"/>
  <c r="AP130" i="16"/>
  <c r="AR130" i="16"/>
  <c r="AP131" i="16"/>
  <c r="AQ131" i="16"/>
  <c r="AP132" i="16"/>
  <c r="AQ132" i="16"/>
  <c r="AP133" i="16"/>
  <c r="AQ133" i="16"/>
  <c r="AQ134" i="16"/>
  <c r="AR134" i="16"/>
  <c r="AP135" i="16"/>
  <c r="AQ135" i="16"/>
  <c r="AP136" i="16"/>
  <c r="AR136" i="16"/>
  <c r="AP137" i="16"/>
  <c r="AQ137" i="16"/>
  <c r="AQ138" i="16"/>
  <c r="AR138" i="16"/>
  <c r="AQ139" i="16"/>
  <c r="AR139" i="16"/>
  <c r="AP140" i="16"/>
  <c r="AR140" i="16"/>
  <c r="AQ141" i="16"/>
  <c r="AR141" i="16"/>
  <c r="AQ142" i="16"/>
  <c r="AR142" i="16"/>
  <c r="AP143" i="16"/>
  <c r="AQ143" i="16"/>
  <c r="AQ144" i="16"/>
  <c r="AR144" i="16"/>
  <c r="AP145" i="16"/>
  <c r="AQ145" i="16"/>
  <c r="AP146" i="16"/>
  <c r="AQ146" i="16"/>
  <c r="AP147" i="16"/>
  <c r="AR147" i="16"/>
  <c r="AP148" i="16"/>
  <c r="AQ148" i="16"/>
  <c r="AP149" i="16"/>
  <c r="AR149" i="16"/>
  <c r="AP150" i="16"/>
  <c r="AQ150" i="16"/>
  <c r="AP151" i="16"/>
  <c r="AQ151" i="16"/>
  <c r="AP152" i="16"/>
  <c r="AR152" i="16"/>
  <c r="AP153" i="16"/>
  <c r="AQ153" i="16"/>
  <c r="AP154" i="16"/>
  <c r="AQ154" i="16"/>
  <c r="AP155" i="16"/>
  <c r="AQ155" i="16"/>
  <c r="AQ6" i="16"/>
  <c r="AP6" i="16"/>
  <c r="R167" i="14" l="1"/>
  <c r="O167" i="14"/>
  <c r="K159" i="16" l="1"/>
  <c r="K25" i="4" l="1"/>
  <c r="J25" i="4"/>
  <c r="E25" i="4"/>
  <c r="E24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9" i="4"/>
  <c r="J174" i="20"/>
  <c r="J173" i="20"/>
  <c r="A10" i="21" l="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4" i="21" s="1"/>
  <c r="A35" i="21" s="1"/>
  <c r="A36" i="21" s="1"/>
  <c r="A37" i="21" s="1"/>
  <c r="A38" i="21" s="1"/>
  <c r="A9" i="21"/>
  <c r="B118" i="12" l="1"/>
  <c r="B119" i="12"/>
  <c r="B120" i="12"/>
  <c r="B117" i="12"/>
  <c r="E26" i="4"/>
  <c r="K26" i="4"/>
  <c r="G9" i="12" l="1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8" i="12"/>
  <c r="H110" i="12" l="1"/>
  <c r="B113" i="12"/>
  <c r="B115" i="12"/>
  <c r="E3" i="22" l="1"/>
  <c r="E5" i="22" s="1"/>
  <c r="D55" i="10"/>
  <c r="K176" i="20" l="1"/>
  <c r="I178" i="20"/>
  <c r="K178" i="20"/>
  <c r="U159" i="16"/>
  <c r="U160" i="16" s="1"/>
  <c r="AL159" i="16" l="1"/>
  <c r="AL160" i="16" s="1"/>
  <c r="AM159" i="16"/>
  <c r="AM160" i="16" s="1"/>
  <c r="AL161" i="16"/>
  <c r="AM161" i="16"/>
  <c r="U105" i="3" l="1"/>
  <c r="H6" i="8" l="1"/>
  <c r="H7" i="8"/>
  <c r="H8" i="8"/>
  <c r="H9" i="8"/>
  <c r="H10" i="8"/>
  <c r="H13" i="8" l="1"/>
  <c r="B4" i="8" s="1"/>
  <c r="D137" i="5"/>
  <c r="F10" i="8"/>
  <c r="F9" i="8"/>
  <c r="F8" i="8"/>
  <c r="F7" i="8"/>
  <c r="F6" i="8"/>
  <c r="F13" i="8" l="1"/>
  <c r="D10" i="4" l="1"/>
  <c r="E28" i="4"/>
  <c r="E27" i="4"/>
  <c r="J27" i="4" s="1"/>
  <c r="K27" i="4" s="1"/>
  <c r="L163" i="20"/>
  <c r="I163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1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1" i="20"/>
  <c r="L142" i="20"/>
  <c r="L143" i="20"/>
  <c r="L144" i="20"/>
  <c r="L145" i="20"/>
  <c r="L146" i="20"/>
  <c r="L147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3" i="20"/>
  <c r="J163" i="20"/>
  <c r="K163" i="20"/>
  <c r="J172" i="20"/>
  <c r="J171" i="20"/>
  <c r="J170" i="20"/>
  <c r="J169" i="20"/>
  <c r="J168" i="20"/>
  <c r="I166" i="20"/>
  <c r="O124" i="20"/>
  <c r="O89" i="20"/>
  <c r="O31" i="20"/>
  <c r="K24" i="4" l="1"/>
  <c r="K28" i="4"/>
  <c r="J178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170" i="20" s="1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72" i="20" s="1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3" i="20"/>
  <c r="E17" i="21"/>
  <c r="F165" i="20" l="1"/>
  <c r="F169" i="20"/>
  <c r="F167" i="20"/>
  <c r="F166" i="20"/>
  <c r="F168" i="20"/>
  <c r="F171" i="20"/>
  <c r="F163" i="20"/>
  <c r="F3" i="5"/>
  <c r="E153" i="5"/>
  <c r="D3" i="5"/>
  <c r="L32" i="5"/>
  <c r="M32" i="5"/>
  <c r="L33" i="5"/>
  <c r="E33" i="5" s="1"/>
  <c r="M33" i="5"/>
  <c r="L34" i="5"/>
  <c r="M34" i="5"/>
  <c r="L35" i="5"/>
  <c r="E35" i="5" s="1"/>
  <c r="M35" i="5"/>
  <c r="L36" i="5"/>
  <c r="M36" i="5"/>
  <c r="L37" i="5"/>
  <c r="E37" i="5" s="1"/>
  <c r="M37" i="5"/>
  <c r="L38" i="5"/>
  <c r="M38" i="5"/>
  <c r="L39" i="5"/>
  <c r="E39" i="5" s="1"/>
  <c r="M39" i="5"/>
  <c r="L40" i="5"/>
  <c r="M40" i="5"/>
  <c r="L41" i="5"/>
  <c r="E41" i="5" s="1"/>
  <c r="M41" i="5"/>
  <c r="L42" i="5"/>
  <c r="M42" i="5"/>
  <c r="L43" i="5"/>
  <c r="E43" i="5" s="1"/>
  <c r="M43" i="5"/>
  <c r="L44" i="5"/>
  <c r="M44" i="5"/>
  <c r="L45" i="5"/>
  <c r="E45" i="5" s="1"/>
  <c r="M45" i="5"/>
  <c r="L46" i="5"/>
  <c r="M46" i="5"/>
  <c r="L47" i="5"/>
  <c r="E47" i="5" s="1"/>
  <c r="M47" i="5"/>
  <c r="L48" i="5"/>
  <c r="M48" i="5"/>
  <c r="L49" i="5"/>
  <c r="E49" i="5" s="1"/>
  <c r="M49" i="5"/>
  <c r="L50" i="5"/>
  <c r="M50" i="5"/>
  <c r="L51" i="5"/>
  <c r="E51" i="5" s="1"/>
  <c r="M51" i="5"/>
  <c r="L52" i="5"/>
  <c r="M52" i="5"/>
  <c r="L53" i="5"/>
  <c r="E53" i="5" s="1"/>
  <c r="M53" i="5"/>
  <c r="L54" i="5"/>
  <c r="M54" i="5"/>
  <c r="L55" i="5"/>
  <c r="E55" i="5" s="1"/>
  <c r="M55" i="5"/>
  <c r="L56" i="5"/>
  <c r="M56" i="5"/>
  <c r="L57" i="5"/>
  <c r="E57" i="5" s="1"/>
  <c r="M57" i="5"/>
  <c r="L58" i="5"/>
  <c r="M58" i="5"/>
  <c r="L59" i="5"/>
  <c r="E59" i="5" s="1"/>
  <c r="M59" i="5"/>
  <c r="L60" i="5"/>
  <c r="M60" i="5"/>
  <c r="L61" i="5"/>
  <c r="E61" i="5" s="1"/>
  <c r="M61" i="5"/>
  <c r="L62" i="5"/>
  <c r="M62" i="5"/>
  <c r="L63" i="5"/>
  <c r="E63" i="5" s="1"/>
  <c r="M63" i="5"/>
  <c r="L64" i="5"/>
  <c r="M64" i="5"/>
  <c r="L65" i="5"/>
  <c r="E65" i="5" s="1"/>
  <c r="M65" i="5"/>
  <c r="L66" i="5"/>
  <c r="M66" i="5"/>
  <c r="L67" i="5"/>
  <c r="E67" i="5" s="1"/>
  <c r="M67" i="5"/>
  <c r="L68" i="5"/>
  <c r="M68" i="5"/>
  <c r="L69" i="5"/>
  <c r="E69" i="5" s="1"/>
  <c r="M69" i="5"/>
  <c r="L70" i="5"/>
  <c r="M70" i="5"/>
  <c r="L71" i="5"/>
  <c r="E71" i="5" s="1"/>
  <c r="M71" i="5"/>
  <c r="L72" i="5"/>
  <c r="M72" i="5"/>
  <c r="L73" i="5"/>
  <c r="E73" i="5" s="1"/>
  <c r="M73" i="5"/>
  <c r="L74" i="5"/>
  <c r="M74" i="5"/>
  <c r="L75" i="5"/>
  <c r="E75" i="5" s="1"/>
  <c r="M75" i="5"/>
  <c r="L76" i="5"/>
  <c r="M76" i="5"/>
  <c r="L77" i="5"/>
  <c r="E77" i="5" s="1"/>
  <c r="M77" i="5"/>
  <c r="L78" i="5"/>
  <c r="M78" i="5"/>
  <c r="L79" i="5"/>
  <c r="E79" i="5" s="1"/>
  <c r="M79" i="5"/>
  <c r="L80" i="5"/>
  <c r="M80" i="5"/>
  <c r="L81" i="5"/>
  <c r="E81" i="5" s="1"/>
  <c r="M81" i="5"/>
  <c r="L82" i="5"/>
  <c r="M82" i="5"/>
  <c r="L83" i="5"/>
  <c r="E83" i="5" s="1"/>
  <c r="M83" i="5"/>
  <c r="L84" i="5"/>
  <c r="M84" i="5"/>
  <c r="L85" i="5"/>
  <c r="E85" i="5" s="1"/>
  <c r="M85" i="5"/>
  <c r="L86" i="5"/>
  <c r="M86" i="5"/>
  <c r="L87" i="5"/>
  <c r="E87" i="5" s="1"/>
  <c r="M87" i="5"/>
  <c r="L88" i="5"/>
  <c r="M88" i="5"/>
  <c r="L89" i="5"/>
  <c r="E89" i="5" s="1"/>
  <c r="M89" i="5"/>
  <c r="L90" i="5"/>
  <c r="M90" i="5"/>
  <c r="L91" i="5"/>
  <c r="E91" i="5" s="1"/>
  <c r="M91" i="5"/>
  <c r="L92" i="5"/>
  <c r="M92" i="5"/>
  <c r="L93" i="5"/>
  <c r="E93" i="5" s="1"/>
  <c r="M93" i="5"/>
  <c r="L94" i="5"/>
  <c r="M94" i="5"/>
  <c r="L95" i="5"/>
  <c r="E95" i="5" s="1"/>
  <c r="M95" i="5"/>
  <c r="L96" i="5"/>
  <c r="M96" i="5"/>
  <c r="L97" i="5"/>
  <c r="E97" i="5" s="1"/>
  <c r="M97" i="5"/>
  <c r="L98" i="5"/>
  <c r="M98" i="5"/>
  <c r="L99" i="5"/>
  <c r="E99" i="5" s="1"/>
  <c r="M99" i="5"/>
  <c r="L100" i="5"/>
  <c r="M100" i="5"/>
  <c r="L101" i="5"/>
  <c r="E101" i="5" s="1"/>
  <c r="M101" i="5"/>
  <c r="L102" i="5"/>
  <c r="M102" i="5"/>
  <c r="L103" i="5"/>
  <c r="E103" i="5" s="1"/>
  <c r="M103" i="5"/>
  <c r="L104" i="5"/>
  <c r="M104" i="5"/>
  <c r="L105" i="5"/>
  <c r="E105" i="5" s="1"/>
  <c r="M105" i="5"/>
  <c r="L106" i="5"/>
  <c r="M106" i="5"/>
  <c r="L107" i="5"/>
  <c r="E107" i="5" s="1"/>
  <c r="M107" i="5"/>
  <c r="L108" i="5"/>
  <c r="M108" i="5"/>
  <c r="L109" i="5"/>
  <c r="E109" i="5" s="1"/>
  <c r="M109" i="5"/>
  <c r="L110" i="5"/>
  <c r="M110" i="5"/>
  <c r="L111" i="5"/>
  <c r="E111" i="5" s="1"/>
  <c r="M111" i="5"/>
  <c r="L112" i="5"/>
  <c r="M112" i="5"/>
  <c r="L113" i="5"/>
  <c r="E113" i="5" s="1"/>
  <c r="M113" i="5"/>
  <c r="L114" i="5"/>
  <c r="M114" i="5"/>
  <c r="L115" i="5"/>
  <c r="E115" i="5" s="1"/>
  <c r="M115" i="5"/>
  <c r="L116" i="5"/>
  <c r="M116" i="5"/>
  <c r="L117" i="5"/>
  <c r="E117" i="5" s="1"/>
  <c r="M117" i="5"/>
  <c r="L118" i="5"/>
  <c r="M118" i="5"/>
  <c r="L119" i="5"/>
  <c r="E119" i="5" s="1"/>
  <c r="M119" i="5"/>
  <c r="L120" i="5"/>
  <c r="M120" i="5"/>
  <c r="L121" i="5"/>
  <c r="E121" i="5" s="1"/>
  <c r="M121" i="5"/>
  <c r="L122" i="5"/>
  <c r="M122" i="5"/>
  <c r="L123" i="5"/>
  <c r="E123" i="5" s="1"/>
  <c r="M123" i="5"/>
  <c r="L124" i="5"/>
  <c r="M124" i="5"/>
  <c r="L125" i="5"/>
  <c r="E125" i="5" s="1"/>
  <c r="M125" i="5"/>
  <c r="L126" i="5"/>
  <c r="M126" i="5"/>
  <c r="L127" i="5"/>
  <c r="E127" i="5" s="1"/>
  <c r="M127" i="5"/>
  <c r="L128" i="5"/>
  <c r="M128" i="5"/>
  <c r="L129" i="5"/>
  <c r="E129" i="5" s="1"/>
  <c r="M129" i="5"/>
  <c r="L130" i="5"/>
  <c r="M130" i="5"/>
  <c r="L131" i="5"/>
  <c r="E131" i="5" s="1"/>
  <c r="M131" i="5"/>
  <c r="L132" i="5"/>
  <c r="M132" i="5"/>
  <c r="L133" i="5"/>
  <c r="E133" i="5" s="1"/>
  <c r="M133" i="5"/>
  <c r="L134" i="5"/>
  <c r="M134" i="5"/>
  <c r="L135" i="5"/>
  <c r="E135" i="5" s="1"/>
  <c r="M135" i="5"/>
  <c r="L136" i="5"/>
  <c r="M136" i="5"/>
  <c r="L137" i="5"/>
  <c r="E137" i="5" s="1"/>
  <c r="M137" i="5"/>
  <c r="L138" i="5"/>
  <c r="M138" i="5"/>
  <c r="L139" i="5"/>
  <c r="E139" i="5" s="1"/>
  <c r="M139" i="5"/>
  <c r="L140" i="5"/>
  <c r="M140" i="5"/>
  <c r="L141" i="5"/>
  <c r="E141" i="5" s="1"/>
  <c r="M141" i="5"/>
  <c r="L142" i="5"/>
  <c r="M142" i="5"/>
  <c r="L143" i="5"/>
  <c r="E143" i="5" s="1"/>
  <c r="M143" i="5"/>
  <c r="L144" i="5"/>
  <c r="M144" i="5"/>
  <c r="L145" i="5"/>
  <c r="E145" i="5" s="1"/>
  <c r="M145" i="5"/>
  <c r="L146" i="5"/>
  <c r="M146" i="5"/>
  <c r="L147" i="5"/>
  <c r="E147" i="5" s="1"/>
  <c r="M147" i="5"/>
  <c r="L148" i="5"/>
  <c r="M148" i="5"/>
  <c r="L149" i="5"/>
  <c r="E149" i="5" s="1"/>
  <c r="M149" i="5"/>
  <c r="L150" i="5"/>
  <c r="M150" i="5"/>
  <c r="L151" i="5"/>
  <c r="E151" i="5" s="1"/>
  <c r="M151" i="5"/>
  <c r="L152" i="5"/>
  <c r="M152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" i="5"/>
  <c r="E43" i="10"/>
  <c r="E40" i="10"/>
  <c r="E39" i="10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" i="5"/>
  <c r="D150" i="5"/>
  <c r="F150" i="5"/>
  <c r="D151" i="5"/>
  <c r="F151" i="5"/>
  <c r="D152" i="5"/>
  <c r="F152" i="5"/>
  <c r="B153" i="5"/>
  <c r="C153" i="5"/>
  <c r="D153" i="5"/>
  <c r="F153" i="5"/>
  <c r="A153" i="5"/>
  <c r="A154" i="5"/>
  <c r="E74" i="5" l="1"/>
  <c r="E70" i="5"/>
  <c r="E66" i="5"/>
  <c r="E62" i="5"/>
  <c r="E58" i="5"/>
  <c r="E54" i="5"/>
  <c r="E50" i="5"/>
  <c r="E46" i="5"/>
  <c r="E42" i="5"/>
  <c r="E38" i="5"/>
  <c r="E34" i="5"/>
  <c r="E28" i="5"/>
  <c r="E20" i="5"/>
  <c r="E8" i="5"/>
  <c r="E3" i="5"/>
  <c r="E16" i="5"/>
  <c r="E12" i="5"/>
  <c r="E24" i="5"/>
  <c r="E4" i="5"/>
  <c r="F173" i="20"/>
  <c r="E30" i="5"/>
  <c r="E26" i="5"/>
  <c r="E22" i="5"/>
  <c r="E18" i="5"/>
  <c r="E14" i="5"/>
  <c r="E10" i="5"/>
  <c r="E6" i="5"/>
  <c r="E152" i="5"/>
  <c r="E150" i="5"/>
  <c r="E148" i="5"/>
  <c r="E146" i="5"/>
  <c r="E144" i="5"/>
  <c r="E142" i="5"/>
  <c r="E140" i="5"/>
  <c r="E138" i="5"/>
  <c r="E136" i="5"/>
  <c r="E134" i="5"/>
  <c r="E132" i="5"/>
  <c r="E130" i="5"/>
  <c r="E128" i="5"/>
  <c r="E126" i="5"/>
  <c r="E124" i="5"/>
  <c r="E122" i="5"/>
  <c r="E120" i="5"/>
  <c r="E118" i="5"/>
  <c r="E116" i="5"/>
  <c r="E114" i="5"/>
  <c r="E112" i="5"/>
  <c r="E110" i="5"/>
  <c r="E108" i="5"/>
  <c r="E106" i="5"/>
  <c r="E104" i="5"/>
  <c r="E102" i="5"/>
  <c r="E100" i="5"/>
  <c r="E98" i="5"/>
  <c r="E96" i="5"/>
  <c r="E94" i="5"/>
  <c r="E92" i="5"/>
  <c r="E90" i="5"/>
  <c r="E88" i="5"/>
  <c r="E86" i="5"/>
  <c r="E84" i="5"/>
  <c r="E82" i="5"/>
  <c r="E80" i="5"/>
  <c r="E78" i="5"/>
  <c r="E76" i="5"/>
  <c r="E72" i="5"/>
  <c r="E68" i="5"/>
  <c r="E64" i="5"/>
  <c r="E60" i="5"/>
  <c r="E56" i="5"/>
  <c r="E52" i="5"/>
  <c r="E48" i="5"/>
  <c r="E44" i="5"/>
  <c r="E40" i="5"/>
  <c r="E36" i="5"/>
  <c r="E32" i="5"/>
  <c r="M156" i="5"/>
  <c r="E29" i="5"/>
  <c r="E25" i="5"/>
  <c r="E21" i="5"/>
  <c r="E17" i="5"/>
  <c r="E13" i="5"/>
  <c r="E9" i="5"/>
  <c r="E5" i="5"/>
  <c r="E31" i="5"/>
  <c r="E27" i="5"/>
  <c r="E23" i="5"/>
  <c r="E19" i="5"/>
  <c r="E15" i="5"/>
  <c r="E11" i="5"/>
  <c r="E7" i="5"/>
  <c r="G153" i="5"/>
  <c r="H153" i="5" s="1"/>
  <c r="I153" i="5" s="1"/>
  <c r="D163" i="20" l="1"/>
  <c r="E163" i="20"/>
  <c r="C163" i="20"/>
  <c r="I4" i="1" l="1"/>
  <c r="I5" i="1"/>
  <c r="I6" i="1"/>
  <c r="I7" i="1"/>
  <c r="I9" i="1"/>
  <c r="I10" i="1"/>
  <c r="I11" i="1"/>
  <c r="I13" i="1"/>
  <c r="I14" i="1"/>
  <c r="I15" i="1"/>
  <c r="I16" i="1"/>
  <c r="I17" i="1"/>
  <c r="I20" i="1"/>
  <c r="I21" i="1"/>
  <c r="I22" i="1"/>
  <c r="I23" i="1"/>
  <c r="I24" i="1"/>
  <c r="I25" i="1"/>
  <c r="I26" i="1"/>
  <c r="I27" i="1"/>
  <c r="I29" i="1"/>
  <c r="I31" i="1"/>
  <c r="I32" i="1"/>
  <c r="I33" i="1"/>
  <c r="I35" i="1"/>
  <c r="I36" i="1"/>
  <c r="I38" i="1"/>
  <c r="I40" i="1"/>
  <c r="I41" i="1"/>
  <c r="I42" i="1"/>
  <c r="I43" i="1"/>
  <c r="I44" i="1"/>
  <c r="I45" i="1"/>
  <c r="I47" i="1"/>
  <c r="I48" i="1"/>
  <c r="I49" i="1"/>
  <c r="I50" i="1"/>
  <c r="I51" i="1"/>
  <c r="I52" i="1"/>
  <c r="I53" i="1"/>
  <c r="I5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3" i="1"/>
  <c r="I114" i="1"/>
  <c r="I115" i="1"/>
  <c r="I118" i="1"/>
  <c r="I119" i="1"/>
  <c r="I120" i="1"/>
  <c r="I121" i="1"/>
  <c r="I122" i="1"/>
  <c r="I123" i="1"/>
  <c r="I124" i="1"/>
  <c r="I125" i="1"/>
  <c r="I126" i="1"/>
  <c r="I127" i="1"/>
  <c r="I129" i="1"/>
  <c r="I130" i="1"/>
  <c r="I131" i="1"/>
  <c r="I132" i="1"/>
  <c r="I133" i="1"/>
  <c r="I134" i="1"/>
  <c r="I135" i="1"/>
  <c r="I137" i="1"/>
  <c r="I138" i="1"/>
  <c r="I139" i="1"/>
  <c r="I140" i="1"/>
  <c r="I141" i="1"/>
  <c r="I143" i="1"/>
  <c r="I144" i="1"/>
  <c r="I145" i="1"/>
  <c r="I146" i="1"/>
  <c r="I147" i="1"/>
  <c r="I148" i="1"/>
  <c r="I149" i="1"/>
  <c r="I150" i="1"/>
  <c r="I151" i="1"/>
  <c r="I152" i="1"/>
  <c r="I3" i="1"/>
  <c r="G6" i="1"/>
  <c r="G7" i="1"/>
  <c r="D7" i="7" s="1"/>
  <c r="G10" i="1"/>
  <c r="D10" i="7" s="1"/>
  <c r="G16" i="1"/>
  <c r="G24" i="1"/>
  <c r="G26" i="1"/>
  <c r="G41" i="1"/>
  <c r="D41" i="7" s="1"/>
  <c r="G48" i="1"/>
  <c r="G51" i="1"/>
  <c r="D51" i="7" s="1"/>
  <c r="G52" i="1"/>
  <c r="G57" i="1"/>
  <c r="D57" i="7" s="1"/>
  <c r="G62" i="1"/>
  <c r="G63" i="1"/>
  <c r="D63" i="7" s="1"/>
  <c r="G64" i="1"/>
  <c r="G65" i="1"/>
  <c r="D65" i="7" s="1"/>
  <c r="G69" i="1"/>
  <c r="G71" i="1"/>
  <c r="D71" i="7" s="1"/>
  <c r="G78" i="1"/>
  <c r="G93" i="1"/>
  <c r="D93" i="7" s="1"/>
  <c r="G95" i="1"/>
  <c r="D95" i="7" s="1"/>
  <c r="G98" i="1"/>
  <c r="G104" i="1"/>
  <c r="D104" i="7" s="1"/>
  <c r="G109" i="1"/>
  <c r="D109" i="7" s="1"/>
  <c r="G114" i="1"/>
  <c r="G118" i="1"/>
  <c r="G120" i="1"/>
  <c r="G122" i="1"/>
  <c r="D122" i="7" s="1"/>
  <c r="G125" i="1"/>
  <c r="D125" i="7" s="1"/>
  <c r="G130" i="1"/>
  <c r="G131" i="1"/>
  <c r="D131" i="7" s="1"/>
  <c r="G137" i="1"/>
  <c r="D137" i="7" s="1"/>
  <c r="G138" i="1"/>
  <c r="D138" i="7" s="1"/>
  <c r="G139" i="1"/>
  <c r="D139" i="7" s="1"/>
  <c r="G3" i="1"/>
  <c r="D6" i="7"/>
  <c r="D16" i="7"/>
  <c r="D24" i="7"/>
  <c r="D26" i="7"/>
  <c r="D48" i="7"/>
  <c r="D52" i="7"/>
  <c r="D62" i="7"/>
  <c r="D64" i="7"/>
  <c r="D69" i="7"/>
  <c r="D78" i="7"/>
  <c r="D98" i="7"/>
  <c r="D114" i="7"/>
  <c r="D118" i="7"/>
  <c r="D120" i="7"/>
  <c r="D130" i="7"/>
  <c r="D3" i="7"/>
  <c r="E3" i="7" s="1"/>
  <c r="D53" i="10"/>
  <c r="E37" i="10"/>
  <c r="G37" i="10"/>
  <c r="H37" i="10"/>
  <c r="I37" i="10"/>
  <c r="D37" i="10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O19" i="14"/>
  <c r="O22" i="14"/>
  <c r="O31" i="14"/>
  <c r="O39" i="14"/>
  <c r="O44" i="14"/>
  <c r="O61" i="14"/>
  <c r="O62" i="14"/>
  <c r="O72" i="14"/>
  <c r="O77" i="14"/>
  <c r="O84" i="14"/>
  <c r="O93" i="14"/>
  <c r="O94" i="14"/>
  <c r="O95" i="14"/>
  <c r="O99" i="14"/>
  <c r="O102" i="14"/>
  <c r="O119" i="14"/>
  <c r="O133" i="14"/>
  <c r="O142" i="14"/>
  <c r="O144" i="14"/>
  <c r="O155" i="14"/>
  <c r="O157" i="14"/>
  <c r="O163" i="14"/>
  <c r="N16" i="14"/>
  <c r="O16" i="14" s="1"/>
  <c r="N17" i="14"/>
  <c r="O17" i="14" s="1"/>
  <c r="N18" i="14"/>
  <c r="O18" i="14" s="1"/>
  <c r="N19" i="14"/>
  <c r="N20" i="14"/>
  <c r="O20" i="14" s="1"/>
  <c r="N21" i="14"/>
  <c r="O21" i="14" s="1"/>
  <c r="N22" i="14"/>
  <c r="N23" i="14"/>
  <c r="O23" i="14" s="1"/>
  <c r="N24" i="14"/>
  <c r="O24" i="14" s="1"/>
  <c r="N25" i="14"/>
  <c r="O25" i="14" s="1"/>
  <c r="N26" i="14"/>
  <c r="O26" i="14" s="1"/>
  <c r="N27" i="14"/>
  <c r="O27" i="14" s="1"/>
  <c r="N28" i="14"/>
  <c r="O28" i="14" s="1"/>
  <c r="N29" i="14"/>
  <c r="O29" i="14" s="1"/>
  <c r="N30" i="14"/>
  <c r="O30" i="14" s="1"/>
  <c r="N31" i="14"/>
  <c r="N32" i="14"/>
  <c r="O32" i="14" s="1"/>
  <c r="N33" i="14"/>
  <c r="O33" i="14" s="1"/>
  <c r="N34" i="14"/>
  <c r="O34" i="14" s="1"/>
  <c r="N35" i="14"/>
  <c r="O35" i="14" s="1"/>
  <c r="N36" i="14"/>
  <c r="O36" i="14" s="1"/>
  <c r="N37" i="14"/>
  <c r="O37" i="14" s="1"/>
  <c r="N38" i="14"/>
  <c r="O38" i="14" s="1"/>
  <c r="N39" i="14"/>
  <c r="N40" i="14"/>
  <c r="O40" i="14" s="1"/>
  <c r="N41" i="14"/>
  <c r="O41" i="14" s="1"/>
  <c r="N42" i="14"/>
  <c r="O42" i="14" s="1"/>
  <c r="N43" i="14"/>
  <c r="O43" i="14" s="1"/>
  <c r="N44" i="14"/>
  <c r="N45" i="14"/>
  <c r="O45" i="14" s="1"/>
  <c r="N46" i="14"/>
  <c r="O46" i="14" s="1"/>
  <c r="N47" i="14"/>
  <c r="O47" i="14" s="1"/>
  <c r="N48" i="14"/>
  <c r="O48" i="14" s="1"/>
  <c r="N49" i="14"/>
  <c r="O49" i="14" s="1"/>
  <c r="N50" i="14"/>
  <c r="O50" i="14" s="1"/>
  <c r="N51" i="14"/>
  <c r="O51" i="14" s="1"/>
  <c r="N52" i="14"/>
  <c r="O52" i="14" s="1"/>
  <c r="N53" i="14"/>
  <c r="O53" i="14" s="1"/>
  <c r="N54" i="14"/>
  <c r="O54" i="14" s="1"/>
  <c r="N55" i="14"/>
  <c r="O55" i="14" s="1"/>
  <c r="N56" i="14"/>
  <c r="O56" i="14" s="1"/>
  <c r="N57" i="14"/>
  <c r="O57" i="14" s="1"/>
  <c r="N58" i="14"/>
  <c r="O58" i="14" s="1"/>
  <c r="N59" i="14"/>
  <c r="O59" i="14" s="1"/>
  <c r="N60" i="14"/>
  <c r="O60" i="14" s="1"/>
  <c r="N61" i="14"/>
  <c r="N62" i="14"/>
  <c r="N63" i="14"/>
  <c r="O63" i="14" s="1"/>
  <c r="N64" i="14"/>
  <c r="O64" i="14" s="1"/>
  <c r="N65" i="14"/>
  <c r="O65" i="14" s="1"/>
  <c r="N66" i="14"/>
  <c r="O66" i="14" s="1"/>
  <c r="N67" i="14"/>
  <c r="O67" i="14" s="1"/>
  <c r="N68" i="14"/>
  <c r="O68" i="14" s="1"/>
  <c r="N69" i="14"/>
  <c r="O69" i="14" s="1"/>
  <c r="N70" i="14"/>
  <c r="O70" i="14" s="1"/>
  <c r="N71" i="14"/>
  <c r="O71" i="14" s="1"/>
  <c r="N72" i="14"/>
  <c r="N73" i="14"/>
  <c r="O73" i="14" s="1"/>
  <c r="N74" i="14"/>
  <c r="O74" i="14" s="1"/>
  <c r="N75" i="14"/>
  <c r="O75" i="14" s="1"/>
  <c r="N76" i="14"/>
  <c r="O76" i="14" s="1"/>
  <c r="N77" i="14"/>
  <c r="N78" i="14"/>
  <c r="O78" i="14" s="1"/>
  <c r="N79" i="14"/>
  <c r="O79" i="14" s="1"/>
  <c r="N80" i="14"/>
  <c r="O80" i="14" s="1"/>
  <c r="N81" i="14"/>
  <c r="O81" i="14" s="1"/>
  <c r="N82" i="14"/>
  <c r="O82" i="14" s="1"/>
  <c r="N83" i="14"/>
  <c r="O83" i="14" s="1"/>
  <c r="N84" i="14"/>
  <c r="N85" i="14"/>
  <c r="O85" i="14" s="1"/>
  <c r="N86" i="14"/>
  <c r="O86" i="14" s="1"/>
  <c r="N87" i="14"/>
  <c r="O87" i="14" s="1"/>
  <c r="N88" i="14"/>
  <c r="O88" i="14" s="1"/>
  <c r="N89" i="14"/>
  <c r="O89" i="14" s="1"/>
  <c r="N90" i="14"/>
  <c r="O90" i="14" s="1"/>
  <c r="N91" i="14"/>
  <c r="O91" i="14" s="1"/>
  <c r="N92" i="14"/>
  <c r="O92" i="14" s="1"/>
  <c r="N93" i="14"/>
  <c r="N94" i="14"/>
  <c r="N95" i="14"/>
  <c r="N96" i="14"/>
  <c r="O96" i="14" s="1"/>
  <c r="N97" i="14"/>
  <c r="O97" i="14" s="1"/>
  <c r="N98" i="14"/>
  <c r="O98" i="14" s="1"/>
  <c r="N99" i="14"/>
  <c r="N100" i="14"/>
  <c r="O100" i="14" s="1"/>
  <c r="N101" i="14"/>
  <c r="O101" i="14" s="1"/>
  <c r="N102" i="14"/>
  <c r="N103" i="14"/>
  <c r="O103" i="14" s="1"/>
  <c r="N104" i="14"/>
  <c r="O104" i="14" s="1"/>
  <c r="N105" i="14"/>
  <c r="O105" i="14" s="1"/>
  <c r="N106" i="14"/>
  <c r="O106" i="14" s="1"/>
  <c r="N107" i="14"/>
  <c r="O107" i="14" s="1"/>
  <c r="N108" i="14"/>
  <c r="O108" i="14" s="1"/>
  <c r="N109" i="14"/>
  <c r="O109" i="14" s="1"/>
  <c r="N110" i="14"/>
  <c r="O110" i="14" s="1"/>
  <c r="N111" i="14"/>
  <c r="O111" i="14" s="1"/>
  <c r="N112" i="14"/>
  <c r="O112" i="14" s="1"/>
  <c r="N113" i="14"/>
  <c r="O113" i="14" s="1"/>
  <c r="N114" i="14"/>
  <c r="O114" i="14" s="1"/>
  <c r="N115" i="14"/>
  <c r="O115" i="14" s="1"/>
  <c r="N116" i="14"/>
  <c r="O116" i="14" s="1"/>
  <c r="N117" i="14"/>
  <c r="O117" i="14" s="1"/>
  <c r="N118" i="14"/>
  <c r="O118" i="14" s="1"/>
  <c r="N119" i="14"/>
  <c r="N120" i="14"/>
  <c r="O120" i="14" s="1"/>
  <c r="N121" i="14"/>
  <c r="O121" i="14" s="1"/>
  <c r="N122" i="14"/>
  <c r="O122" i="14" s="1"/>
  <c r="N123" i="14"/>
  <c r="O123" i="14" s="1"/>
  <c r="N124" i="14"/>
  <c r="O124" i="14" s="1"/>
  <c r="N125" i="14"/>
  <c r="O125" i="14" s="1"/>
  <c r="N126" i="14"/>
  <c r="O126" i="14" s="1"/>
  <c r="N127" i="14"/>
  <c r="O127" i="14" s="1"/>
  <c r="N128" i="14"/>
  <c r="O128" i="14" s="1"/>
  <c r="N129" i="14"/>
  <c r="O129" i="14" s="1"/>
  <c r="N130" i="14"/>
  <c r="O130" i="14" s="1"/>
  <c r="N131" i="14"/>
  <c r="O131" i="14" s="1"/>
  <c r="N132" i="14"/>
  <c r="O132" i="14" s="1"/>
  <c r="N133" i="14"/>
  <c r="N134" i="14"/>
  <c r="O134" i="14" s="1"/>
  <c r="N135" i="14"/>
  <c r="O135" i="14" s="1"/>
  <c r="N136" i="14"/>
  <c r="O136" i="14" s="1"/>
  <c r="N137" i="14"/>
  <c r="O137" i="14" s="1"/>
  <c r="N138" i="14"/>
  <c r="O138" i="14" s="1"/>
  <c r="N139" i="14"/>
  <c r="O139" i="14" s="1"/>
  <c r="N140" i="14"/>
  <c r="O140" i="14" s="1"/>
  <c r="N141" i="14"/>
  <c r="O141" i="14" s="1"/>
  <c r="N142" i="14"/>
  <c r="N143" i="14"/>
  <c r="O143" i="14" s="1"/>
  <c r="N144" i="14"/>
  <c r="N145" i="14"/>
  <c r="O145" i="14" s="1"/>
  <c r="N146" i="14"/>
  <c r="O146" i="14" s="1"/>
  <c r="N147" i="14"/>
  <c r="O147" i="14" s="1"/>
  <c r="N148" i="14"/>
  <c r="O148" i="14" s="1"/>
  <c r="N149" i="14"/>
  <c r="O149" i="14" s="1"/>
  <c r="N150" i="14"/>
  <c r="O150" i="14" s="1"/>
  <c r="N151" i="14"/>
  <c r="O151" i="14" s="1"/>
  <c r="N152" i="14"/>
  <c r="O152" i="14" s="1"/>
  <c r="N153" i="14"/>
  <c r="O153" i="14" s="1"/>
  <c r="N154" i="14"/>
  <c r="O154" i="14" s="1"/>
  <c r="N155" i="14"/>
  <c r="N156" i="14"/>
  <c r="O156" i="14" s="1"/>
  <c r="N157" i="14"/>
  <c r="N158" i="14"/>
  <c r="O158" i="14" s="1"/>
  <c r="N159" i="14"/>
  <c r="O159" i="14" s="1"/>
  <c r="N160" i="14"/>
  <c r="O160" i="14" s="1"/>
  <c r="N161" i="14"/>
  <c r="O161" i="14" s="1"/>
  <c r="N162" i="14"/>
  <c r="O162" i="14" s="1"/>
  <c r="N163" i="14"/>
  <c r="N164" i="14"/>
  <c r="O164" i="14" s="1"/>
  <c r="N15" i="14"/>
  <c r="O15" i="14" s="1"/>
  <c r="Q162" i="14"/>
  <c r="R162" i="14" s="1"/>
  <c r="Q163" i="14"/>
  <c r="R163" i="14"/>
  <c r="Q164" i="14"/>
  <c r="R164" i="14" s="1"/>
  <c r="P167" i="14"/>
  <c r="E162" i="14"/>
  <c r="H162" i="14" s="1"/>
  <c r="E163" i="14"/>
  <c r="H163" i="14" s="1"/>
  <c r="E164" i="14"/>
  <c r="H164" i="14" s="1"/>
  <c r="D13" i="21" l="1"/>
  <c r="D54" i="10"/>
  <c r="D52" i="10"/>
  <c r="P53" i="10"/>
  <c r="N56" i="10"/>
  <c r="O54" i="10" s="1"/>
  <c r="P54" i="10" s="1"/>
  <c r="D12" i="21"/>
  <c r="D9" i="21"/>
  <c r="D8" i="21"/>
  <c r="Q81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O52" i="10" l="1"/>
  <c r="F155" i="1"/>
  <c r="G159" i="1" s="1"/>
  <c r="P52" i="10" l="1"/>
  <c r="P56" i="10" s="1"/>
  <c r="O56" i="10"/>
  <c r="Q15" i="14"/>
  <c r="R15" i="14" s="1"/>
  <c r="F156" i="7" l="1"/>
  <c r="I156" i="7" s="1"/>
  <c r="F175" i="1" l="1"/>
  <c r="M161" i="1"/>
  <c r="M160" i="1"/>
  <c r="C11" i="6" l="1"/>
  <c r="A149" i="13" l="1"/>
  <c r="A150" i="13"/>
  <c r="A151" i="13"/>
  <c r="A152" i="13"/>
  <c r="A153" i="13"/>
  <c r="A154" i="13"/>
  <c r="B154" i="13"/>
  <c r="A155" i="13"/>
  <c r="B155" i="13"/>
  <c r="Q16" i="14"/>
  <c r="E16" i="14" l="1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5" i="14"/>
  <c r="H15" i="14" s="1"/>
  <c r="F16" i="4"/>
  <c r="H7" i="2"/>
  <c r="A4" i="1"/>
  <c r="B4" i="1"/>
  <c r="C4" i="1"/>
  <c r="G4" i="1" s="1"/>
  <c r="D4" i="7" s="1"/>
  <c r="A5" i="1"/>
  <c r="B5" i="1"/>
  <c r="C5" i="1"/>
  <c r="G5" i="1" s="1"/>
  <c r="D5" i="7" s="1"/>
  <c r="A6" i="1"/>
  <c r="B6" i="1"/>
  <c r="C6" i="1"/>
  <c r="A7" i="1"/>
  <c r="B7" i="1"/>
  <c r="C7" i="1"/>
  <c r="A8" i="1"/>
  <c r="B8" i="1"/>
  <c r="C8" i="1"/>
  <c r="A9" i="1"/>
  <c r="B9" i="1"/>
  <c r="C9" i="1"/>
  <c r="G9" i="1" s="1"/>
  <c r="D9" i="7" s="1"/>
  <c r="A10" i="1"/>
  <c r="B10" i="1"/>
  <c r="C10" i="1"/>
  <c r="A11" i="1"/>
  <c r="B11" i="1"/>
  <c r="C11" i="1"/>
  <c r="G11" i="1" s="1"/>
  <c r="D11" i="7" s="1"/>
  <c r="A12" i="1"/>
  <c r="B12" i="1"/>
  <c r="C12" i="1"/>
  <c r="A13" i="1"/>
  <c r="B13" i="1"/>
  <c r="C13" i="1"/>
  <c r="G13" i="1" s="1"/>
  <c r="D13" i="7" s="1"/>
  <c r="A14" i="1"/>
  <c r="B14" i="1"/>
  <c r="C14" i="1"/>
  <c r="G14" i="1" s="1"/>
  <c r="D14" i="7" s="1"/>
  <c r="A15" i="1"/>
  <c r="B15" i="1"/>
  <c r="C15" i="1"/>
  <c r="G15" i="1" s="1"/>
  <c r="D15" i="7" s="1"/>
  <c r="A16" i="1"/>
  <c r="B16" i="1"/>
  <c r="C16" i="1"/>
  <c r="A17" i="1"/>
  <c r="B17" i="1"/>
  <c r="C17" i="1"/>
  <c r="G17" i="1" s="1"/>
  <c r="D17" i="7" s="1"/>
  <c r="A18" i="1"/>
  <c r="B18" i="1"/>
  <c r="C18" i="1"/>
  <c r="A19" i="1"/>
  <c r="B19" i="1"/>
  <c r="C19" i="1"/>
  <c r="A20" i="1"/>
  <c r="B20" i="1"/>
  <c r="C20" i="1"/>
  <c r="G20" i="1" s="1"/>
  <c r="D20" i="7" s="1"/>
  <c r="A21" i="1"/>
  <c r="B21" i="1"/>
  <c r="C21" i="1"/>
  <c r="G21" i="1" s="1"/>
  <c r="D21" i="7" s="1"/>
  <c r="A22" i="1"/>
  <c r="B22" i="1"/>
  <c r="C22" i="1"/>
  <c r="G22" i="1" s="1"/>
  <c r="D22" i="7" s="1"/>
  <c r="A23" i="1"/>
  <c r="B23" i="1"/>
  <c r="C23" i="1"/>
  <c r="G23" i="1" s="1"/>
  <c r="D23" i="7" s="1"/>
  <c r="A24" i="1"/>
  <c r="B24" i="1"/>
  <c r="C24" i="1"/>
  <c r="A25" i="1"/>
  <c r="B25" i="1"/>
  <c r="C25" i="1"/>
  <c r="G25" i="1" s="1"/>
  <c r="D25" i="7" s="1"/>
  <c r="A26" i="1"/>
  <c r="B26" i="1"/>
  <c r="C26" i="1"/>
  <c r="A27" i="1"/>
  <c r="B27" i="1"/>
  <c r="C27" i="1"/>
  <c r="G27" i="1" s="1"/>
  <c r="D27" i="7" s="1"/>
  <c r="A28" i="1"/>
  <c r="B28" i="1"/>
  <c r="C28" i="1"/>
  <c r="A29" i="1"/>
  <c r="B29" i="1"/>
  <c r="C29" i="1"/>
  <c r="G29" i="1" s="1"/>
  <c r="D29" i="7" s="1"/>
  <c r="A30" i="1"/>
  <c r="B30" i="1"/>
  <c r="C30" i="1"/>
  <c r="A31" i="1"/>
  <c r="B31" i="1"/>
  <c r="C31" i="1"/>
  <c r="G31" i="1" s="1"/>
  <c r="D31" i="7" s="1"/>
  <c r="A32" i="1"/>
  <c r="B32" i="1"/>
  <c r="C32" i="1"/>
  <c r="G32" i="1" s="1"/>
  <c r="D32" i="7" s="1"/>
  <c r="A33" i="1"/>
  <c r="B33" i="1"/>
  <c r="C33" i="1"/>
  <c r="G33" i="1" s="1"/>
  <c r="D33" i="7" s="1"/>
  <c r="A34" i="1"/>
  <c r="B34" i="1"/>
  <c r="C34" i="1"/>
  <c r="A35" i="1"/>
  <c r="B35" i="1"/>
  <c r="C35" i="1"/>
  <c r="G35" i="1" s="1"/>
  <c r="D35" i="7" s="1"/>
  <c r="A36" i="1"/>
  <c r="B36" i="1"/>
  <c r="C36" i="1"/>
  <c r="G36" i="1" s="1"/>
  <c r="D36" i="7" s="1"/>
  <c r="A37" i="1"/>
  <c r="B37" i="1"/>
  <c r="C37" i="1"/>
  <c r="A38" i="1"/>
  <c r="B38" i="1"/>
  <c r="C38" i="1"/>
  <c r="G38" i="1" s="1"/>
  <c r="D38" i="7" s="1"/>
  <c r="A39" i="1"/>
  <c r="B39" i="1"/>
  <c r="C39" i="1"/>
  <c r="A40" i="1"/>
  <c r="B40" i="1"/>
  <c r="C40" i="1"/>
  <c r="G40" i="1" s="1"/>
  <c r="D40" i="7" s="1"/>
  <c r="A41" i="1"/>
  <c r="B41" i="1"/>
  <c r="C41" i="1"/>
  <c r="A42" i="1"/>
  <c r="B42" i="1"/>
  <c r="C42" i="1"/>
  <c r="G42" i="1" s="1"/>
  <c r="D42" i="7" s="1"/>
  <c r="A43" i="1"/>
  <c r="B43" i="1"/>
  <c r="C43" i="1"/>
  <c r="G43" i="1" s="1"/>
  <c r="D43" i="7" s="1"/>
  <c r="A44" i="1"/>
  <c r="B44" i="1"/>
  <c r="C44" i="1"/>
  <c r="G44" i="1" s="1"/>
  <c r="D44" i="7" s="1"/>
  <c r="A45" i="1"/>
  <c r="B45" i="1"/>
  <c r="C45" i="1"/>
  <c r="G45" i="1" s="1"/>
  <c r="D45" i="7" s="1"/>
  <c r="A46" i="1"/>
  <c r="B46" i="1"/>
  <c r="C46" i="1"/>
  <c r="A47" i="1"/>
  <c r="B47" i="1"/>
  <c r="C47" i="1"/>
  <c r="G47" i="1" s="1"/>
  <c r="D47" i="7" s="1"/>
  <c r="A48" i="1"/>
  <c r="B48" i="1"/>
  <c r="C48" i="1"/>
  <c r="A49" i="1"/>
  <c r="B49" i="1"/>
  <c r="C49" i="1"/>
  <c r="G49" i="1" s="1"/>
  <c r="D49" i="7" s="1"/>
  <c r="A50" i="1"/>
  <c r="B50" i="1"/>
  <c r="C50" i="1"/>
  <c r="G50" i="1" s="1"/>
  <c r="D50" i="7" s="1"/>
  <c r="A51" i="1"/>
  <c r="B51" i="1"/>
  <c r="C51" i="1"/>
  <c r="A52" i="1"/>
  <c r="B52" i="1"/>
  <c r="C52" i="1"/>
  <c r="A53" i="1"/>
  <c r="B53" i="1"/>
  <c r="C53" i="1"/>
  <c r="G53" i="1" s="1"/>
  <c r="D53" i="7" s="1"/>
  <c r="A54" i="1"/>
  <c r="B54" i="1"/>
  <c r="C54" i="1"/>
  <c r="G54" i="1" s="1"/>
  <c r="D54" i="7" s="1"/>
  <c r="A55" i="1"/>
  <c r="B55" i="1"/>
  <c r="C55" i="1"/>
  <c r="A56" i="1"/>
  <c r="B56" i="1"/>
  <c r="C56" i="1"/>
  <c r="G56" i="1" s="1"/>
  <c r="D56" i="7" s="1"/>
  <c r="A57" i="1"/>
  <c r="B57" i="1"/>
  <c r="C57" i="1"/>
  <c r="A58" i="1"/>
  <c r="B58" i="1"/>
  <c r="C58" i="1"/>
  <c r="G58" i="1" s="1"/>
  <c r="D58" i="7" s="1"/>
  <c r="A59" i="1"/>
  <c r="B59" i="1"/>
  <c r="C59" i="1"/>
  <c r="G59" i="1" s="1"/>
  <c r="D59" i="7" s="1"/>
  <c r="A60" i="1"/>
  <c r="B60" i="1"/>
  <c r="C60" i="1"/>
  <c r="G60" i="1" s="1"/>
  <c r="D60" i="7" s="1"/>
  <c r="A61" i="1"/>
  <c r="B61" i="1"/>
  <c r="C61" i="1"/>
  <c r="G61" i="1" s="1"/>
  <c r="D61" i="7" s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G66" i="1" s="1"/>
  <c r="D66" i="7" s="1"/>
  <c r="A67" i="1"/>
  <c r="B67" i="1"/>
  <c r="C67" i="1"/>
  <c r="G67" i="1" s="1"/>
  <c r="D67" i="7" s="1"/>
  <c r="A68" i="1"/>
  <c r="B68" i="1"/>
  <c r="C68" i="1"/>
  <c r="G68" i="1" s="1"/>
  <c r="D68" i="7" s="1"/>
  <c r="A69" i="1"/>
  <c r="B69" i="1"/>
  <c r="C69" i="1"/>
  <c r="A70" i="1"/>
  <c r="B70" i="1"/>
  <c r="C70" i="1"/>
  <c r="G70" i="1" s="1"/>
  <c r="D70" i="7" s="1"/>
  <c r="A71" i="1"/>
  <c r="B71" i="1"/>
  <c r="C71" i="1"/>
  <c r="A72" i="1"/>
  <c r="B72" i="1"/>
  <c r="C72" i="1"/>
  <c r="G72" i="1" s="1"/>
  <c r="D72" i="7" s="1"/>
  <c r="A73" i="1"/>
  <c r="B73" i="1"/>
  <c r="C73" i="1"/>
  <c r="G73" i="1" s="1"/>
  <c r="D73" i="7" s="1"/>
  <c r="A74" i="1"/>
  <c r="B74" i="1"/>
  <c r="C74" i="1"/>
  <c r="G74" i="1" s="1"/>
  <c r="D74" i="7" s="1"/>
  <c r="A75" i="1"/>
  <c r="B75" i="1"/>
  <c r="C75" i="1"/>
  <c r="G75" i="1" s="1"/>
  <c r="D75" i="7" s="1"/>
  <c r="A76" i="1"/>
  <c r="B76" i="1"/>
  <c r="C76" i="1"/>
  <c r="G76" i="1" s="1"/>
  <c r="D76" i="7" s="1"/>
  <c r="A77" i="1"/>
  <c r="B77" i="1"/>
  <c r="C77" i="1"/>
  <c r="G77" i="1" s="1"/>
  <c r="D77" i="7" s="1"/>
  <c r="A78" i="1"/>
  <c r="B78" i="1"/>
  <c r="C78" i="1"/>
  <c r="A79" i="1"/>
  <c r="B79" i="1"/>
  <c r="C79" i="1"/>
  <c r="G79" i="1" s="1"/>
  <c r="D79" i="7" s="1"/>
  <c r="A80" i="1"/>
  <c r="B80" i="1"/>
  <c r="C80" i="1"/>
  <c r="G80" i="1" s="1"/>
  <c r="D80" i="7" s="1"/>
  <c r="A81" i="1"/>
  <c r="B81" i="1"/>
  <c r="C81" i="1"/>
  <c r="G81" i="1" s="1"/>
  <c r="D81" i="7" s="1"/>
  <c r="A82" i="1"/>
  <c r="B82" i="1"/>
  <c r="C82" i="1"/>
  <c r="G82" i="1" s="1"/>
  <c r="D82" i="7" s="1"/>
  <c r="A83" i="1"/>
  <c r="B83" i="1"/>
  <c r="C83" i="1"/>
  <c r="G83" i="1" s="1"/>
  <c r="D83" i="7" s="1"/>
  <c r="A84" i="1"/>
  <c r="B84" i="1"/>
  <c r="C84" i="1"/>
  <c r="G84" i="1" s="1"/>
  <c r="D84" i="7" s="1"/>
  <c r="A85" i="1"/>
  <c r="B85" i="1"/>
  <c r="C85" i="1"/>
  <c r="G85" i="1" s="1"/>
  <c r="D85" i="7" s="1"/>
  <c r="A86" i="1"/>
  <c r="B86" i="1"/>
  <c r="C86" i="1"/>
  <c r="G86" i="1" s="1"/>
  <c r="D86" i="7" s="1"/>
  <c r="A87" i="1"/>
  <c r="B87" i="1"/>
  <c r="C87" i="1"/>
  <c r="A88" i="1"/>
  <c r="B88" i="1"/>
  <c r="C88" i="1"/>
  <c r="G88" i="1" s="1"/>
  <c r="D88" i="7" s="1"/>
  <c r="A89" i="1"/>
  <c r="B89" i="1"/>
  <c r="C89" i="1"/>
  <c r="G89" i="1" s="1"/>
  <c r="D89" i="7" s="1"/>
  <c r="A90" i="1"/>
  <c r="B90" i="1"/>
  <c r="C90" i="1"/>
  <c r="G90" i="1" s="1"/>
  <c r="D90" i="7" s="1"/>
  <c r="A91" i="1"/>
  <c r="B91" i="1"/>
  <c r="C91" i="1"/>
  <c r="G91" i="1" s="1"/>
  <c r="D91" i="7" s="1"/>
  <c r="A92" i="1"/>
  <c r="B92" i="1"/>
  <c r="C92" i="1"/>
  <c r="G92" i="1" s="1"/>
  <c r="D92" i="7" s="1"/>
  <c r="A93" i="1"/>
  <c r="B93" i="1"/>
  <c r="C93" i="1"/>
  <c r="A94" i="1"/>
  <c r="B94" i="1"/>
  <c r="C94" i="1"/>
  <c r="G94" i="1" s="1"/>
  <c r="D94" i="7" s="1"/>
  <c r="A95" i="1"/>
  <c r="B95" i="1"/>
  <c r="C95" i="1"/>
  <c r="A96" i="1"/>
  <c r="B96" i="1"/>
  <c r="C96" i="1"/>
  <c r="G96" i="1" s="1"/>
  <c r="D96" i="7" s="1"/>
  <c r="A97" i="1"/>
  <c r="B97" i="1"/>
  <c r="C97" i="1"/>
  <c r="G97" i="1" s="1"/>
  <c r="D97" i="7" s="1"/>
  <c r="A98" i="1"/>
  <c r="B98" i="1"/>
  <c r="C98" i="1"/>
  <c r="A99" i="1"/>
  <c r="B99" i="1"/>
  <c r="C99" i="1"/>
  <c r="G99" i="1" s="1"/>
  <c r="D99" i="7" s="1"/>
  <c r="A100" i="1"/>
  <c r="B100" i="1"/>
  <c r="C100" i="1"/>
  <c r="G100" i="1" s="1"/>
  <c r="D100" i="7" s="1"/>
  <c r="A101" i="1"/>
  <c r="B101" i="1"/>
  <c r="C101" i="1"/>
  <c r="G101" i="1" s="1"/>
  <c r="D101" i="7" s="1"/>
  <c r="A102" i="1"/>
  <c r="B102" i="1"/>
  <c r="C102" i="1"/>
  <c r="G102" i="1" s="1"/>
  <c r="D102" i="7" s="1"/>
  <c r="A103" i="1"/>
  <c r="B103" i="1"/>
  <c r="C103" i="1"/>
  <c r="G103" i="1" s="1"/>
  <c r="D103" i="7" s="1"/>
  <c r="A104" i="1"/>
  <c r="B104" i="1"/>
  <c r="C104" i="1"/>
  <c r="A105" i="1"/>
  <c r="B105" i="1"/>
  <c r="C105" i="1"/>
  <c r="G105" i="1" s="1"/>
  <c r="D105" i="7" s="1"/>
  <c r="A106" i="1"/>
  <c r="B106" i="1"/>
  <c r="C106" i="1"/>
  <c r="G106" i="1" s="1"/>
  <c r="D106" i="7" s="1"/>
  <c r="A107" i="1"/>
  <c r="B107" i="1"/>
  <c r="C107" i="1"/>
  <c r="G107" i="1" s="1"/>
  <c r="D107" i="7" s="1"/>
  <c r="A108" i="1"/>
  <c r="B108" i="1"/>
  <c r="C108" i="1"/>
  <c r="G108" i="1" s="1"/>
  <c r="D108" i="7" s="1"/>
  <c r="A109" i="1"/>
  <c r="B109" i="1"/>
  <c r="C109" i="1"/>
  <c r="A110" i="1"/>
  <c r="B110" i="1"/>
  <c r="C110" i="1"/>
  <c r="G110" i="1" s="1"/>
  <c r="D110" i="7" s="1"/>
  <c r="A111" i="1"/>
  <c r="B111" i="1"/>
  <c r="C111" i="1"/>
  <c r="G111" i="1" s="1"/>
  <c r="D111" i="7" s="1"/>
  <c r="A112" i="1"/>
  <c r="B112" i="1"/>
  <c r="C112" i="1"/>
  <c r="A113" i="1"/>
  <c r="B113" i="1"/>
  <c r="C113" i="1"/>
  <c r="G113" i="1" s="1"/>
  <c r="D113" i="7" s="1"/>
  <c r="A114" i="1"/>
  <c r="B114" i="1"/>
  <c r="C114" i="1"/>
  <c r="A115" i="1"/>
  <c r="B115" i="1"/>
  <c r="C115" i="1"/>
  <c r="G115" i="1" s="1"/>
  <c r="D115" i="7" s="1"/>
  <c r="A116" i="1"/>
  <c r="B116" i="1"/>
  <c r="C116" i="1"/>
  <c r="A117" i="1"/>
  <c r="B117" i="1"/>
  <c r="C117" i="1"/>
  <c r="A118" i="1"/>
  <c r="B118" i="1"/>
  <c r="C118" i="1"/>
  <c r="A119" i="1"/>
  <c r="B119" i="1"/>
  <c r="C119" i="1"/>
  <c r="G119" i="1" s="1"/>
  <c r="D119" i="7" s="1"/>
  <c r="A120" i="1"/>
  <c r="B120" i="1"/>
  <c r="C120" i="1"/>
  <c r="A121" i="1"/>
  <c r="B121" i="1"/>
  <c r="C121" i="1"/>
  <c r="G121" i="1" s="1"/>
  <c r="D121" i="7" s="1"/>
  <c r="A122" i="1"/>
  <c r="B122" i="1"/>
  <c r="C122" i="1"/>
  <c r="A123" i="1"/>
  <c r="B123" i="1"/>
  <c r="C123" i="1"/>
  <c r="G123" i="1" s="1"/>
  <c r="D123" i="7" s="1"/>
  <c r="A124" i="1"/>
  <c r="B124" i="1"/>
  <c r="C124" i="1"/>
  <c r="G124" i="1" s="1"/>
  <c r="D124" i="7" s="1"/>
  <c r="A125" i="1"/>
  <c r="B125" i="1"/>
  <c r="C125" i="1"/>
  <c r="A126" i="1"/>
  <c r="B126" i="1"/>
  <c r="C126" i="1"/>
  <c r="G126" i="1" s="1"/>
  <c r="D126" i="7" s="1"/>
  <c r="A127" i="1"/>
  <c r="B127" i="1"/>
  <c r="C127" i="1"/>
  <c r="G127" i="1" s="1"/>
  <c r="D127" i="7" s="1"/>
  <c r="A128" i="1"/>
  <c r="B128" i="1"/>
  <c r="C128" i="1"/>
  <c r="A129" i="1"/>
  <c r="B129" i="1"/>
  <c r="C129" i="1"/>
  <c r="G129" i="1" s="1"/>
  <c r="D129" i="7" s="1"/>
  <c r="A130" i="1"/>
  <c r="B130" i="1"/>
  <c r="C130" i="1"/>
  <c r="A131" i="1"/>
  <c r="B131" i="1"/>
  <c r="C131" i="1"/>
  <c r="A132" i="1"/>
  <c r="B132" i="1"/>
  <c r="C132" i="1"/>
  <c r="G132" i="1" s="1"/>
  <c r="D132" i="7" s="1"/>
  <c r="A133" i="1"/>
  <c r="B133" i="1"/>
  <c r="C133" i="1"/>
  <c r="G133" i="1" s="1"/>
  <c r="D133" i="7" s="1"/>
  <c r="A134" i="1"/>
  <c r="B134" i="1"/>
  <c r="C134" i="1"/>
  <c r="G134" i="1" s="1"/>
  <c r="D134" i="7" s="1"/>
  <c r="A135" i="1"/>
  <c r="B135" i="1"/>
  <c r="C135" i="1"/>
  <c r="G135" i="1" s="1"/>
  <c r="D135" i="7" s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C140" i="1"/>
  <c r="G140" i="1" s="1"/>
  <c r="D140" i="7" s="1"/>
  <c r="A141" i="1"/>
  <c r="B141" i="1"/>
  <c r="C141" i="1"/>
  <c r="G141" i="1" s="1"/>
  <c r="D141" i="7" s="1"/>
  <c r="A142" i="1"/>
  <c r="B142" i="1"/>
  <c r="C142" i="1"/>
  <c r="A143" i="1"/>
  <c r="B143" i="1"/>
  <c r="C143" i="1"/>
  <c r="G143" i="1" s="1"/>
  <c r="D143" i="7" s="1"/>
  <c r="A144" i="1"/>
  <c r="B144" i="1"/>
  <c r="C144" i="1"/>
  <c r="G144" i="1" s="1"/>
  <c r="D144" i="7" s="1"/>
  <c r="A145" i="1"/>
  <c r="B145" i="1"/>
  <c r="C145" i="1"/>
  <c r="G145" i="1" s="1"/>
  <c r="D145" i="7" s="1"/>
  <c r="A146" i="1"/>
  <c r="B146" i="1"/>
  <c r="C146" i="1"/>
  <c r="G146" i="1" s="1"/>
  <c r="D146" i="7" s="1"/>
  <c r="A147" i="1"/>
  <c r="B147" i="1"/>
  <c r="C147" i="1"/>
  <c r="G147" i="1" s="1"/>
  <c r="D147" i="7" s="1"/>
  <c r="A148" i="1"/>
  <c r="B148" i="1"/>
  <c r="C148" i="1"/>
  <c r="G148" i="1" s="1"/>
  <c r="D148" i="7" s="1"/>
  <c r="A149" i="1"/>
  <c r="B149" i="1"/>
  <c r="B149" i="7" s="1"/>
  <c r="C149" i="1"/>
  <c r="G149" i="1" s="1"/>
  <c r="D149" i="7" s="1"/>
  <c r="A150" i="1"/>
  <c r="B150" i="1"/>
  <c r="C150" i="1"/>
  <c r="A151" i="1"/>
  <c r="B151" i="1"/>
  <c r="C151" i="1"/>
  <c r="A152" i="1"/>
  <c r="B152" i="1"/>
  <c r="C152" i="1"/>
  <c r="B3" i="1"/>
  <c r="C3" i="1"/>
  <c r="A3" i="1"/>
  <c r="Q159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AQ22" i="16" s="1"/>
  <c r="N23" i="16"/>
  <c r="N24" i="16"/>
  <c r="N25" i="16"/>
  <c r="N26" i="16"/>
  <c r="N27" i="16"/>
  <c r="N28" i="16"/>
  <c r="AR28" i="16" s="1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5" i="16"/>
  <c r="N6" i="16"/>
  <c r="AD161" i="16"/>
  <c r="AC161" i="16"/>
  <c r="AD159" i="16"/>
  <c r="AD160" i="16" s="1"/>
  <c r="AC159" i="16"/>
  <c r="AC160" i="16" s="1"/>
  <c r="X161" i="16"/>
  <c r="X159" i="16"/>
  <c r="X160" i="16" s="1"/>
  <c r="Y159" i="16"/>
  <c r="A155" i="1" l="1"/>
  <c r="C164" i="14"/>
  <c r="G152" i="1"/>
  <c r="D152" i="7" s="1"/>
  <c r="B151" i="7"/>
  <c r="B163" i="14"/>
  <c r="A150" i="5"/>
  <c r="I136" i="1"/>
  <c r="G136" i="1"/>
  <c r="D136" i="7" s="1"/>
  <c r="I128" i="1"/>
  <c r="G128" i="1"/>
  <c r="D128" i="7" s="1"/>
  <c r="I116" i="1"/>
  <c r="G116" i="1"/>
  <c r="D116" i="7" s="1"/>
  <c r="I112" i="1"/>
  <c r="G112" i="1"/>
  <c r="D112" i="7" s="1"/>
  <c r="I28" i="1"/>
  <c r="G28" i="1"/>
  <c r="D28" i="7" s="1"/>
  <c r="I12" i="1"/>
  <c r="G12" i="1"/>
  <c r="D12" i="7" s="1"/>
  <c r="I8" i="1"/>
  <c r="G8" i="1"/>
  <c r="D8" i="7" s="1"/>
  <c r="B152" i="7"/>
  <c r="B164" i="14"/>
  <c r="A151" i="5"/>
  <c r="I117" i="1"/>
  <c r="G117" i="1"/>
  <c r="D117" i="7" s="1"/>
  <c r="I37" i="1"/>
  <c r="G37" i="1"/>
  <c r="D37" i="7" s="1"/>
  <c r="A152" i="5"/>
  <c r="G150" i="1"/>
  <c r="D150" i="7" s="1"/>
  <c r="C162" i="14"/>
  <c r="D162" i="14" s="1"/>
  <c r="F162" i="14" s="1"/>
  <c r="G162" i="14" s="1"/>
  <c r="I162" i="14" s="1"/>
  <c r="J162" i="14" s="1"/>
  <c r="S162" i="14" s="1"/>
  <c r="T162" i="14" s="1"/>
  <c r="C150" i="5" s="1"/>
  <c r="G142" i="1"/>
  <c r="D142" i="7" s="1"/>
  <c r="I142" i="1"/>
  <c r="G46" i="1"/>
  <c r="D46" i="7" s="1"/>
  <c r="I46" i="1"/>
  <c r="G34" i="1"/>
  <c r="D34" i="7" s="1"/>
  <c r="I34" i="1"/>
  <c r="G30" i="1"/>
  <c r="D30" i="7" s="1"/>
  <c r="I30" i="1"/>
  <c r="G18" i="1"/>
  <c r="D18" i="7" s="1"/>
  <c r="I18" i="1"/>
  <c r="G151" i="1"/>
  <c r="D151" i="7" s="1"/>
  <c r="C163" i="14"/>
  <c r="D163" i="14" s="1"/>
  <c r="F163" i="14" s="1"/>
  <c r="G163" i="14" s="1"/>
  <c r="I163" i="14" s="1"/>
  <c r="J163" i="14" s="1"/>
  <c r="S163" i="14" s="1"/>
  <c r="T163" i="14" s="1"/>
  <c r="C151" i="5" s="1"/>
  <c r="B150" i="7"/>
  <c r="B162" i="14"/>
  <c r="G87" i="1"/>
  <c r="D87" i="7" s="1"/>
  <c r="I87" i="1"/>
  <c r="G55" i="1"/>
  <c r="D55" i="7" s="1"/>
  <c r="I55" i="1"/>
  <c r="G39" i="1"/>
  <c r="D39" i="7" s="1"/>
  <c r="I39" i="1"/>
  <c r="G19" i="1"/>
  <c r="D19" i="7" s="1"/>
  <c r="I19" i="1"/>
  <c r="K152" i="1"/>
  <c r="K136" i="1"/>
  <c r="D152" i="1"/>
  <c r="C152" i="7" s="1"/>
  <c r="D150" i="1"/>
  <c r="C150" i="7" s="1"/>
  <c r="D151" i="1"/>
  <c r="C151" i="7" s="1"/>
  <c r="A150" i="7"/>
  <c r="A151" i="7"/>
  <c r="A152" i="7"/>
  <c r="A149" i="7"/>
  <c r="C152" i="14"/>
  <c r="D140" i="1"/>
  <c r="D136" i="1"/>
  <c r="C148" i="14"/>
  <c r="C140" i="14"/>
  <c r="D128" i="1"/>
  <c r="D141" i="1"/>
  <c r="C153" i="14"/>
  <c r="D137" i="1"/>
  <c r="C149" i="14"/>
  <c r="C109" i="14"/>
  <c r="D97" i="1"/>
  <c r="D93" i="1"/>
  <c r="C105" i="14"/>
  <c r="C15" i="14"/>
  <c r="D3" i="1"/>
  <c r="C142" i="14"/>
  <c r="D130" i="1"/>
  <c r="C122" i="14"/>
  <c r="D110" i="1"/>
  <c r="C102" i="14"/>
  <c r="D90" i="1"/>
  <c r="C98" i="14"/>
  <c r="D86" i="1"/>
  <c r="C90" i="14"/>
  <c r="D78" i="1"/>
  <c r="C86" i="14"/>
  <c r="D74" i="1"/>
  <c r="C82" i="14"/>
  <c r="D70" i="1"/>
  <c r="C78" i="14"/>
  <c r="D66" i="1"/>
  <c r="C54" i="14"/>
  <c r="D42" i="1"/>
  <c r="C50" i="14"/>
  <c r="D38" i="1"/>
  <c r="C46" i="14"/>
  <c r="D34" i="1"/>
  <c r="C42" i="14"/>
  <c r="D30" i="1"/>
  <c r="C38" i="14"/>
  <c r="D26" i="1"/>
  <c r="C26" i="14"/>
  <c r="D14" i="1"/>
  <c r="C22" i="14"/>
  <c r="D10" i="1"/>
  <c r="C18" i="14"/>
  <c r="D6" i="1"/>
  <c r="D147" i="1"/>
  <c r="C159" i="14"/>
  <c r="D143" i="1"/>
  <c r="C155" i="14"/>
  <c r="D139" i="1"/>
  <c r="C151" i="14"/>
  <c r="D135" i="1"/>
  <c r="C147" i="14"/>
  <c r="D131" i="1"/>
  <c r="C143" i="14"/>
  <c r="D127" i="1"/>
  <c r="C139" i="14"/>
  <c r="D123" i="1"/>
  <c r="C135" i="14"/>
  <c r="D119" i="1"/>
  <c r="C131" i="14"/>
  <c r="D115" i="1"/>
  <c r="C127" i="14"/>
  <c r="D111" i="1"/>
  <c r="C123" i="14"/>
  <c r="D107" i="1"/>
  <c r="C119" i="14"/>
  <c r="D103" i="1"/>
  <c r="C115" i="14"/>
  <c r="D99" i="1"/>
  <c r="C111" i="14"/>
  <c r="D95" i="1"/>
  <c r="C107" i="14"/>
  <c r="D91" i="1"/>
  <c r="C103" i="14"/>
  <c r="D87" i="1"/>
  <c r="C99" i="14"/>
  <c r="D83" i="1"/>
  <c r="C95" i="14"/>
  <c r="D79" i="1"/>
  <c r="C91" i="14"/>
  <c r="D75" i="1"/>
  <c r="C87" i="14"/>
  <c r="D71" i="1"/>
  <c r="C83" i="14"/>
  <c r="D67" i="1"/>
  <c r="C79" i="14"/>
  <c r="D63" i="1"/>
  <c r="C75" i="14"/>
  <c r="D59" i="1"/>
  <c r="C71" i="14"/>
  <c r="D55" i="1"/>
  <c r="C67" i="14"/>
  <c r="D51" i="1"/>
  <c r="C63" i="14"/>
  <c r="D47" i="1"/>
  <c r="C59" i="14"/>
  <c r="D43" i="1"/>
  <c r="C55" i="14"/>
  <c r="D39" i="1"/>
  <c r="C51" i="14"/>
  <c r="D35" i="1"/>
  <c r="C47" i="14"/>
  <c r="D31" i="1"/>
  <c r="C43" i="14"/>
  <c r="D27" i="1"/>
  <c r="C39" i="14"/>
  <c r="D23" i="1"/>
  <c r="C35" i="14"/>
  <c r="D19" i="1"/>
  <c r="C31" i="14"/>
  <c r="D15" i="1"/>
  <c r="C27" i="14"/>
  <c r="D11" i="1"/>
  <c r="C23" i="14"/>
  <c r="D7" i="1"/>
  <c r="C19" i="14"/>
  <c r="D132" i="1"/>
  <c r="C144" i="14"/>
  <c r="C136" i="14"/>
  <c r="D124" i="1"/>
  <c r="D120" i="1"/>
  <c r="C132" i="14"/>
  <c r="D116" i="1"/>
  <c r="C128" i="14"/>
  <c r="C124" i="14"/>
  <c r="D112" i="1"/>
  <c r="C120" i="14"/>
  <c r="D108" i="1"/>
  <c r="D104" i="1"/>
  <c r="C116" i="14"/>
  <c r="D100" i="1"/>
  <c r="C112" i="14"/>
  <c r="C108" i="14"/>
  <c r="D96" i="1"/>
  <c r="C104" i="14"/>
  <c r="D92" i="1"/>
  <c r="D88" i="1"/>
  <c r="C100" i="14"/>
  <c r="D84" i="1"/>
  <c r="C96" i="14"/>
  <c r="C92" i="14"/>
  <c r="D80" i="1"/>
  <c r="C88" i="14"/>
  <c r="D76" i="1"/>
  <c r="D72" i="1"/>
  <c r="C84" i="14"/>
  <c r="C80" i="14"/>
  <c r="D68" i="1"/>
  <c r="C76" i="14"/>
  <c r="D64" i="1"/>
  <c r="C72" i="14"/>
  <c r="D60" i="1"/>
  <c r="D56" i="1"/>
  <c r="C68" i="14"/>
  <c r="C64" i="14"/>
  <c r="D52" i="1"/>
  <c r="C60" i="14"/>
  <c r="D48" i="1"/>
  <c r="C56" i="14"/>
  <c r="D44" i="1"/>
  <c r="C52" i="14"/>
  <c r="D40" i="1"/>
  <c r="C48" i="14"/>
  <c r="D36" i="1"/>
  <c r="C44" i="14"/>
  <c r="D32" i="1"/>
  <c r="C40" i="14"/>
  <c r="D28" i="1"/>
  <c r="C36" i="14"/>
  <c r="D24" i="1"/>
  <c r="C32" i="14"/>
  <c r="D20" i="1"/>
  <c r="C28" i="14"/>
  <c r="D16" i="1"/>
  <c r="C24" i="14"/>
  <c r="D12" i="1"/>
  <c r="C20" i="14"/>
  <c r="D8" i="1"/>
  <c r="C16" i="14"/>
  <c r="D4" i="1"/>
  <c r="C160" i="14"/>
  <c r="D148" i="1"/>
  <c r="C161" i="14"/>
  <c r="D149" i="1"/>
  <c r="C149" i="7" s="1"/>
  <c r="C157" i="14"/>
  <c r="D145" i="1"/>
  <c r="C145" i="14"/>
  <c r="D133" i="1"/>
  <c r="C141" i="14"/>
  <c r="D129" i="1"/>
  <c r="D125" i="1"/>
  <c r="C137" i="14"/>
  <c r="C125" i="14"/>
  <c r="D113" i="1"/>
  <c r="D109" i="1"/>
  <c r="C121" i="14"/>
  <c r="C113" i="14"/>
  <c r="D101" i="1"/>
  <c r="C101" i="14"/>
  <c r="D89" i="1"/>
  <c r="C97" i="14"/>
  <c r="D85" i="1"/>
  <c r="C93" i="14"/>
  <c r="D81" i="1"/>
  <c r="D77" i="1"/>
  <c r="C89" i="14"/>
  <c r="D73" i="1"/>
  <c r="C85" i="14"/>
  <c r="C81" i="14"/>
  <c r="D69" i="1"/>
  <c r="C77" i="14"/>
  <c r="D65" i="1"/>
  <c r="D61" i="1"/>
  <c r="C73" i="14"/>
  <c r="C69" i="14"/>
  <c r="D57" i="1"/>
  <c r="C65" i="14"/>
  <c r="D53" i="1"/>
  <c r="C61" i="14"/>
  <c r="D49" i="1"/>
  <c r="D45" i="1"/>
  <c r="C57" i="14"/>
  <c r="C53" i="14"/>
  <c r="D41" i="1"/>
  <c r="C49" i="14"/>
  <c r="D37" i="1"/>
  <c r="C45" i="14"/>
  <c r="D33" i="1"/>
  <c r="D29" i="1"/>
  <c r="C41" i="14"/>
  <c r="C37" i="14"/>
  <c r="D25" i="1"/>
  <c r="C33" i="14"/>
  <c r="D21" i="1"/>
  <c r="D17" i="1"/>
  <c r="C29" i="14"/>
  <c r="D13" i="1"/>
  <c r="C25" i="14"/>
  <c r="C21" i="14"/>
  <c r="D9" i="1"/>
  <c r="D5" i="1"/>
  <c r="C17" i="14"/>
  <c r="C156" i="14"/>
  <c r="D144" i="1"/>
  <c r="C133" i="14"/>
  <c r="D121" i="1"/>
  <c r="C129" i="14"/>
  <c r="D117" i="1"/>
  <c r="C117" i="14"/>
  <c r="D105" i="1"/>
  <c r="C158" i="14"/>
  <c r="D146" i="1"/>
  <c r="C154" i="14"/>
  <c r="D142" i="1"/>
  <c r="C150" i="14"/>
  <c r="D138" i="1"/>
  <c r="C146" i="14"/>
  <c r="D134" i="1"/>
  <c r="C138" i="14"/>
  <c r="D126" i="1"/>
  <c r="C134" i="14"/>
  <c r="D122" i="1"/>
  <c r="C130" i="14"/>
  <c r="D118" i="1"/>
  <c r="C126" i="14"/>
  <c r="D114" i="1"/>
  <c r="C118" i="14"/>
  <c r="D106" i="1"/>
  <c r="C114" i="14"/>
  <c r="D102" i="1"/>
  <c r="C110" i="14"/>
  <c r="D98" i="1"/>
  <c r="C106" i="14"/>
  <c r="D94" i="1"/>
  <c r="C94" i="14"/>
  <c r="D82" i="1"/>
  <c r="C74" i="14"/>
  <c r="D62" i="1"/>
  <c r="C70" i="14"/>
  <c r="D58" i="1"/>
  <c r="C66" i="14"/>
  <c r="D54" i="1"/>
  <c r="C62" i="14"/>
  <c r="D50" i="1"/>
  <c r="C58" i="14"/>
  <c r="D46" i="1"/>
  <c r="C34" i="14"/>
  <c r="D22" i="1"/>
  <c r="C30" i="14"/>
  <c r="D18" i="1"/>
  <c r="K151" i="1"/>
  <c r="K143" i="1"/>
  <c r="K139" i="1"/>
  <c r="K135" i="1"/>
  <c r="K131" i="1"/>
  <c r="K127" i="1"/>
  <c r="K123" i="1"/>
  <c r="K119" i="1"/>
  <c r="K115" i="1"/>
  <c r="K111" i="1"/>
  <c r="K107" i="1"/>
  <c r="K103" i="1"/>
  <c r="K99" i="1"/>
  <c r="K95" i="1"/>
  <c r="K91" i="1"/>
  <c r="K87" i="1"/>
  <c r="K83" i="1"/>
  <c r="K79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7" i="1"/>
  <c r="K147" i="1"/>
  <c r="K148" i="1"/>
  <c r="K144" i="1"/>
  <c r="K140" i="1"/>
  <c r="K132" i="1"/>
  <c r="K128" i="1"/>
  <c r="K124" i="1"/>
  <c r="K120" i="1"/>
  <c r="K116" i="1"/>
  <c r="K112" i="1"/>
  <c r="K108" i="1"/>
  <c r="K104" i="1"/>
  <c r="K100" i="1"/>
  <c r="K96" i="1"/>
  <c r="K92" i="1"/>
  <c r="K88" i="1"/>
  <c r="K84" i="1"/>
  <c r="K80" i="1"/>
  <c r="K76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8" i="1"/>
  <c r="K4" i="1"/>
  <c r="K141" i="1"/>
  <c r="K137" i="1"/>
  <c r="K133" i="1"/>
  <c r="K129" i="1"/>
  <c r="K125" i="1"/>
  <c r="K121" i="1"/>
  <c r="K117" i="1"/>
  <c r="K113" i="1"/>
  <c r="K109" i="1"/>
  <c r="K105" i="1"/>
  <c r="K101" i="1"/>
  <c r="K97" i="1"/>
  <c r="K93" i="1"/>
  <c r="K89" i="1"/>
  <c r="K85" i="1"/>
  <c r="K81" i="1"/>
  <c r="K77" i="1"/>
  <c r="K73" i="1"/>
  <c r="K69" i="1"/>
  <c r="K65" i="1"/>
  <c r="K61" i="1"/>
  <c r="K57" i="1"/>
  <c r="K53" i="1"/>
  <c r="K49" i="1"/>
  <c r="K45" i="1"/>
  <c r="K41" i="1"/>
  <c r="K37" i="1"/>
  <c r="K33" i="1"/>
  <c r="K29" i="1"/>
  <c r="K25" i="1"/>
  <c r="K21" i="1"/>
  <c r="K17" i="1"/>
  <c r="K13" i="1"/>
  <c r="K9" i="1"/>
  <c r="K5" i="1"/>
  <c r="K149" i="1"/>
  <c r="K145" i="1"/>
  <c r="K3" i="1"/>
  <c r="K150" i="1"/>
  <c r="K146" i="1"/>
  <c r="K142" i="1"/>
  <c r="K138" i="1"/>
  <c r="K134" i="1"/>
  <c r="K130" i="1"/>
  <c r="K126" i="1"/>
  <c r="K122" i="1"/>
  <c r="K118" i="1"/>
  <c r="K114" i="1"/>
  <c r="K110" i="1"/>
  <c r="K106" i="1"/>
  <c r="K102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K6" i="1"/>
  <c r="C155" i="1"/>
  <c r="D159" i="1"/>
  <c r="T161" i="16"/>
  <c r="T159" i="16"/>
  <c r="T160" i="16" s="1"/>
  <c r="N159" i="16"/>
  <c r="M159" i="16"/>
  <c r="D164" i="14" l="1"/>
  <c r="F164" i="14" s="1"/>
  <c r="G164" i="14" s="1"/>
  <c r="I164" i="14" s="1"/>
  <c r="J164" i="14" s="1"/>
  <c r="G155" i="1"/>
  <c r="G158" i="1" s="1"/>
  <c r="G162" i="1" s="1"/>
  <c r="I16" i="4" s="1"/>
  <c r="I155" i="1"/>
  <c r="I158" i="1" s="1"/>
  <c r="D155" i="1"/>
  <c r="D158" i="1" s="1"/>
  <c r="D162" i="1" s="1"/>
  <c r="I10" i="4" s="1"/>
  <c r="O149" i="16"/>
  <c r="O153" i="16"/>
  <c r="P153" i="16" s="1"/>
  <c r="O150" i="16"/>
  <c r="O154" i="16"/>
  <c r="P154" i="16" s="1"/>
  <c r="O151" i="16"/>
  <c r="O155" i="16"/>
  <c r="P155" i="16" s="1"/>
  <c r="O152" i="16"/>
  <c r="O7" i="16"/>
  <c r="O6" i="16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S164" i="14" l="1"/>
  <c r="T164" i="14" s="1"/>
  <c r="C152" i="5" s="1"/>
  <c r="AH155" i="16"/>
  <c r="AB155" i="16"/>
  <c r="B153" i="13" s="1"/>
  <c r="AK155" i="16"/>
  <c r="AR155" i="16" s="1"/>
  <c r="AE153" i="16"/>
  <c r="AH153" i="16"/>
  <c r="AK153" i="16"/>
  <c r="AR153" i="16" s="1"/>
  <c r="AE154" i="16"/>
  <c r="AH154" i="16"/>
  <c r="AK154" i="16"/>
  <c r="AR154" i="16" s="1"/>
  <c r="AE155" i="16"/>
  <c r="Z155" i="16"/>
  <c r="AB153" i="16"/>
  <c r="B151" i="13" s="1"/>
  <c r="Z153" i="16"/>
  <c r="Z154" i="16"/>
  <c r="AB154" i="16"/>
  <c r="B152" i="13" s="1"/>
  <c r="F10" i="10"/>
  <c r="F37" i="10" s="1"/>
  <c r="AA155" i="16" l="1"/>
  <c r="AA154" i="16"/>
  <c r="AA153" i="16"/>
  <c r="J10" i="10" l="1"/>
  <c r="J37" i="10" s="1"/>
  <c r="AF10" i="3" l="1"/>
  <c r="J109" i="3"/>
  <c r="AF103" i="3"/>
  <c r="AF89" i="3"/>
  <c r="AF85" i="3"/>
  <c r="AF81" i="3"/>
  <c r="Z113" i="3"/>
  <c r="J113" i="3"/>
  <c r="I113" i="3"/>
  <c r="H113" i="3"/>
  <c r="F113" i="3"/>
  <c r="E113" i="3"/>
  <c r="D113" i="3"/>
  <c r="X112" i="3"/>
  <c r="K112" i="3"/>
  <c r="J112" i="3"/>
  <c r="I112" i="3"/>
  <c r="H112" i="3"/>
  <c r="G112" i="3"/>
  <c r="F112" i="3"/>
  <c r="E112" i="3"/>
  <c r="D112" i="3"/>
  <c r="C112" i="3"/>
  <c r="AD110" i="3"/>
  <c r="Z110" i="3"/>
  <c r="J110" i="3"/>
  <c r="I110" i="3"/>
  <c r="H110" i="3"/>
  <c r="F110" i="3"/>
  <c r="D110" i="3"/>
  <c r="K105" i="3"/>
  <c r="J105" i="3"/>
  <c r="I105" i="3"/>
  <c r="H105" i="3"/>
  <c r="G105" i="3"/>
  <c r="F105" i="3"/>
  <c r="E105" i="3"/>
  <c r="D105" i="3"/>
  <c r="C105" i="3"/>
  <c r="AF37" i="3" l="1"/>
  <c r="AF42" i="3"/>
  <c r="AF97" i="3"/>
  <c r="AD112" i="3"/>
  <c r="AF56" i="3"/>
  <c r="AF65" i="3"/>
  <c r="AF69" i="3"/>
  <c r="AF73" i="3"/>
  <c r="AF92" i="3"/>
  <c r="AF36" i="3"/>
  <c r="AF64" i="3"/>
  <c r="AF68" i="3"/>
  <c r="AF72" i="3"/>
  <c r="AF99" i="3"/>
  <c r="AF52" i="3"/>
  <c r="AF60" i="3"/>
  <c r="AF14" i="3"/>
  <c r="AF18" i="3"/>
  <c r="AF22" i="3"/>
  <c r="AF26" i="3"/>
  <c r="AF30" i="3"/>
  <c r="AF33" i="3"/>
  <c r="AF38" i="3"/>
  <c r="AB112" i="3"/>
  <c r="AF44" i="3"/>
  <c r="AF62" i="3"/>
  <c r="AF17" i="3"/>
  <c r="AF12" i="3"/>
  <c r="AF20" i="3"/>
  <c r="AF11" i="3"/>
  <c r="AF15" i="3"/>
  <c r="AF19" i="3"/>
  <c r="AF23" i="3"/>
  <c r="AF27" i="3"/>
  <c r="AF31" i="3"/>
  <c r="AF21" i="3"/>
  <c r="AF25" i="3"/>
  <c r="AF29" i="3"/>
  <c r="AF13" i="3"/>
  <c r="AF16" i="3"/>
  <c r="AF24" i="3"/>
  <c r="AF28" i="3"/>
  <c r="AF34" i="3"/>
  <c r="AB111" i="3"/>
  <c r="Z112" i="3"/>
  <c r="AF43" i="3"/>
  <c r="C110" i="3"/>
  <c r="G110" i="3"/>
  <c r="AA110" i="3"/>
  <c r="K110" i="3"/>
  <c r="AE110" i="3"/>
  <c r="X109" i="3"/>
  <c r="AD111" i="3"/>
  <c r="AF35" i="3"/>
  <c r="Y109" i="3"/>
  <c r="AC109" i="3"/>
  <c r="X111" i="3"/>
  <c r="E110" i="3"/>
  <c r="Y110" i="3"/>
  <c r="AB109" i="3"/>
  <c r="Y111" i="3"/>
  <c r="AC111" i="3"/>
  <c r="Z111" i="3"/>
  <c r="AC110" i="3"/>
  <c r="F109" i="3"/>
  <c r="F111" i="3"/>
  <c r="J111" i="3"/>
  <c r="Y112" i="3"/>
  <c r="AC112" i="3"/>
  <c r="AF46" i="3"/>
  <c r="AD113" i="3"/>
  <c r="AF50" i="3"/>
  <c r="AF54" i="3"/>
  <c r="AF58" i="3"/>
  <c r="AF66" i="3"/>
  <c r="AF70" i="3"/>
  <c r="AF74" i="3"/>
  <c r="C109" i="3"/>
  <c r="G109" i="3"/>
  <c r="K109" i="3"/>
  <c r="C111" i="3"/>
  <c r="G111" i="3"/>
  <c r="K111" i="3"/>
  <c r="AF47" i="3"/>
  <c r="AF51" i="3"/>
  <c r="AF55" i="3"/>
  <c r="AF59" i="3"/>
  <c r="AF76" i="3"/>
  <c r="D109" i="3"/>
  <c r="H109" i="3"/>
  <c r="D111" i="3"/>
  <c r="H111" i="3"/>
  <c r="AA111" i="3"/>
  <c r="AE111" i="3"/>
  <c r="AA112" i="3"/>
  <c r="AE112" i="3"/>
  <c r="C113" i="3"/>
  <c r="G113" i="3"/>
  <c r="AA113" i="3"/>
  <c r="K113" i="3"/>
  <c r="AE113" i="3"/>
  <c r="X110" i="3"/>
  <c r="AB110" i="3"/>
  <c r="E109" i="3"/>
  <c r="E114" i="3" s="1"/>
  <c r="E118" i="3" s="1"/>
  <c r="I109" i="3"/>
  <c r="E111" i="3"/>
  <c r="I111" i="3"/>
  <c r="AF45" i="3"/>
  <c r="AF49" i="3"/>
  <c r="AF53" i="3"/>
  <c r="AF57" i="3"/>
  <c r="AF61" i="3"/>
  <c r="AF63" i="3"/>
  <c r="AF67" i="3"/>
  <c r="AF71" i="3"/>
  <c r="AF75" i="3"/>
  <c r="AF78" i="3"/>
  <c r="AF82" i="3"/>
  <c r="AF86" i="3"/>
  <c r="AF90" i="3"/>
  <c r="AF77" i="3"/>
  <c r="AF79" i="3"/>
  <c r="AF83" i="3"/>
  <c r="AF87" i="3"/>
  <c r="AF91" i="3"/>
  <c r="X113" i="3"/>
  <c r="AB113" i="3"/>
  <c r="AF80" i="3"/>
  <c r="AF84" i="3"/>
  <c r="AF88" i="3"/>
  <c r="AF93" i="3"/>
  <c r="AF94" i="3"/>
  <c r="AF95" i="3"/>
  <c r="AF96" i="3"/>
  <c r="Y113" i="3"/>
  <c r="AC113" i="3"/>
  <c r="AF98" i="3"/>
  <c r="AF100" i="3"/>
  <c r="AF102" i="3"/>
  <c r="AF101" i="3"/>
  <c r="D114" i="3" l="1"/>
  <c r="D118" i="3" s="1"/>
  <c r="H114" i="3"/>
  <c r="H118" i="3" s="1"/>
  <c r="J114" i="3"/>
  <c r="J118" i="3" s="1"/>
  <c r="W111" i="3"/>
  <c r="AF111" i="3" s="1"/>
  <c r="AF40" i="3"/>
  <c r="K114" i="3"/>
  <c r="K118" i="3" s="1"/>
  <c r="F114" i="3"/>
  <c r="F118" i="3" s="1"/>
  <c r="Y114" i="3"/>
  <c r="Y122" i="3" s="1"/>
  <c r="X114" i="3"/>
  <c r="X122" i="3" s="1"/>
  <c r="N105" i="3"/>
  <c r="M105" i="3"/>
  <c r="I114" i="3"/>
  <c r="I118" i="3" s="1"/>
  <c r="W113" i="3"/>
  <c r="AF48" i="3"/>
  <c r="W112" i="3"/>
  <c r="AF41" i="3"/>
  <c r="W109" i="3"/>
  <c r="AF39" i="3"/>
  <c r="G114" i="3"/>
  <c r="G118" i="3" s="1"/>
  <c r="O105" i="3"/>
  <c r="W110" i="3"/>
  <c r="AF32" i="3"/>
  <c r="C114" i="3"/>
  <c r="C118" i="3" s="1"/>
  <c r="AB114" i="3"/>
  <c r="AB122" i="3" s="1"/>
  <c r="AE105" i="3"/>
  <c r="Y105" i="3"/>
  <c r="AC114" i="3"/>
  <c r="AC121" i="3" s="1"/>
  <c r="AB105" i="3"/>
  <c r="R105" i="3"/>
  <c r="S105" i="3"/>
  <c r="Q105" i="3"/>
  <c r="AA105" i="3"/>
  <c r="T105" i="3"/>
  <c r="AC105" i="3"/>
  <c r="X105" i="3"/>
  <c r="P105" i="3"/>
  <c r="H62" i="10" l="1"/>
  <c r="H63" i="10" s="1"/>
  <c r="D16" i="21"/>
  <c r="D15" i="21"/>
  <c r="F62" i="10"/>
  <c r="F63" i="10" s="1"/>
  <c r="Y118" i="3"/>
  <c r="D62" i="10"/>
  <c r="D63" i="10" s="1"/>
  <c r="I62" i="10"/>
  <c r="I63" i="10" s="1"/>
  <c r="D17" i="21"/>
  <c r="Y121" i="3"/>
  <c r="Y120" i="3"/>
  <c r="X118" i="3"/>
  <c r="AC118" i="3"/>
  <c r="AC122" i="3"/>
  <c r="AB120" i="3"/>
  <c r="AC120" i="3"/>
  <c r="AB118" i="3"/>
  <c r="AA109" i="3"/>
  <c r="AA114" i="3" s="1"/>
  <c r="Y123" i="3"/>
  <c r="AB123" i="3"/>
  <c r="AC123" i="3"/>
  <c r="W114" i="3"/>
  <c r="AF113" i="3"/>
  <c r="D27" i="21" s="1"/>
  <c r="W105" i="3"/>
  <c r="E62" i="10" s="1"/>
  <c r="E63" i="10" s="1"/>
  <c r="X120" i="3"/>
  <c r="Z105" i="3"/>
  <c r="Z109" i="3"/>
  <c r="X123" i="3"/>
  <c r="AF110" i="3"/>
  <c r="D25" i="21" s="1"/>
  <c r="X121" i="3"/>
  <c r="AE109" i="3"/>
  <c r="AF112" i="3"/>
  <c r="D26" i="21" s="1"/>
  <c r="AB121" i="3"/>
  <c r="AD105" i="3"/>
  <c r="D14" i="21" s="1"/>
  <c r="AD109" i="3"/>
  <c r="AF109" i="3" l="1"/>
  <c r="D24" i="21" s="1"/>
  <c r="G62" i="10"/>
  <c r="G63" i="10" s="1"/>
  <c r="AF105" i="3"/>
  <c r="G17" i="21"/>
  <c r="I17" i="21" s="1"/>
  <c r="W122" i="3"/>
  <c r="Y124" i="3"/>
  <c r="AC124" i="3"/>
  <c r="AB124" i="3"/>
  <c r="AD114" i="3"/>
  <c r="AD118" i="3" s="1"/>
  <c r="AE114" i="3"/>
  <c r="Z114" i="3"/>
  <c r="W118" i="3"/>
  <c r="W120" i="3"/>
  <c r="AA121" i="3"/>
  <c r="AA123" i="3"/>
  <c r="AA122" i="3"/>
  <c r="W121" i="3"/>
  <c r="AA118" i="3"/>
  <c r="W123" i="3"/>
  <c r="AA120" i="3"/>
  <c r="X124" i="3"/>
  <c r="AF114" i="3" l="1"/>
  <c r="AF121" i="3" s="1"/>
  <c r="AG14" i="3"/>
  <c r="AG18" i="3"/>
  <c r="AG22" i="3"/>
  <c r="AG26" i="3"/>
  <c r="AG30" i="3"/>
  <c r="AG34" i="3"/>
  <c r="AG38" i="3"/>
  <c r="AG42" i="3"/>
  <c r="AG46" i="3"/>
  <c r="AG50" i="3"/>
  <c r="AG54" i="3"/>
  <c r="AG58" i="3"/>
  <c r="AG62" i="3"/>
  <c r="AG66" i="3"/>
  <c r="AG70" i="3"/>
  <c r="AG74" i="3"/>
  <c r="AG78" i="3"/>
  <c r="AG82" i="3"/>
  <c r="AG86" i="3"/>
  <c r="AG94" i="3"/>
  <c r="AG98" i="3"/>
  <c r="AG16" i="3"/>
  <c r="AG24" i="3"/>
  <c r="AG36" i="3"/>
  <c r="AG48" i="3"/>
  <c r="AG60" i="3"/>
  <c r="AG72" i="3"/>
  <c r="AG84" i="3"/>
  <c r="AG96" i="3"/>
  <c r="AG11" i="3"/>
  <c r="AG15" i="3"/>
  <c r="AG19" i="3"/>
  <c r="AG23" i="3"/>
  <c r="AG27" i="3"/>
  <c r="AG31" i="3"/>
  <c r="AG35" i="3"/>
  <c r="AG39" i="3"/>
  <c r="AG43" i="3"/>
  <c r="AG47" i="3"/>
  <c r="AG51" i="3"/>
  <c r="AG55" i="3"/>
  <c r="AG59" i="3"/>
  <c r="AG63" i="3"/>
  <c r="AG67" i="3"/>
  <c r="AG71" i="3"/>
  <c r="AG75" i="3"/>
  <c r="AG79" i="3"/>
  <c r="AG83" i="3"/>
  <c r="AG87" i="3"/>
  <c r="AG91" i="3"/>
  <c r="AG95" i="3"/>
  <c r="AG99" i="3"/>
  <c r="AG103" i="3"/>
  <c r="AG20" i="3"/>
  <c r="AG32" i="3"/>
  <c r="AG44" i="3"/>
  <c r="AG56" i="3"/>
  <c r="AG68" i="3"/>
  <c r="AG80" i="3"/>
  <c r="AG92" i="3"/>
  <c r="AG10" i="3"/>
  <c r="AG13" i="3"/>
  <c r="AG17" i="3"/>
  <c r="AG21" i="3"/>
  <c r="AG25" i="3"/>
  <c r="AG29" i="3"/>
  <c r="AG33" i="3"/>
  <c r="AG37" i="3"/>
  <c r="AG41" i="3"/>
  <c r="AG45" i="3"/>
  <c r="AG49" i="3"/>
  <c r="AG53" i="3"/>
  <c r="AG57" i="3"/>
  <c r="AG61" i="3"/>
  <c r="AG65" i="3"/>
  <c r="AG69" i="3"/>
  <c r="AG73" i="3"/>
  <c r="AG77" i="3"/>
  <c r="AG81" i="3"/>
  <c r="AG85" i="3"/>
  <c r="AG89" i="3"/>
  <c r="AG93" i="3"/>
  <c r="AG97" i="3"/>
  <c r="AG101" i="3"/>
  <c r="AG90" i="3"/>
  <c r="AG102" i="3"/>
  <c r="AG12" i="3"/>
  <c r="AG28" i="3"/>
  <c r="AG40" i="3"/>
  <c r="AG52" i="3"/>
  <c r="AG64" i="3"/>
  <c r="AG76" i="3"/>
  <c r="AG88" i="3"/>
  <c r="AG100" i="3"/>
  <c r="Z118" i="3"/>
  <c r="Z120" i="3"/>
  <c r="AA124" i="3"/>
  <c r="Z121" i="3"/>
  <c r="Z123" i="3"/>
  <c r="Z122" i="3"/>
  <c r="W124" i="3"/>
  <c r="AE121" i="3"/>
  <c r="AE123" i="3"/>
  <c r="AE122" i="3"/>
  <c r="AE118" i="3"/>
  <c r="AD121" i="3"/>
  <c r="AD122" i="3"/>
  <c r="AD123" i="3"/>
  <c r="AE120" i="3"/>
  <c r="AD120" i="3"/>
  <c r="AG105" i="3" l="1"/>
  <c r="AF120" i="3"/>
  <c r="AF122" i="3"/>
  <c r="AF118" i="3"/>
  <c r="AF123" i="3"/>
  <c r="Z124" i="3"/>
  <c r="AD124" i="3"/>
  <c r="AE124" i="3"/>
  <c r="AF124" i="3" l="1"/>
  <c r="B95" i="19" l="1"/>
  <c r="B96" i="19"/>
  <c r="B97" i="19"/>
  <c r="B98" i="19"/>
  <c r="B99" i="19"/>
  <c r="B91" i="19"/>
  <c r="B92" i="19"/>
  <c r="B93" i="19"/>
  <c r="B94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S102" i="12"/>
  <c r="C102" i="12"/>
  <c r="D102" i="12"/>
  <c r="E23" i="4" s="1"/>
  <c r="J23" i="4" s="1"/>
  <c r="K23" i="4" s="1"/>
  <c r="E102" i="12"/>
  <c r="F102" i="12"/>
  <c r="E22" i="4" s="1"/>
  <c r="H102" i="12"/>
  <c r="I102" i="12"/>
  <c r="J102" i="12"/>
  <c r="K102" i="12"/>
  <c r="L102" i="12"/>
  <c r="M102" i="12"/>
  <c r="B122" i="12" s="1"/>
  <c r="O102" i="12"/>
  <c r="P102" i="12"/>
  <c r="Q102" i="12"/>
  <c r="B102" i="12"/>
  <c r="N9" i="12"/>
  <c r="R9" i="12" s="1"/>
  <c r="N10" i="12"/>
  <c r="R10" i="12" s="1"/>
  <c r="N11" i="12"/>
  <c r="R11" i="12" s="1"/>
  <c r="N12" i="12"/>
  <c r="R12" i="12" s="1"/>
  <c r="N13" i="12"/>
  <c r="R13" i="12" s="1"/>
  <c r="N14" i="12"/>
  <c r="R14" i="12" s="1"/>
  <c r="N15" i="12"/>
  <c r="R15" i="12" s="1"/>
  <c r="N16" i="12"/>
  <c r="R16" i="12" s="1"/>
  <c r="N17" i="12"/>
  <c r="R17" i="12" s="1"/>
  <c r="N18" i="12"/>
  <c r="R18" i="12" s="1"/>
  <c r="N19" i="12"/>
  <c r="R19" i="12" s="1"/>
  <c r="N20" i="12"/>
  <c r="R20" i="12" s="1"/>
  <c r="N21" i="12"/>
  <c r="R21" i="12" s="1"/>
  <c r="N22" i="12"/>
  <c r="R22" i="12" s="1"/>
  <c r="N23" i="12"/>
  <c r="R23" i="12" s="1"/>
  <c r="N24" i="12"/>
  <c r="R24" i="12" s="1"/>
  <c r="N25" i="12"/>
  <c r="R25" i="12" s="1"/>
  <c r="N26" i="12"/>
  <c r="R26" i="12" s="1"/>
  <c r="N27" i="12"/>
  <c r="R27" i="12" s="1"/>
  <c r="N28" i="12"/>
  <c r="R28" i="12" s="1"/>
  <c r="N29" i="12"/>
  <c r="R29" i="12" s="1"/>
  <c r="N30" i="12"/>
  <c r="N31" i="12"/>
  <c r="R31" i="12" s="1"/>
  <c r="N32" i="12"/>
  <c r="R32" i="12" s="1"/>
  <c r="N33" i="12"/>
  <c r="R33" i="12" s="1"/>
  <c r="N34" i="12"/>
  <c r="R34" i="12" s="1"/>
  <c r="N35" i="12"/>
  <c r="R35" i="12" s="1"/>
  <c r="N36" i="12"/>
  <c r="N37" i="12"/>
  <c r="R37" i="12" s="1"/>
  <c r="N38" i="12"/>
  <c r="N39" i="12"/>
  <c r="R39" i="12" s="1"/>
  <c r="N40" i="12"/>
  <c r="R40" i="12" s="1"/>
  <c r="N41" i="12"/>
  <c r="R41" i="12" s="1"/>
  <c r="N42" i="12"/>
  <c r="R42" i="12" s="1"/>
  <c r="N43" i="12"/>
  <c r="R43" i="12" s="1"/>
  <c r="N44" i="12"/>
  <c r="R44" i="12" s="1"/>
  <c r="N45" i="12"/>
  <c r="R45" i="12" s="1"/>
  <c r="N46" i="12"/>
  <c r="R46" i="12" s="1"/>
  <c r="N47" i="12"/>
  <c r="R47" i="12" s="1"/>
  <c r="N48" i="12"/>
  <c r="R48" i="12" s="1"/>
  <c r="N49" i="12"/>
  <c r="R49" i="12" s="1"/>
  <c r="N50" i="12"/>
  <c r="R50" i="12" s="1"/>
  <c r="N51" i="12"/>
  <c r="R51" i="12" s="1"/>
  <c r="N52" i="12"/>
  <c r="R52" i="12" s="1"/>
  <c r="N53" i="12"/>
  <c r="R53" i="12" s="1"/>
  <c r="N54" i="12"/>
  <c r="R54" i="12" s="1"/>
  <c r="N55" i="12"/>
  <c r="R55" i="12" s="1"/>
  <c r="N56" i="12"/>
  <c r="R56" i="12" s="1"/>
  <c r="N57" i="12"/>
  <c r="R57" i="12" s="1"/>
  <c r="N58" i="12"/>
  <c r="R58" i="12" s="1"/>
  <c r="N59" i="12"/>
  <c r="R59" i="12" s="1"/>
  <c r="N60" i="12"/>
  <c r="R60" i="12" s="1"/>
  <c r="N61" i="12"/>
  <c r="R61" i="12" s="1"/>
  <c r="N62" i="12"/>
  <c r="R62" i="12" s="1"/>
  <c r="N63" i="12"/>
  <c r="R63" i="12" s="1"/>
  <c r="N64" i="12"/>
  <c r="R64" i="12" s="1"/>
  <c r="N65" i="12"/>
  <c r="R65" i="12" s="1"/>
  <c r="N66" i="12"/>
  <c r="R66" i="12" s="1"/>
  <c r="N67" i="12"/>
  <c r="R67" i="12" s="1"/>
  <c r="N68" i="12"/>
  <c r="R68" i="12" s="1"/>
  <c r="N69" i="12"/>
  <c r="R69" i="12" s="1"/>
  <c r="N70" i="12"/>
  <c r="R70" i="12" s="1"/>
  <c r="N71" i="12"/>
  <c r="R71" i="12" s="1"/>
  <c r="N72" i="12"/>
  <c r="R72" i="12" s="1"/>
  <c r="N73" i="12"/>
  <c r="R73" i="12" s="1"/>
  <c r="N74" i="12"/>
  <c r="R74" i="12" s="1"/>
  <c r="N75" i="12"/>
  <c r="R75" i="12" s="1"/>
  <c r="N76" i="12"/>
  <c r="R76" i="12" s="1"/>
  <c r="N77" i="12"/>
  <c r="R77" i="12" s="1"/>
  <c r="N78" i="12"/>
  <c r="R78" i="12" s="1"/>
  <c r="N79" i="12"/>
  <c r="R79" i="12" s="1"/>
  <c r="N80" i="12"/>
  <c r="R80" i="12" s="1"/>
  <c r="N81" i="12"/>
  <c r="R81" i="12" s="1"/>
  <c r="N82" i="12"/>
  <c r="R82" i="12" s="1"/>
  <c r="N83" i="12"/>
  <c r="R83" i="12" s="1"/>
  <c r="N84" i="12"/>
  <c r="R84" i="12" s="1"/>
  <c r="N85" i="12"/>
  <c r="R85" i="12" s="1"/>
  <c r="N86" i="12"/>
  <c r="R86" i="12" s="1"/>
  <c r="N87" i="12"/>
  <c r="R87" i="12" s="1"/>
  <c r="N88" i="12"/>
  <c r="R88" i="12" s="1"/>
  <c r="N89" i="12"/>
  <c r="R89" i="12" s="1"/>
  <c r="N90" i="12"/>
  <c r="R90" i="12" s="1"/>
  <c r="N91" i="12"/>
  <c r="R91" i="12" s="1"/>
  <c r="N92" i="12"/>
  <c r="R92" i="12" s="1"/>
  <c r="N93" i="12"/>
  <c r="R93" i="12" s="1"/>
  <c r="N94" i="12"/>
  <c r="R94" i="12" s="1"/>
  <c r="N95" i="12"/>
  <c r="R95" i="12" s="1"/>
  <c r="N96" i="12"/>
  <c r="R96" i="12" s="1"/>
  <c r="N97" i="12"/>
  <c r="R97" i="12" s="1"/>
  <c r="N98" i="12"/>
  <c r="R98" i="12" s="1"/>
  <c r="N99" i="12"/>
  <c r="R99" i="12" s="1"/>
  <c r="N100" i="12"/>
  <c r="R100" i="12" s="1"/>
  <c r="N8" i="12"/>
  <c r="R8" i="12" s="1"/>
  <c r="D124" i="12" l="1"/>
  <c r="E29" i="4" s="1"/>
  <c r="B124" i="12"/>
  <c r="G102" i="12"/>
  <c r="T8" i="12"/>
  <c r="C95" i="19"/>
  <c r="T93" i="12"/>
  <c r="C83" i="19"/>
  <c r="T81" i="12"/>
  <c r="C59" i="19"/>
  <c r="T57" i="12"/>
  <c r="C93" i="19"/>
  <c r="T91" i="12"/>
  <c r="C81" i="19"/>
  <c r="T79" i="12"/>
  <c r="C77" i="19"/>
  <c r="T75" i="12"/>
  <c r="C69" i="19"/>
  <c r="T67" i="12"/>
  <c r="U107" i="12" s="1"/>
  <c r="C65" i="19"/>
  <c r="T63" i="12"/>
  <c r="C61" i="19"/>
  <c r="T59" i="12"/>
  <c r="C57" i="19"/>
  <c r="T55" i="12"/>
  <c r="C53" i="19"/>
  <c r="T51" i="12"/>
  <c r="C49" i="19"/>
  <c r="T47" i="12"/>
  <c r="C45" i="19"/>
  <c r="T43" i="12"/>
  <c r="C41" i="19"/>
  <c r="T39" i="12"/>
  <c r="C37" i="19"/>
  <c r="T35" i="12"/>
  <c r="T95" i="12"/>
  <c r="C97" i="19"/>
  <c r="C89" i="19"/>
  <c r="T87" i="12"/>
  <c r="C85" i="19"/>
  <c r="T83" i="12"/>
  <c r="C73" i="19"/>
  <c r="T71" i="12"/>
  <c r="C96" i="19"/>
  <c r="T94" i="12"/>
  <c r="T90" i="12"/>
  <c r="C92" i="19"/>
  <c r="T86" i="12"/>
  <c r="C88" i="19"/>
  <c r="T82" i="12"/>
  <c r="C84" i="19"/>
  <c r="T78" i="12"/>
  <c r="C80" i="19"/>
  <c r="T74" i="12"/>
  <c r="C76" i="19"/>
  <c r="T70" i="12"/>
  <c r="C72" i="19"/>
  <c r="T66" i="12"/>
  <c r="C68" i="19"/>
  <c r="C99" i="19"/>
  <c r="T97" i="12"/>
  <c r="C91" i="19"/>
  <c r="T89" i="12"/>
  <c r="C87" i="19"/>
  <c r="T85" i="12"/>
  <c r="C79" i="19"/>
  <c r="T77" i="12"/>
  <c r="C75" i="19"/>
  <c r="T73" i="12"/>
  <c r="C71" i="19"/>
  <c r="T69" i="12"/>
  <c r="C67" i="19"/>
  <c r="T65" i="12"/>
  <c r="C63" i="19"/>
  <c r="T61" i="12"/>
  <c r="C55" i="19"/>
  <c r="T53" i="12"/>
  <c r="C51" i="19"/>
  <c r="T49" i="12"/>
  <c r="C47" i="19"/>
  <c r="T45" i="12"/>
  <c r="R109" i="12"/>
  <c r="C43" i="19"/>
  <c r="T41" i="12"/>
  <c r="C39" i="19"/>
  <c r="T37" i="12"/>
  <c r="R107" i="12"/>
  <c r="C35" i="19"/>
  <c r="T33" i="12"/>
  <c r="C31" i="19"/>
  <c r="T29" i="12"/>
  <c r="C27" i="19"/>
  <c r="T25" i="12"/>
  <c r="C23" i="19"/>
  <c r="T21" i="12"/>
  <c r="C19" i="19"/>
  <c r="T17" i="12"/>
  <c r="C15" i="19"/>
  <c r="T13" i="12"/>
  <c r="C11" i="19"/>
  <c r="T9" i="12"/>
  <c r="C86" i="19"/>
  <c r="T84" i="12"/>
  <c r="C78" i="19"/>
  <c r="T76" i="12"/>
  <c r="C74" i="19"/>
  <c r="T72" i="12"/>
  <c r="C70" i="19"/>
  <c r="C107" i="19" s="1"/>
  <c r="T68" i="12"/>
  <c r="U108" i="12" s="1"/>
  <c r="C66" i="19"/>
  <c r="T64" i="12"/>
  <c r="C62" i="19"/>
  <c r="T60" i="12"/>
  <c r="C58" i="19"/>
  <c r="T56" i="12"/>
  <c r="C54" i="19"/>
  <c r="T52" i="12"/>
  <c r="C50" i="19"/>
  <c r="T48" i="12"/>
  <c r="C46" i="19"/>
  <c r="T44" i="12"/>
  <c r="C42" i="19"/>
  <c r="T40" i="12"/>
  <c r="N105" i="12"/>
  <c r="R36" i="12"/>
  <c r="C34" i="19"/>
  <c r="T32" i="12"/>
  <c r="C30" i="19"/>
  <c r="T28" i="12"/>
  <c r="T24" i="12"/>
  <c r="C26" i="19"/>
  <c r="T20" i="12"/>
  <c r="C22" i="19"/>
  <c r="T16" i="12"/>
  <c r="C18" i="19"/>
  <c r="T12" i="12"/>
  <c r="C14" i="19"/>
  <c r="C98" i="19"/>
  <c r="T96" i="12"/>
  <c r="C82" i="19"/>
  <c r="T80" i="12"/>
  <c r="C33" i="19"/>
  <c r="T31" i="12"/>
  <c r="C29" i="19"/>
  <c r="T27" i="12"/>
  <c r="C25" i="19"/>
  <c r="T23" i="12"/>
  <c r="C21" i="19"/>
  <c r="T19" i="12"/>
  <c r="C17" i="19"/>
  <c r="T15" i="12"/>
  <c r="C13" i="19"/>
  <c r="T11" i="12"/>
  <c r="C90" i="19"/>
  <c r="T88" i="12"/>
  <c r="T62" i="12"/>
  <c r="C64" i="19"/>
  <c r="T58" i="12"/>
  <c r="C60" i="19"/>
  <c r="T54" i="12"/>
  <c r="C56" i="19"/>
  <c r="T50" i="12"/>
  <c r="C52" i="19"/>
  <c r="T46" i="12"/>
  <c r="C48" i="19"/>
  <c r="T42" i="12"/>
  <c r="C44" i="19"/>
  <c r="N108" i="12"/>
  <c r="R38" i="12"/>
  <c r="T34" i="12"/>
  <c r="C36" i="19"/>
  <c r="N106" i="12"/>
  <c r="R30" i="12"/>
  <c r="T26" i="12"/>
  <c r="C28" i="19"/>
  <c r="C24" i="19"/>
  <c r="T22" i="12"/>
  <c r="C20" i="19"/>
  <c r="T18" i="12"/>
  <c r="C16" i="19"/>
  <c r="T14" i="12"/>
  <c r="C12" i="19"/>
  <c r="T10" i="12"/>
  <c r="C94" i="19"/>
  <c r="T92" i="12"/>
  <c r="N102" i="12"/>
  <c r="N109" i="12"/>
  <c r="N107" i="12"/>
  <c r="F18" i="4"/>
  <c r="D18" i="4"/>
  <c r="T107" i="12" l="1"/>
  <c r="T30" i="12"/>
  <c r="T106" i="12" s="1"/>
  <c r="R106" i="12"/>
  <c r="C32" i="19"/>
  <c r="C38" i="19"/>
  <c r="T36" i="12"/>
  <c r="T105" i="12" s="1"/>
  <c r="R105" i="12"/>
  <c r="U109" i="12"/>
  <c r="N110" i="12"/>
  <c r="N112" i="12" s="1"/>
  <c r="R102" i="12"/>
  <c r="U104" i="12"/>
  <c r="T109" i="12"/>
  <c r="U106" i="12"/>
  <c r="T38" i="12"/>
  <c r="T108" i="12" s="1"/>
  <c r="R108" i="12"/>
  <c r="C40" i="19"/>
  <c r="U105" i="12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F11" i="2"/>
  <c r="F13" i="4" s="1"/>
  <c r="K7" i="2"/>
  <c r="K11" i="2" s="1"/>
  <c r="B7" i="8"/>
  <c r="E16" i="21" s="1"/>
  <c r="D15" i="14"/>
  <c r="D16" i="14"/>
  <c r="F16" i="14" s="1"/>
  <c r="G16" i="14" s="1"/>
  <c r="R16" i="14"/>
  <c r="D17" i="14"/>
  <c r="F17" i="14" s="1"/>
  <c r="G17" i="14" s="1"/>
  <c r="Q17" i="14"/>
  <c r="D18" i="14"/>
  <c r="F18" i="14" s="1"/>
  <c r="G18" i="14" s="1"/>
  <c r="Q18" i="14"/>
  <c r="R18" i="14" s="1"/>
  <c r="D19" i="14"/>
  <c r="Q19" i="14"/>
  <c r="R19" i="14" s="1"/>
  <c r="D20" i="14"/>
  <c r="Q20" i="14"/>
  <c r="R20" i="14" s="1"/>
  <c r="D21" i="14"/>
  <c r="F21" i="14" s="1"/>
  <c r="G21" i="14" s="1"/>
  <c r="Q21" i="14"/>
  <c r="R21" i="14" s="1"/>
  <c r="D22" i="14"/>
  <c r="F22" i="14" s="1"/>
  <c r="G22" i="14" s="1"/>
  <c r="Q22" i="14"/>
  <c r="R22" i="14"/>
  <c r="D23" i="14"/>
  <c r="F23" i="14" s="1"/>
  <c r="G23" i="14" s="1"/>
  <c r="Q23" i="14"/>
  <c r="R23" i="14" s="1"/>
  <c r="D24" i="14"/>
  <c r="F24" i="14" s="1"/>
  <c r="G24" i="14" s="1"/>
  <c r="Q24" i="14"/>
  <c r="R24" i="14" s="1"/>
  <c r="D25" i="14"/>
  <c r="F25" i="14" s="1"/>
  <c r="G25" i="14" s="1"/>
  <c r="I25" i="14" s="1"/>
  <c r="J25" i="14" s="1"/>
  <c r="Q25" i="14"/>
  <c r="R25" i="14" s="1"/>
  <c r="D26" i="14"/>
  <c r="F26" i="14" s="1"/>
  <c r="G26" i="14" s="1"/>
  <c r="Q26" i="14"/>
  <c r="R26" i="14" s="1"/>
  <c r="D27" i="14"/>
  <c r="F27" i="14" s="1"/>
  <c r="G27" i="14" s="1"/>
  <c r="Q27" i="14"/>
  <c r="R27" i="14" s="1"/>
  <c r="D28" i="14"/>
  <c r="F28" i="14" s="1"/>
  <c r="G28" i="14" s="1"/>
  <c r="Q28" i="14"/>
  <c r="R28" i="14" s="1"/>
  <c r="D29" i="14"/>
  <c r="F29" i="14" s="1"/>
  <c r="G29" i="14" s="1"/>
  <c r="Q29" i="14"/>
  <c r="R29" i="14" s="1"/>
  <c r="D30" i="14"/>
  <c r="F30" i="14" s="1"/>
  <c r="G30" i="14" s="1"/>
  <c r="Q30" i="14"/>
  <c r="R30" i="14" s="1"/>
  <c r="D31" i="14"/>
  <c r="F31" i="14" s="1"/>
  <c r="G31" i="14" s="1"/>
  <c r="I31" i="14" s="1"/>
  <c r="J31" i="14" s="1"/>
  <c r="Q31" i="14"/>
  <c r="R31" i="14" s="1"/>
  <c r="D32" i="14"/>
  <c r="F32" i="14" s="1"/>
  <c r="G32" i="14" s="1"/>
  <c r="Q32" i="14"/>
  <c r="R32" i="14" s="1"/>
  <c r="D33" i="14"/>
  <c r="F33" i="14" s="1"/>
  <c r="G33" i="14" s="1"/>
  <c r="I33" i="14" s="1"/>
  <c r="J33" i="14" s="1"/>
  <c r="Q33" i="14"/>
  <c r="R33" i="14" s="1"/>
  <c r="D34" i="14"/>
  <c r="F34" i="14" s="1"/>
  <c r="G34" i="14" s="1"/>
  <c r="Q34" i="14"/>
  <c r="R34" i="14"/>
  <c r="D35" i="14"/>
  <c r="F35" i="14" s="1"/>
  <c r="G35" i="14" s="1"/>
  <c r="Q35" i="14"/>
  <c r="R35" i="14" s="1"/>
  <c r="D36" i="14"/>
  <c r="F36" i="14" s="1"/>
  <c r="G36" i="14" s="1"/>
  <c r="Q36" i="14"/>
  <c r="R36" i="14" s="1"/>
  <c r="D37" i="14"/>
  <c r="F37" i="14" s="1"/>
  <c r="G37" i="14" s="1"/>
  <c r="Q37" i="14"/>
  <c r="R37" i="14" s="1"/>
  <c r="D38" i="14"/>
  <c r="F38" i="14" s="1"/>
  <c r="G38" i="14" s="1"/>
  <c r="Q38" i="14"/>
  <c r="R38" i="14"/>
  <c r="D39" i="14"/>
  <c r="F39" i="14" s="1"/>
  <c r="G39" i="14" s="1"/>
  <c r="Q39" i="14"/>
  <c r="R39" i="14" s="1"/>
  <c r="D40" i="14"/>
  <c r="F40" i="14" s="1"/>
  <c r="G40" i="14" s="1"/>
  <c r="Q40" i="14"/>
  <c r="R40" i="14"/>
  <c r="D41" i="14"/>
  <c r="F41" i="14" s="1"/>
  <c r="G41" i="14" s="1"/>
  <c r="I41" i="14" s="1"/>
  <c r="J41" i="14" s="1"/>
  <c r="Q41" i="14"/>
  <c r="R41" i="14" s="1"/>
  <c r="D42" i="14"/>
  <c r="F42" i="14" s="1"/>
  <c r="G42" i="14" s="1"/>
  <c r="Q42" i="14"/>
  <c r="R42" i="14" s="1"/>
  <c r="D43" i="14"/>
  <c r="F43" i="14" s="1"/>
  <c r="G43" i="14" s="1"/>
  <c r="Q43" i="14"/>
  <c r="R43" i="14" s="1"/>
  <c r="D44" i="14"/>
  <c r="F44" i="14" s="1"/>
  <c r="G44" i="14" s="1"/>
  <c r="Q44" i="14"/>
  <c r="R44" i="14" s="1"/>
  <c r="D45" i="14"/>
  <c r="F45" i="14" s="1"/>
  <c r="G45" i="14" s="1"/>
  <c r="I45" i="14" s="1"/>
  <c r="J45" i="14" s="1"/>
  <c r="Q45" i="14"/>
  <c r="R45" i="14" s="1"/>
  <c r="D46" i="14"/>
  <c r="F46" i="14" s="1"/>
  <c r="G46" i="14" s="1"/>
  <c r="Q46" i="14"/>
  <c r="R46" i="14" s="1"/>
  <c r="D47" i="14"/>
  <c r="F47" i="14" s="1"/>
  <c r="G47" i="14" s="1"/>
  <c r="Q47" i="14"/>
  <c r="R47" i="14" s="1"/>
  <c r="D48" i="14"/>
  <c r="F48" i="14" s="1"/>
  <c r="G48" i="14" s="1"/>
  <c r="Q48" i="14"/>
  <c r="R48" i="14" s="1"/>
  <c r="D49" i="14"/>
  <c r="F49" i="14" s="1"/>
  <c r="G49" i="14" s="1"/>
  <c r="Q49" i="14"/>
  <c r="R49" i="14"/>
  <c r="D50" i="14"/>
  <c r="F50" i="14" s="1"/>
  <c r="G50" i="14" s="1"/>
  <c r="Q50" i="14"/>
  <c r="R50" i="14" s="1"/>
  <c r="D51" i="14"/>
  <c r="F51" i="14" s="1"/>
  <c r="G51" i="14" s="1"/>
  <c r="Q51" i="14"/>
  <c r="R51" i="14" s="1"/>
  <c r="D52" i="14"/>
  <c r="F52" i="14" s="1"/>
  <c r="G52" i="14" s="1"/>
  <c r="Q52" i="14"/>
  <c r="R52" i="14" s="1"/>
  <c r="D53" i="14"/>
  <c r="F53" i="14" s="1"/>
  <c r="G53" i="14" s="1"/>
  <c r="Q53" i="14"/>
  <c r="R53" i="14" s="1"/>
  <c r="D54" i="14"/>
  <c r="F54" i="14" s="1"/>
  <c r="G54" i="14" s="1"/>
  <c r="Q54" i="14"/>
  <c r="R54" i="14" s="1"/>
  <c r="D55" i="14"/>
  <c r="F55" i="14" s="1"/>
  <c r="G55" i="14" s="1"/>
  <c r="I55" i="14" s="1"/>
  <c r="J55" i="14" s="1"/>
  <c r="Q55" i="14"/>
  <c r="R55" i="14" s="1"/>
  <c r="D56" i="14"/>
  <c r="F56" i="14" s="1"/>
  <c r="G56" i="14" s="1"/>
  <c r="Q56" i="14"/>
  <c r="R56" i="14" s="1"/>
  <c r="D57" i="14"/>
  <c r="F57" i="14" s="1"/>
  <c r="G57" i="14" s="1"/>
  <c r="Q57" i="14"/>
  <c r="R57" i="14" s="1"/>
  <c r="D58" i="14"/>
  <c r="F58" i="14" s="1"/>
  <c r="G58" i="14" s="1"/>
  <c r="Q58" i="14"/>
  <c r="R58" i="14" s="1"/>
  <c r="D59" i="14"/>
  <c r="F59" i="14" s="1"/>
  <c r="G59" i="14" s="1"/>
  <c r="I59" i="14" s="1"/>
  <c r="J59" i="14" s="1"/>
  <c r="Q59" i="14"/>
  <c r="R59" i="14"/>
  <c r="D60" i="14"/>
  <c r="F60" i="14" s="1"/>
  <c r="G60" i="14" s="1"/>
  <c r="Q60" i="14"/>
  <c r="R60" i="14" s="1"/>
  <c r="D61" i="14"/>
  <c r="F61" i="14" s="1"/>
  <c r="G61" i="14" s="1"/>
  <c r="I61" i="14" s="1"/>
  <c r="J61" i="14" s="1"/>
  <c r="Q61" i="14"/>
  <c r="R61" i="14"/>
  <c r="D62" i="14"/>
  <c r="F62" i="14" s="1"/>
  <c r="G62" i="14" s="1"/>
  <c r="Q62" i="14"/>
  <c r="R62" i="14" s="1"/>
  <c r="D63" i="14"/>
  <c r="F63" i="14" s="1"/>
  <c r="G63" i="14" s="1"/>
  <c r="Q63" i="14"/>
  <c r="R63" i="14" s="1"/>
  <c r="D64" i="14"/>
  <c r="F64" i="14" s="1"/>
  <c r="G64" i="14" s="1"/>
  <c r="Q64" i="14"/>
  <c r="R64" i="14" s="1"/>
  <c r="D65" i="14"/>
  <c r="F65" i="14" s="1"/>
  <c r="G65" i="14" s="1"/>
  <c r="Q65" i="14"/>
  <c r="R65" i="14" s="1"/>
  <c r="D66" i="14"/>
  <c r="F66" i="14" s="1"/>
  <c r="G66" i="14" s="1"/>
  <c r="Q66" i="14"/>
  <c r="R66" i="14" s="1"/>
  <c r="D67" i="14"/>
  <c r="F67" i="14" s="1"/>
  <c r="G67" i="14" s="1"/>
  <c r="Q67" i="14"/>
  <c r="R67" i="14" s="1"/>
  <c r="D68" i="14"/>
  <c r="F68" i="14" s="1"/>
  <c r="G68" i="14" s="1"/>
  <c r="Q68" i="14"/>
  <c r="R68" i="14" s="1"/>
  <c r="D69" i="14"/>
  <c r="F69" i="14" s="1"/>
  <c r="G69" i="14" s="1"/>
  <c r="Q69" i="14"/>
  <c r="R69" i="14" s="1"/>
  <c r="D70" i="14"/>
  <c r="F70" i="14" s="1"/>
  <c r="G70" i="14" s="1"/>
  <c r="Q70" i="14"/>
  <c r="R70" i="14" s="1"/>
  <c r="D71" i="14"/>
  <c r="F71" i="14" s="1"/>
  <c r="G71" i="14" s="1"/>
  <c r="Q71" i="14"/>
  <c r="R71" i="14" s="1"/>
  <c r="D72" i="14"/>
  <c r="F72" i="14" s="1"/>
  <c r="G72" i="14" s="1"/>
  <c r="Q72" i="14"/>
  <c r="R72" i="14" s="1"/>
  <c r="D73" i="14"/>
  <c r="F73" i="14" s="1"/>
  <c r="G73" i="14" s="1"/>
  <c r="Q73" i="14"/>
  <c r="R73" i="14" s="1"/>
  <c r="D74" i="14"/>
  <c r="F74" i="14" s="1"/>
  <c r="G74" i="14" s="1"/>
  <c r="Q74" i="14"/>
  <c r="R74" i="14" s="1"/>
  <c r="D75" i="14"/>
  <c r="F75" i="14" s="1"/>
  <c r="G75" i="14" s="1"/>
  <c r="I75" i="14" s="1"/>
  <c r="J75" i="14" s="1"/>
  <c r="Q75" i="14"/>
  <c r="R75" i="14" s="1"/>
  <c r="D76" i="14"/>
  <c r="F76" i="14" s="1"/>
  <c r="G76" i="14" s="1"/>
  <c r="Q76" i="14"/>
  <c r="R76" i="14" s="1"/>
  <c r="D77" i="14"/>
  <c r="F77" i="14" s="1"/>
  <c r="G77" i="14" s="1"/>
  <c r="I77" i="14" s="1"/>
  <c r="J77" i="14" s="1"/>
  <c r="S77" i="14" s="1"/>
  <c r="T77" i="14" s="1"/>
  <c r="C65" i="5" s="1"/>
  <c r="Q77" i="14"/>
  <c r="R77" i="14" s="1"/>
  <c r="D78" i="14"/>
  <c r="F78" i="14" s="1"/>
  <c r="G78" i="14" s="1"/>
  <c r="Q78" i="14"/>
  <c r="R78" i="14" s="1"/>
  <c r="D79" i="14"/>
  <c r="F79" i="14" s="1"/>
  <c r="G79" i="14" s="1"/>
  <c r="Q79" i="14"/>
  <c r="R79" i="14"/>
  <c r="D80" i="14"/>
  <c r="F80" i="14" s="1"/>
  <c r="G80" i="14" s="1"/>
  <c r="Q80" i="14"/>
  <c r="R80" i="14" s="1"/>
  <c r="D81" i="14"/>
  <c r="F81" i="14" s="1"/>
  <c r="G81" i="14" s="1"/>
  <c r="I81" i="14" s="1"/>
  <c r="J81" i="14" s="1"/>
  <c r="R81" i="14"/>
  <c r="D82" i="14"/>
  <c r="F82" i="14" s="1"/>
  <c r="G82" i="14" s="1"/>
  <c r="R82" i="14"/>
  <c r="D83" i="14"/>
  <c r="F83" i="14" s="1"/>
  <c r="G83" i="14" s="1"/>
  <c r="R83" i="14"/>
  <c r="D84" i="14"/>
  <c r="F84" i="14" s="1"/>
  <c r="G84" i="14" s="1"/>
  <c r="R84" i="14"/>
  <c r="D85" i="14"/>
  <c r="F85" i="14" s="1"/>
  <c r="G85" i="14" s="1"/>
  <c r="R85" i="14"/>
  <c r="D86" i="14"/>
  <c r="F86" i="14" s="1"/>
  <c r="G86" i="14" s="1"/>
  <c r="R86" i="14"/>
  <c r="D87" i="14"/>
  <c r="F87" i="14" s="1"/>
  <c r="G87" i="14" s="1"/>
  <c r="R87" i="14"/>
  <c r="D88" i="14"/>
  <c r="F88" i="14" s="1"/>
  <c r="G88" i="14" s="1"/>
  <c r="R88" i="14"/>
  <c r="D89" i="14"/>
  <c r="F89" i="14" s="1"/>
  <c r="G89" i="14" s="1"/>
  <c r="I89" i="14" s="1"/>
  <c r="J89" i="14" s="1"/>
  <c r="S89" i="14" s="1"/>
  <c r="T89" i="14" s="1"/>
  <c r="C77" i="5" s="1"/>
  <c r="D90" i="14"/>
  <c r="F90" i="14" s="1"/>
  <c r="G90" i="14" s="1"/>
  <c r="R90" i="14"/>
  <c r="D91" i="14"/>
  <c r="F91" i="14" s="1"/>
  <c r="G91" i="14" s="1"/>
  <c r="R91" i="14"/>
  <c r="D92" i="14"/>
  <c r="F92" i="14" s="1"/>
  <c r="G92" i="14" s="1"/>
  <c r="R92" i="14"/>
  <c r="D93" i="14"/>
  <c r="F93" i="14" s="1"/>
  <c r="G93" i="14" s="1"/>
  <c r="R93" i="14"/>
  <c r="D94" i="14"/>
  <c r="F94" i="14" s="1"/>
  <c r="G94" i="14" s="1"/>
  <c r="Q94" i="14"/>
  <c r="R94" i="14" s="1"/>
  <c r="D95" i="14"/>
  <c r="F95" i="14" s="1"/>
  <c r="G95" i="14" s="1"/>
  <c r="I95" i="14" s="1"/>
  <c r="J95" i="14" s="1"/>
  <c r="Q95" i="14"/>
  <c r="R95" i="14" s="1"/>
  <c r="D96" i="14"/>
  <c r="F96" i="14" s="1"/>
  <c r="G96" i="14" s="1"/>
  <c r="Q96" i="14"/>
  <c r="R96" i="14" s="1"/>
  <c r="D97" i="14"/>
  <c r="F97" i="14" s="1"/>
  <c r="G97" i="14" s="1"/>
  <c r="Q97" i="14"/>
  <c r="R97" i="14"/>
  <c r="D98" i="14"/>
  <c r="F98" i="14" s="1"/>
  <c r="G98" i="14" s="1"/>
  <c r="Q98" i="14"/>
  <c r="R98" i="14" s="1"/>
  <c r="D99" i="14"/>
  <c r="F99" i="14" s="1"/>
  <c r="G99" i="14" s="1"/>
  <c r="I99" i="14" s="1"/>
  <c r="J99" i="14" s="1"/>
  <c r="Q99" i="14"/>
  <c r="R99" i="14" s="1"/>
  <c r="D100" i="14"/>
  <c r="F100" i="14" s="1"/>
  <c r="G100" i="14" s="1"/>
  <c r="Q100" i="14"/>
  <c r="R100" i="14" s="1"/>
  <c r="D101" i="14"/>
  <c r="F101" i="14" s="1"/>
  <c r="G101" i="14" s="1"/>
  <c r="I101" i="14" s="1"/>
  <c r="J101" i="14" s="1"/>
  <c r="Q101" i="14"/>
  <c r="R101" i="14" s="1"/>
  <c r="D102" i="14"/>
  <c r="F102" i="14" s="1"/>
  <c r="G102" i="14" s="1"/>
  <c r="Q102" i="14"/>
  <c r="R102" i="14" s="1"/>
  <c r="D103" i="14"/>
  <c r="F103" i="14" s="1"/>
  <c r="G103" i="14" s="1"/>
  <c r="I103" i="14" s="1"/>
  <c r="J103" i="14" s="1"/>
  <c r="Q103" i="14"/>
  <c r="R103" i="14" s="1"/>
  <c r="D104" i="14"/>
  <c r="F104" i="14" s="1"/>
  <c r="G104" i="14" s="1"/>
  <c r="Q104" i="14"/>
  <c r="R104" i="14" s="1"/>
  <c r="D105" i="14"/>
  <c r="F105" i="14" s="1"/>
  <c r="G105" i="14" s="1"/>
  <c r="Q105" i="14"/>
  <c r="R105" i="14" s="1"/>
  <c r="D106" i="14"/>
  <c r="F106" i="14" s="1"/>
  <c r="G106" i="14" s="1"/>
  <c r="Q106" i="14"/>
  <c r="R106" i="14" s="1"/>
  <c r="D107" i="14"/>
  <c r="F107" i="14" s="1"/>
  <c r="G107" i="14" s="1"/>
  <c r="Q107" i="14"/>
  <c r="R107" i="14"/>
  <c r="D108" i="14"/>
  <c r="F108" i="14" s="1"/>
  <c r="G108" i="14" s="1"/>
  <c r="Q108" i="14"/>
  <c r="R108" i="14" s="1"/>
  <c r="D109" i="14"/>
  <c r="F109" i="14" s="1"/>
  <c r="G109" i="14" s="1"/>
  <c r="I109" i="14" s="1"/>
  <c r="J109" i="14" s="1"/>
  <c r="Q109" i="14"/>
  <c r="R109" i="14" s="1"/>
  <c r="D110" i="14"/>
  <c r="F110" i="14" s="1"/>
  <c r="G110" i="14" s="1"/>
  <c r="Q110" i="14"/>
  <c r="R110" i="14" s="1"/>
  <c r="D111" i="14"/>
  <c r="F111" i="14" s="1"/>
  <c r="G111" i="14" s="1"/>
  <c r="Q111" i="14"/>
  <c r="R111" i="14" s="1"/>
  <c r="D112" i="14"/>
  <c r="F112" i="14" s="1"/>
  <c r="G112" i="14" s="1"/>
  <c r="Q112" i="14"/>
  <c r="R112" i="14" s="1"/>
  <c r="D113" i="14"/>
  <c r="Q113" i="14"/>
  <c r="R113" i="14" s="1"/>
  <c r="D114" i="14"/>
  <c r="Q114" i="14"/>
  <c r="R114" i="14" s="1"/>
  <c r="Q115" i="14"/>
  <c r="R115" i="14" s="1"/>
  <c r="D116" i="14"/>
  <c r="Q116" i="14"/>
  <c r="R116" i="14" s="1"/>
  <c r="D117" i="14"/>
  <c r="Q117" i="14"/>
  <c r="R117" i="14" s="1"/>
  <c r="D118" i="14"/>
  <c r="F118" i="14" s="1"/>
  <c r="G118" i="14" s="1"/>
  <c r="Q118" i="14"/>
  <c r="R118" i="14" s="1"/>
  <c r="D119" i="14"/>
  <c r="F119" i="14" s="1"/>
  <c r="G119" i="14" s="1"/>
  <c r="I119" i="14" s="1"/>
  <c r="J119" i="14" s="1"/>
  <c r="Q119" i="14"/>
  <c r="R119" i="14" s="1"/>
  <c r="D120" i="14"/>
  <c r="F120" i="14" s="1"/>
  <c r="G120" i="14" s="1"/>
  <c r="Q120" i="14"/>
  <c r="R120" i="14" s="1"/>
  <c r="D121" i="14"/>
  <c r="F121" i="14" s="1"/>
  <c r="G121" i="14" s="1"/>
  <c r="Q121" i="14"/>
  <c r="R121" i="14" s="1"/>
  <c r="D122" i="14"/>
  <c r="F122" i="14" s="1"/>
  <c r="G122" i="14" s="1"/>
  <c r="Q122" i="14"/>
  <c r="R122" i="14" s="1"/>
  <c r="D123" i="14"/>
  <c r="F123" i="14" s="1"/>
  <c r="G123" i="14" s="1"/>
  <c r="Q123" i="14"/>
  <c r="R123" i="14" s="1"/>
  <c r="D124" i="14"/>
  <c r="F124" i="14" s="1"/>
  <c r="G124" i="14" s="1"/>
  <c r="Q124" i="14"/>
  <c r="R124" i="14" s="1"/>
  <c r="D125" i="14"/>
  <c r="F125" i="14" s="1"/>
  <c r="G125" i="14" s="1"/>
  <c r="I125" i="14" s="1"/>
  <c r="J125" i="14" s="1"/>
  <c r="Q125" i="14"/>
  <c r="R125" i="14" s="1"/>
  <c r="D126" i="14"/>
  <c r="F126" i="14" s="1"/>
  <c r="G126" i="14" s="1"/>
  <c r="Q126" i="14"/>
  <c r="R126" i="14" s="1"/>
  <c r="D127" i="14"/>
  <c r="F127" i="14" s="1"/>
  <c r="G127" i="14" s="1"/>
  <c r="Q127" i="14"/>
  <c r="R127" i="14" s="1"/>
  <c r="D128" i="14"/>
  <c r="F128" i="14" s="1"/>
  <c r="G128" i="14" s="1"/>
  <c r="Q128" i="14"/>
  <c r="R128" i="14" s="1"/>
  <c r="D129" i="14"/>
  <c r="F129" i="14" s="1"/>
  <c r="G129" i="14" s="1"/>
  <c r="Q129" i="14"/>
  <c r="R129" i="14" s="1"/>
  <c r="D130" i="14"/>
  <c r="F130" i="14" s="1"/>
  <c r="G130" i="14" s="1"/>
  <c r="Q130" i="14"/>
  <c r="R130" i="14" s="1"/>
  <c r="D131" i="14"/>
  <c r="F131" i="14" s="1"/>
  <c r="G131" i="14" s="1"/>
  <c r="Q131" i="14"/>
  <c r="R131" i="14" s="1"/>
  <c r="D132" i="14"/>
  <c r="F132" i="14" s="1"/>
  <c r="G132" i="14" s="1"/>
  <c r="Q132" i="14"/>
  <c r="R132" i="14" s="1"/>
  <c r="D133" i="14"/>
  <c r="F133" i="14" s="1"/>
  <c r="G133" i="14" s="1"/>
  <c r="I133" i="14" s="1"/>
  <c r="J133" i="14" s="1"/>
  <c r="Q133" i="14"/>
  <c r="R133" i="14" s="1"/>
  <c r="D134" i="14"/>
  <c r="F134" i="14" s="1"/>
  <c r="G134" i="14" s="1"/>
  <c r="Q134" i="14"/>
  <c r="R134" i="14"/>
  <c r="D135" i="14"/>
  <c r="F135" i="14" s="1"/>
  <c r="G135" i="14" s="1"/>
  <c r="Q135" i="14"/>
  <c r="R135" i="14" s="1"/>
  <c r="D136" i="14"/>
  <c r="F136" i="14" s="1"/>
  <c r="G136" i="14" s="1"/>
  <c r="Q136" i="14"/>
  <c r="R136" i="14" s="1"/>
  <c r="D137" i="14"/>
  <c r="F137" i="14" s="1"/>
  <c r="G137" i="14" s="1"/>
  <c r="Q137" i="14"/>
  <c r="R137" i="14" s="1"/>
  <c r="D138" i="14"/>
  <c r="F138" i="14" s="1"/>
  <c r="G138" i="14" s="1"/>
  <c r="Q138" i="14"/>
  <c r="R138" i="14" s="1"/>
  <c r="D139" i="14"/>
  <c r="F139" i="14" s="1"/>
  <c r="G139" i="14" s="1"/>
  <c r="Q139" i="14"/>
  <c r="R139" i="14" s="1"/>
  <c r="D140" i="14"/>
  <c r="F140" i="14" s="1"/>
  <c r="G140" i="14" s="1"/>
  <c r="Q140" i="14"/>
  <c r="R140" i="14" s="1"/>
  <c r="D141" i="14"/>
  <c r="F141" i="14" s="1"/>
  <c r="G141" i="14" s="1"/>
  <c r="Q141" i="14"/>
  <c r="R141" i="14" s="1"/>
  <c r="D142" i="14"/>
  <c r="F142" i="14" s="1"/>
  <c r="G142" i="14" s="1"/>
  <c r="Q142" i="14"/>
  <c r="R142" i="14" s="1"/>
  <c r="D143" i="14"/>
  <c r="F143" i="14" s="1"/>
  <c r="G143" i="14" s="1"/>
  <c r="Q143" i="14"/>
  <c r="R143" i="14" s="1"/>
  <c r="D144" i="14"/>
  <c r="F144" i="14" s="1"/>
  <c r="G144" i="14" s="1"/>
  <c r="Q144" i="14"/>
  <c r="R144" i="14" s="1"/>
  <c r="D145" i="14"/>
  <c r="F145" i="14" s="1"/>
  <c r="G145" i="14" s="1"/>
  <c r="I145" i="14" s="1"/>
  <c r="J145" i="14" s="1"/>
  <c r="Q145" i="14"/>
  <c r="R145" i="14"/>
  <c r="D146" i="14"/>
  <c r="F146" i="14" s="1"/>
  <c r="G146" i="14" s="1"/>
  <c r="Q146" i="14"/>
  <c r="R146" i="14" s="1"/>
  <c r="D147" i="14"/>
  <c r="F147" i="14" s="1"/>
  <c r="G147" i="14" s="1"/>
  <c r="Q147" i="14"/>
  <c r="R147" i="14" s="1"/>
  <c r="D148" i="14"/>
  <c r="F148" i="14" s="1"/>
  <c r="G148" i="14" s="1"/>
  <c r="Q148" i="14"/>
  <c r="R148" i="14" s="1"/>
  <c r="D149" i="14"/>
  <c r="F149" i="14" s="1"/>
  <c r="G149" i="14" s="1"/>
  <c r="Q149" i="14"/>
  <c r="R149" i="14" s="1"/>
  <c r="D150" i="14"/>
  <c r="F150" i="14" s="1"/>
  <c r="G150" i="14" s="1"/>
  <c r="Q150" i="14"/>
  <c r="R150" i="14" s="1"/>
  <c r="D151" i="14"/>
  <c r="F151" i="14" s="1"/>
  <c r="G151" i="14" s="1"/>
  <c r="Q151" i="14"/>
  <c r="R151" i="14" s="1"/>
  <c r="D152" i="14"/>
  <c r="F152" i="14" s="1"/>
  <c r="G152" i="14" s="1"/>
  <c r="Q152" i="14"/>
  <c r="R152" i="14" s="1"/>
  <c r="D153" i="14"/>
  <c r="Q153" i="14"/>
  <c r="R153" i="14" s="1"/>
  <c r="D154" i="14"/>
  <c r="F154" i="14" s="1"/>
  <c r="G154" i="14" s="1"/>
  <c r="Q154" i="14"/>
  <c r="R154" i="14"/>
  <c r="D155" i="14"/>
  <c r="F155" i="14" s="1"/>
  <c r="G155" i="14" s="1"/>
  <c r="Q155" i="14"/>
  <c r="R155" i="14" s="1"/>
  <c r="D156" i="14"/>
  <c r="F156" i="14" s="1"/>
  <c r="G156" i="14" s="1"/>
  <c r="Q156" i="14"/>
  <c r="R156" i="14" s="1"/>
  <c r="D157" i="14"/>
  <c r="F157" i="14" s="1"/>
  <c r="G157" i="14" s="1"/>
  <c r="I157" i="14" s="1"/>
  <c r="J157" i="14" s="1"/>
  <c r="Q157" i="14"/>
  <c r="R157" i="14" s="1"/>
  <c r="D158" i="14"/>
  <c r="F158" i="14" s="1"/>
  <c r="G158" i="14" s="1"/>
  <c r="I158" i="14" s="1"/>
  <c r="Q158" i="14"/>
  <c r="R158" i="14" s="1"/>
  <c r="D159" i="14"/>
  <c r="F159" i="14" s="1"/>
  <c r="G159" i="14" s="1"/>
  <c r="Q159" i="14"/>
  <c r="R159" i="14" s="1"/>
  <c r="D160" i="14"/>
  <c r="F160" i="14" s="1"/>
  <c r="G160" i="14" s="1"/>
  <c r="Q160" i="14"/>
  <c r="R160" i="14" s="1"/>
  <c r="D161" i="14"/>
  <c r="F161" i="14" s="1"/>
  <c r="G161" i="14" s="1"/>
  <c r="Q161" i="14"/>
  <c r="R161" i="14" s="1"/>
  <c r="D4" i="5"/>
  <c r="F4" i="5"/>
  <c r="D5" i="5"/>
  <c r="F5" i="5"/>
  <c r="D6" i="5"/>
  <c r="F6" i="5"/>
  <c r="D7" i="5"/>
  <c r="F7" i="5"/>
  <c r="D8" i="5"/>
  <c r="F8" i="5"/>
  <c r="D9" i="5"/>
  <c r="F9" i="5"/>
  <c r="D10" i="5"/>
  <c r="F10" i="5"/>
  <c r="D11" i="5"/>
  <c r="F11" i="5"/>
  <c r="D12" i="5"/>
  <c r="F12" i="5"/>
  <c r="D13" i="5"/>
  <c r="F13" i="5"/>
  <c r="D14" i="5"/>
  <c r="F14" i="5"/>
  <c r="D15" i="5"/>
  <c r="F15" i="5"/>
  <c r="D16" i="5"/>
  <c r="F16" i="5"/>
  <c r="D17" i="5"/>
  <c r="F17" i="5"/>
  <c r="D18" i="5"/>
  <c r="F18" i="5"/>
  <c r="D19" i="5"/>
  <c r="F19" i="5"/>
  <c r="D20" i="5"/>
  <c r="F20" i="5"/>
  <c r="D21" i="5"/>
  <c r="F21" i="5"/>
  <c r="D22" i="5"/>
  <c r="F22" i="5"/>
  <c r="D23" i="5"/>
  <c r="F23" i="5"/>
  <c r="D24" i="5"/>
  <c r="F24" i="5"/>
  <c r="D25" i="5"/>
  <c r="F25" i="5"/>
  <c r="D26" i="5"/>
  <c r="F26" i="5"/>
  <c r="D27" i="5"/>
  <c r="F27" i="5"/>
  <c r="D28" i="5"/>
  <c r="F28" i="5"/>
  <c r="D29" i="5"/>
  <c r="F29" i="5"/>
  <c r="D30" i="5"/>
  <c r="F30" i="5"/>
  <c r="D31" i="5"/>
  <c r="F31" i="5"/>
  <c r="D32" i="5"/>
  <c r="F32" i="5"/>
  <c r="D33" i="5"/>
  <c r="F33" i="5"/>
  <c r="D34" i="5"/>
  <c r="F34" i="5"/>
  <c r="D35" i="5"/>
  <c r="F35" i="5"/>
  <c r="D36" i="5"/>
  <c r="F36" i="5"/>
  <c r="D37" i="5"/>
  <c r="F37" i="5"/>
  <c r="D38" i="5"/>
  <c r="F38" i="5"/>
  <c r="D39" i="5"/>
  <c r="F39" i="5"/>
  <c r="D40" i="5"/>
  <c r="F40" i="5"/>
  <c r="D41" i="5"/>
  <c r="F41" i="5"/>
  <c r="D42" i="5"/>
  <c r="F42" i="5"/>
  <c r="D43" i="5"/>
  <c r="F43" i="5"/>
  <c r="D44" i="5"/>
  <c r="F44" i="5"/>
  <c r="D45" i="5"/>
  <c r="F45" i="5"/>
  <c r="D46" i="5"/>
  <c r="F46" i="5"/>
  <c r="D47" i="5"/>
  <c r="F47" i="5"/>
  <c r="D48" i="5"/>
  <c r="F48" i="5"/>
  <c r="D49" i="5"/>
  <c r="F49" i="5"/>
  <c r="D50" i="5"/>
  <c r="F50" i="5"/>
  <c r="D51" i="5"/>
  <c r="F51" i="5"/>
  <c r="D52" i="5"/>
  <c r="F52" i="5"/>
  <c r="D53" i="5"/>
  <c r="F53" i="5"/>
  <c r="D54" i="5"/>
  <c r="F54" i="5"/>
  <c r="D55" i="5"/>
  <c r="F55" i="5"/>
  <c r="D56" i="5"/>
  <c r="F56" i="5"/>
  <c r="D57" i="5"/>
  <c r="F57" i="5"/>
  <c r="D58" i="5"/>
  <c r="F58" i="5"/>
  <c r="D59" i="5"/>
  <c r="F59" i="5"/>
  <c r="D60" i="5"/>
  <c r="F60" i="5"/>
  <c r="D61" i="5"/>
  <c r="F61" i="5"/>
  <c r="D62" i="5"/>
  <c r="F62" i="5"/>
  <c r="D63" i="5"/>
  <c r="F63" i="5"/>
  <c r="D64" i="5"/>
  <c r="F64" i="5"/>
  <c r="D65" i="5"/>
  <c r="F65" i="5"/>
  <c r="D66" i="5"/>
  <c r="F66" i="5"/>
  <c r="D67" i="5"/>
  <c r="F67" i="5"/>
  <c r="D68" i="5"/>
  <c r="F68" i="5"/>
  <c r="D69" i="5"/>
  <c r="F69" i="5"/>
  <c r="D70" i="5"/>
  <c r="F70" i="5"/>
  <c r="D71" i="5"/>
  <c r="F71" i="5"/>
  <c r="D72" i="5"/>
  <c r="F72" i="5"/>
  <c r="D73" i="5"/>
  <c r="F73" i="5"/>
  <c r="D74" i="5"/>
  <c r="F74" i="5"/>
  <c r="D75" i="5"/>
  <c r="F75" i="5"/>
  <c r="D76" i="5"/>
  <c r="F76" i="5"/>
  <c r="D77" i="5"/>
  <c r="F77" i="5"/>
  <c r="D78" i="5"/>
  <c r="F78" i="5"/>
  <c r="D79" i="5"/>
  <c r="F79" i="5"/>
  <c r="D80" i="5"/>
  <c r="F80" i="5"/>
  <c r="D81" i="5"/>
  <c r="F81" i="5"/>
  <c r="D82" i="5"/>
  <c r="F82" i="5"/>
  <c r="D83" i="5"/>
  <c r="F83" i="5"/>
  <c r="D84" i="5"/>
  <c r="F84" i="5"/>
  <c r="D85" i="5"/>
  <c r="F85" i="5"/>
  <c r="D86" i="5"/>
  <c r="F86" i="5"/>
  <c r="D87" i="5"/>
  <c r="F87" i="5"/>
  <c r="D88" i="5"/>
  <c r="F88" i="5"/>
  <c r="D89" i="5"/>
  <c r="F89" i="5"/>
  <c r="D90" i="5"/>
  <c r="F90" i="5"/>
  <c r="D91" i="5"/>
  <c r="F91" i="5"/>
  <c r="D92" i="5"/>
  <c r="F92" i="5"/>
  <c r="D93" i="5"/>
  <c r="F93" i="5"/>
  <c r="D94" i="5"/>
  <c r="F94" i="5"/>
  <c r="D95" i="5"/>
  <c r="F95" i="5"/>
  <c r="D96" i="5"/>
  <c r="F96" i="5"/>
  <c r="D97" i="5"/>
  <c r="F97" i="5"/>
  <c r="D98" i="5"/>
  <c r="F98" i="5"/>
  <c r="D99" i="5"/>
  <c r="F99" i="5"/>
  <c r="D100" i="5"/>
  <c r="F100" i="5"/>
  <c r="D101" i="5"/>
  <c r="F101" i="5"/>
  <c r="D102" i="5"/>
  <c r="F102" i="5"/>
  <c r="D103" i="5"/>
  <c r="F103" i="5"/>
  <c r="D104" i="5"/>
  <c r="F104" i="5"/>
  <c r="D105" i="5"/>
  <c r="F105" i="5"/>
  <c r="D106" i="5"/>
  <c r="F106" i="5"/>
  <c r="D107" i="5"/>
  <c r="F107" i="5"/>
  <c r="D108" i="5"/>
  <c r="F108" i="5"/>
  <c r="D109" i="5"/>
  <c r="F109" i="5"/>
  <c r="D110" i="5"/>
  <c r="F110" i="5"/>
  <c r="D111" i="5"/>
  <c r="F111" i="5"/>
  <c r="D112" i="5"/>
  <c r="F112" i="5"/>
  <c r="D113" i="5"/>
  <c r="F113" i="5"/>
  <c r="D114" i="5"/>
  <c r="F114" i="5"/>
  <c r="D115" i="5"/>
  <c r="F115" i="5"/>
  <c r="D116" i="5"/>
  <c r="F116" i="5"/>
  <c r="D117" i="5"/>
  <c r="F117" i="5"/>
  <c r="D118" i="5"/>
  <c r="F118" i="5"/>
  <c r="D119" i="5"/>
  <c r="F119" i="5"/>
  <c r="D120" i="5"/>
  <c r="F120" i="5"/>
  <c r="D121" i="5"/>
  <c r="F121" i="5"/>
  <c r="D122" i="5"/>
  <c r="F122" i="5"/>
  <c r="D123" i="5"/>
  <c r="F123" i="5"/>
  <c r="D124" i="5"/>
  <c r="F124" i="5"/>
  <c r="D125" i="5"/>
  <c r="F125" i="5"/>
  <c r="D126" i="5"/>
  <c r="F126" i="5"/>
  <c r="D127" i="5"/>
  <c r="F127" i="5"/>
  <c r="D128" i="5"/>
  <c r="F128" i="5"/>
  <c r="D129" i="5"/>
  <c r="F129" i="5"/>
  <c r="D130" i="5"/>
  <c r="F130" i="5"/>
  <c r="D131" i="5"/>
  <c r="F131" i="5"/>
  <c r="D132" i="5"/>
  <c r="F132" i="5"/>
  <c r="D133" i="5"/>
  <c r="F133" i="5"/>
  <c r="D134" i="5"/>
  <c r="F134" i="5"/>
  <c r="D135" i="5"/>
  <c r="F135" i="5"/>
  <c r="D136" i="5"/>
  <c r="F136" i="5"/>
  <c r="F137" i="5"/>
  <c r="D138" i="5"/>
  <c r="F138" i="5"/>
  <c r="D139" i="5"/>
  <c r="F139" i="5"/>
  <c r="D140" i="5"/>
  <c r="F140" i="5"/>
  <c r="D141" i="5"/>
  <c r="F141" i="5"/>
  <c r="D142" i="5"/>
  <c r="F142" i="5"/>
  <c r="D143" i="5"/>
  <c r="F143" i="5"/>
  <c r="D144" i="5"/>
  <c r="F144" i="5"/>
  <c r="D145" i="5"/>
  <c r="F145" i="5"/>
  <c r="D146" i="5"/>
  <c r="F146" i="5"/>
  <c r="D147" i="5"/>
  <c r="F147" i="5"/>
  <c r="D148" i="5"/>
  <c r="F148" i="5"/>
  <c r="D149" i="5"/>
  <c r="F149" i="5"/>
  <c r="G159" i="5"/>
  <c r="I159" i="5" s="1"/>
  <c r="N156" i="5"/>
  <c r="L156" i="5"/>
  <c r="K156" i="5"/>
  <c r="C157" i="7"/>
  <c r="F157" i="7" s="1"/>
  <c r="I157" i="7" s="1"/>
  <c r="F10" i="4"/>
  <c r="J10" i="4" s="1"/>
  <c r="C4" i="7"/>
  <c r="C6" i="7"/>
  <c r="C12" i="7"/>
  <c r="C17" i="7"/>
  <c r="C23" i="7"/>
  <c r="C26" i="7"/>
  <c r="C27" i="7"/>
  <c r="C28" i="7"/>
  <c r="C30" i="7"/>
  <c r="C31" i="7"/>
  <c r="C36" i="7"/>
  <c r="C38" i="7"/>
  <c r="C39" i="7"/>
  <c r="C43" i="7"/>
  <c r="C44" i="7"/>
  <c r="C46" i="7"/>
  <c r="C47" i="7"/>
  <c r="C48" i="7"/>
  <c r="C50" i="7"/>
  <c r="C51" i="7"/>
  <c r="C55" i="7"/>
  <c r="C58" i="7"/>
  <c r="C59" i="7"/>
  <c r="C62" i="7"/>
  <c r="C63" i="7"/>
  <c r="C66" i="7"/>
  <c r="C68" i="7"/>
  <c r="C69" i="7"/>
  <c r="C70" i="7"/>
  <c r="C71" i="7"/>
  <c r="C72" i="7"/>
  <c r="C74" i="7"/>
  <c r="C80" i="7"/>
  <c r="C83" i="7"/>
  <c r="C86" i="7"/>
  <c r="C87" i="7"/>
  <c r="C89" i="7"/>
  <c r="C90" i="7"/>
  <c r="C91" i="7"/>
  <c r="C94" i="7"/>
  <c r="C98" i="7"/>
  <c r="C100" i="7"/>
  <c r="C102" i="7"/>
  <c r="C104" i="7"/>
  <c r="C105" i="7"/>
  <c r="C106" i="7"/>
  <c r="C107" i="7"/>
  <c r="C109" i="7"/>
  <c r="C110" i="7"/>
  <c r="C111" i="7"/>
  <c r="C112" i="7"/>
  <c r="C113" i="7"/>
  <c r="C114" i="7"/>
  <c r="C116" i="7"/>
  <c r="C118" i="7"/>
  <c r="C120" i="7"/>
  <c r="C121" i="7"/>
  <c r="C122" i="7"/>
  <c r="C123" i="7"/>
  <c r="C124" i="7"/>
  <c r="C125" i="7"/>
  <c r="C126" i="7"/>
  <c r="C129" i="7"/>
  <c r="C130" i="7"/>
  <c r="C131" i="7"/>
  <c r="C133" i="7"/>
  <c r="C134" i="7"/>
  <c r="C136" i="7"/>
  <c r="C137" i="7"/>
  <c r="C140" i="7"/>
  <c r="C141" i="7"/>
  <c r="C144" i="7"/>
  <c r="C146" i="7"/>
  <c r="K22" i="4"/>
  <c r="K29" i="4"/>
  <c r="C9" i="7"/>
  <c r="C10" i="7"/>
  <c r="C13" i="7"/>
  <c r="C16" i="7"/>
  <c r="C18" i="7"/>
  <c r="C22" i="7"/>
  <c r="C24" i="7"/>
  <c r="C32" i="7"/>
  <c r="C34" i="7"/>
  <c r="C52" i="7"/>
  <c r="C53" i="7"/>
  <c r="C57" i="7"/>
  <c r="C60" i="7"/>
  <c r="C64" i="7"/>
  <c r="C65" i="7"/>
  <c r="C73" i="7"/>
  <c r="C76" i="7"/>
  <c r="C82" i="7"/>
  <c r="C84" i="7"/>
  <c r="C85" i="7"/>
  <c r="C92" i="7"/>
  <c r="C96" i="7"/>
  <c r="C108" i="7"/>
  <c r="C132" i="7"/>
  <c r="C138" i="7"/>
  <c r="C8" i="7"/>
  <c r="C14" i="7"/>
  <c r="C20" i="7"/>
  <c r="C40" i="7"/>
  <c r="C41" i="7"/>
  <c r="C42" i="7"/>
  <c r="C45" i="7"/>
  <c r="C54" i="7"/>
  <c r="C56" i="7"/>
  <c r="C61" i="7"/>
  <c r="C78" i="7"/>
  <c r="C88" i="7"/>
  <c r="C97" i="7"/>
  <c r="C128" i="7"/>
  <c r="C142" i="7"/>
  <c r="B3" i="6"/>
  <c r="C5" i="6" s="1"/>
  <c r="C9" i="6" s="1"/>
  <c r="B27" i="21"/>
  <c r="B26" i="21"/>
  <c r="B25" i="21"/>
  <c r="B24" i="21"/>
  <c r="B10" i="19"/>
  <c r="E21" i="4"/>
  <c r="K21" i="4" s="1"/>
  <c r="E11" i="2"/>
  <c r="E14" i="4" s="1"/>
  <c r="E20" i="4" s="1"/>
  <c r="C11" i="2"/>
  <c r="B14" i="4"/>
  <c r="B30" i="4" s="1"/>
  <c r="D16" i="4"/>
  <c r="K12" i="2"/>
  <c r="K13" i="2" s="1"/>
  <c r="I161" i="7" s="1"/>
  <c r="A11" i="2"/>
  <c r="B7" i="6" s="1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4" i="13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3" i="5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D115" i="14"/>
  <c r="F115" i="14" s="1"/>
  <c r="G115" i="14" s="1"/>
  <c r="I115" i="14" s="1"/>
  <c r="J115" i="14" s="1"/>
  <c r="S115" i="14" s="1"/>
  <c r="T115" i="14" s="1"/>
  <c r="C103" i="5" s="1"/>
  <c r="A4" i="7"/>
  <c r="B4" i="7"/>
  <c r="A5" i="7"/>
  <c r="B5" i="7"/>
  <c r="A6" i="7"/>
  <c r="B6" i="7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A41" i="7"/>
  <c r="B41" i="7"/>
  <c r="A42" i="7"/>
  <c r="B42" i="7"/>
  <c r="A43" i="7"/>
  <c r="B43" i="7"/>
  <c r="A44" i="7"/>
  <c r="B44" i="7"/>
  <c r="A45" i="7"/>
  <c r="B45" i="7"/>
  <c r="A46" i="7"/>
  <c r="B46" i="7"/>
  <c r="A47" i="7"/>
  <c r="B47" i="7"/>
  <c r="A48" i="7"/>
  <c r="B48" i="7"/>
  <c r="A49" i="7"/>
  <c r="B49" i="7"/>
  <c r="A50" i="7"/>
  <c r="B50" i="7"/>
  <c r="A51" i="7"/>
  <c r="B51" i="7"/>
  <c r="A52" i="7"/>
  <c r="B52" i="7"/>
  <c r="A53" i="7"/>
  <c r="B53" i="7"/>
  <c r="A54" i="7"/>
  <c r="B54" i="7"/>
  <c r="A55" i="7"/>
  <c r="B55" i="7"/>
  <c r="A56" i="7"/>
  <c r="B56" i="7"/>
  <c r="A57" i="7"/>
  <c r="B57" i="7"/>
  <c r="A58" i="7"/>
  <c r="B58" i="7"/>
  <c r="A59" i="7"/>
  <c r="B59" i="7"/>
  <c r="A60" i="7"/>
  <c r="B60" i="7"/>
  <c r="A61" i="7"/>
  <c r="B61" i="7"/>
  <c r="A62" i="7"/>
  <c r="B62" i="7"/>
  <c r="A63" i="7"/>
  <c r="B63" i="7"/>
  <c r="A64" i="7"/>
  <c r="B64" i="7"/>
  <c r="A65" i="7"/>
  <c r="B65" i="7"/>
  <c r="A66" i="7"/>
  <c r="B66" i="7"/>
  <c r="A67" i="7"/>
  <c r="B67" i="7"/>
  <c r="A68" i="7"/>
  <c r="B68" i="7"/>
  <c r="A69" i="7"/>
  <c r="B69" i="7"/>
  <c r="A70" i="7"/>
  <c r="B70" i="7"/>
  <c r="A71" i="7"/>
  <c r="B71" i="7"/>
  <c r="A72" i="7"/>
  <c r="B72" i="7"/>
  <c r="A73" i="7"/>
  <c r="B73" i="7"/>
  <c r="A74" i="7"/>
  <c r="B74" i="7"/>
  <c r="A75" i="7"/>
  <c r="B75" i="7"/>
  <c r="A76" i="7"/>
  <c r="B76" i="7"/>
  <c r="A77" i="7"/>
  <c r="B77" i="7"/>
  <c r="A78" i="7"/>
  <c r="B78" i="7"/>
  <c r="A79" i="7"/>
  <c r="B79" i="7"/>
  <c r="A80" i="7"/>
  <c r="B80" i="7"/>
  <c r="A81" i="7"/>
  <c r="B81" i="7"/>
  <c r="A82" i="7"/>
  <c r="B82" i="7"/>
  <c r="A83" i="7"/>
  <c r="B83" i="7"/>
  <c r="A84" i="7"/>
  <c r="B84" i="7"/>
  <c r="A85" i="7"/>
  <c r="B85" i="7"/>
  <c r="A86" i="7"/>
  <c r="B86" i="7"/>
  <c r="A87" i="7"/>
  <c r="B87" i="7"/>
  <c r="A88" i="7"/>
  <c r="B88" i="7"/>
  <c r="A89" i="7"/>
  <c r="B89" i="7"/>
  <c r="A90" i="7"/>
  <c r="B90" i="7"/>
  <c r="A91" i="7"/>
  <c r="B91" i="7"/>
  <c r="A92" i="7"/>
  <c r="B92" i="7"/>
  <c r="A93" i="7"/>
  <c r="B93" i="7"/>
  <c r="A94" i="7"/>
  <c r="B94" i="7"/>
  <c r="A95" i="7"/>
  <c r="B95" i="7"/>
  <c r="A96" i="7"/>
  <c r="B96" i="7"/>
  <c r="A97" i="7"/>
  <c r="B97" i="7"/>
  <c r="A98" i="7"/>
  <c r="B98" i="7"/>
  <c r="A99" i="7"/>
  <c r="B99" i="7"/>
  <c r="A100" i="7"/>
  <c r="B100" i="7"/>
  <c r="A101" i="7"/>
  <c r="B101" i="7"/>
  <c r="A102" i="7"/>
  <c r="B102" i="7"/>
  <c r="A103" i="7"/>
  <c r="B103" i="7"/>
  <c r="A104" i="7"/>
  <c r="B104" i="7"/>
  <c r="A105" i="7"/>
  <c r="B105" i="7"/>
  <c r="A106" i="7"/>
  <c r="B106" i="7"/>
  <c r="A107" i="7"/>
  <c r="B107" i="7"/>
  <c r="A108" i="7"/>
  <c r="B108" i="7"/>
  <c r="A109" i="7"/>
  <c r="B109" i="7"/>
  <c r="A110" i="7"/>
  <c r="B110" i="7"/>
  <c r="A111" i="7"/>
  <c r="B111" i="7"/>
  <c r="A112" i="7"/>
  <c r="B112" i="7"/>
  <c r="A113" i="7"/>
  <c r="B113" i="7"/>
  <c r="A114" i="7"/>
  <c r="B114" i="7"/>
  <c r="A115" i="7"/>
  <c r="B115" i="7"/>
  <c r="A116" i="7"/>
  <c r="B116" i="7"/>
  <c r="A117" i="7"/>
  <c r="B117" i="7"/>
  <c r="A118" i="7"/>
  <c r="B118" i="7"/>
  <c r="A119" i="7"/>
  <c r="B119" i="7"/>
  <c r="A120" i="7"/>
  <c r="B120" i="7"/>
  <c r="A121" i="7"/>
  <c r="B121" i="7"/>
  <c r="A122" i="7"/>
  <c r="B122" i="7"/>
  <c r="A123" i="7"/>
  <c r="B123" i="7"/>
  <c r="A124" i="7"/>
  <c r="B124" i="7"/>
  <c r="A125" i="7"/>
  <c r="B125" i="7"/>
  <c r="A126" i="7"/>
  <c r="B126" i="7"/>
  <c r="A127" i="7"/>
  <c r="B127" i="7"/>
  <c r="A128" i="7"/>
  <c r="B128" i="7"/>
  <c r="A129" i="7"/>
  <c r="B129" i="7"/>
  <c r="A130" i="7"/>
  <c r="B130" i="7"/>
  <c r="A131" i="7"/>
  <c r="B131" i="7"/>
  <c r="A132" i="7"/>
  <c r="B132" i="7"/>
  <c r="A133" i="7"/>
  <c r="B133" i="7"/>
  <c r="A134" i="7"/>
  <c r="B134" i="7"/>
  <c r="A135" i="7"/>
  <c r="B135" i="7"/>
  <c r="A136" i="7"/>
  <c r="B136" i="7"/>
  <c r="A137" i="7"/>
  <c r="B137" i="7"/>
  <c r="A138" i="7"/>
  <c r="B138" i="7"/>
  <c r="A139" i="7"/>
  <c r="B139" i="7"/>
  <c r="A140" i="7"/>
  <c r="B140" i="7"/>
  <c r="A141" i="7"/>
  <c r="B141" i="7"/>
  <c r="A142" i="7"/>
  <c r="B142" i="7"/>
  <c r="A143" i="7"/>
  <c r="B143" i="7"/>
  <c r="A144" i="7"/>
  <c r="B144" i="7"/>
  <c r="A145" i="7"/>
  <c r="B145" i="7"/>
  <c r="A146" i="7"/>
  <c r="B146" i="7"/>
  <c r="A147" i="7"/>
  <c r="B147" i="7"/>
  <c r="A148" i="7"/>
  <c r="B148" i="7"/>
  <c r="C148" i="7"/>
  <c r="I11" i="2"/>
  <c r="I13" i="2"/>
  <c r="G161" i="7" s="1"/>
  <c r="J11" i="2"/>
  <c r="J13" i="2"/>
  <c r="H161" i="7" s="1"/>
  <c r="H8" i="2"/>
  <c r="H11" i="2" s="1"/>
  <c r="H9" i="2"/>
  <c r="H10" i="2"/>
  <c r="G11" i="2"/>
  <c r="D11" i="2"/>
  <c r="B3" i="7"/>
  <c r="A3" i="7"/>
  <c r="C147" i="7"/>
  <c r="C143" i="7"/>
  <c r="C135" i="7"/>
  <c r="C127" i="7"/>
  <c r="C119" i="7"/>
  <c r="C115" i="7"/>
  <c r="C103" i="7"/>
  <c r="C95" i="7"/>
  <c r="C79" i="7"/>
  <c r="C35" i="7"/>
  <c r="C15" i="7"/>
  <c r="C7" i="7"/>
  <c r="C3" i="7"/>
  <c r="F3" i="7" s="1"/>
  <c r="I3" i="7" s="1"/>
  <c r="D13" i="4"/>
  <c r="C75" i="7"/>
  <c r="C99" i="7"/>
  <c r="C11" i="7"/>
  <c r="F156" i="5"/>
  <c r="C139" i="7"/>
  <c r="C67" i="7"/>
  <c r="C145" i="7"/>
  <c r="C117" i="7"/>
  <c r="C101" i="7"/>
  <c r="C93" i="7"/>
  <c r="C81" i="7"/>
  <c r="C77" i="7"/>
  <c r="C49" i="7"/>
  <c r="C37" i="7"/>
  <c r="C33" i="7"/>
  <c r="C29" i="7"/>
  <c r="C25" i="7"/>
  <c r="C21" i="7"/>
  <c r="C5" i="7"/>
  <c r="F30" i="4"/>
  <c r="S75" i="14"/>
  <c r="T75" i="14" s="1"/>
  <c r="C63" i="5" s="1"/>
  <c r="S109" i="14"/>
  <c r="T109" i="14" s="1"/>
  <c r="C97" i="5" s="1"/>
  <c r="E30" i="4"/>
  <c r="B125" i="12" s="1"/>
  <c r="B126" i="12" s="1"/>
  <c r="H14" i="2"/>
  <c r="I13" i="4" s="1"/>
  <c r="H13" i="2"/>
  <c r="C7" i="6" s="1"/>
  <c r="C10" i="19"/>
  <c r="D167" i="14" l="1"/>
  <c r="F19" i="14"/>
  <c r="G19" i="14" s="1"/>
  <c r="I19" i="14" s="1"/>
  <c r="J19" i="14" s="1"/>
  <c r="S19" i="14" s="1"/>
  <c r="T19" i="14" s="1"/>
  <c r="C7" i="5" s="1"/>
  <c r="I18" i="14"/>
  <c r="S55" i="14"/>
  <c r="T55" i="14" s="1"/>
  <c r="C43" i="5" s="1"/>
  <c r="S25" i="14"/>
  <c r="F20" i="14"/>
  <c r="G20" i="14" s="1"/>
  <c r="U110" i="12"/>
  <c r="W105" i="12" s="1"/>
  <c r="L40" i="4" s="1"/>
  <c r="T102" i="12"/>
  <c r="R110" i="12"/>
  <c r="R112" i="12" s="1"/>
  <c r="T110" i="12"/>
  <c r="C102" i="19"/>
  <c r="D10" i="19" s="1"/>
  <c r="J13" i="4"/>
  <c r="K13" i="4" s="1"/>
  <c r="R17" i="14"/>
  <c r="Q167" i="14"/>
  <c r="N167" i="14"/>
  <c r="S145" i="14"/>
  <c r="T145" i="14" s="1"/>
  <c r="C133" i="5" s="1"/>
  <c r="S103" i="14"/>
  <c r="T103" i="14" s="1"/>
  <c r="C91" i="5" s="1"/>
  <c r="S119" i="14"/>
  <c r="T119" i="14" s="1"/>
  <c r="C107" i="5" s="1"/>
  <c r="D5" i="6"/>
  <c r="S45" i="14"/>
  <c r="T45" i="14" s="1"/>
  <c r="C33" i="5" s="1"/>
  <c r="F15" i="14"/>
  <c r="S101" i="14"/>
  <c r="T101" i="14" s="1"/>
  <c r="C89" i="5" s="1"/>
  <c r="S33" i="14"/>
  <c r="T33" i="14" s="1"/>
  <c r="C21" i="5" s="1"/>
  <c r="S41" i="14"/>
  <c r="T41" i="14" s="1"/>
  <c r="C29" i="5" s="1"/>
  <c r="S31" i="14"/>
  <c r="T31" i="14" s="1"/>
  <c r="C19" i="5" s="1"/>
  <c r="S99" i="14"/>
  <c r="T99" i="14" s="1"/>
  <c r="C87" i="5" s="1"/>
  <c r="S95" i="14"/>
  <c r="T95" i="14" s="1"/>
  <c r="C83" i="5" s="1"/>
  <c r="S81" i="14"/>
  <c r="T81" i="14" s="1"/>
  <c r="C69" i="5" s="1"/>
  <c r="T25" i="14"/>
  <c r="C13" i="5" s="1"/>
  <c r="S157" i="14"/>
  <c r="T157" i="14" s="1"/>
  <c r="C145" i="5" s="1"/>
  <c r="J161" i="7"/>
  <c r="D156" i="5"/>
  <c r="F117" i="14"/>
  <c r="G117" i="14" s="1"/>
  <c r="I117" i="14" s="1"/>
  <c r="J117" i="14" s="1"/>
  <c r="S117" i="14" s="1"/>
  <c r="T117" i="14" s="1"/>
  <c r="C105" i="5" s="1"/>
  <c r="F116" i="14"/>
  <c r="G116" i="14" s="1"/>
  <c r="I116" i="14" s="1"/>
  <c r="J116" i="14" s="1"/>
  <c r="S116" i="14" s="1"/>
  <c r="T116" i="14" s="1"/>
  <c r="C104" i="5" s="1"/>
  <c r="F114" i="14"/>
  <c r="G114" i="14" s="1"/>
  <c r="I114" i="14" s="1"/>
  <c r="J114" i="14" s="1"/>
  <c r="S114" i="14" s="1"/>
  <c r="T114" i="14" s="1"/>
  <c r="C102" i="5" s="1"/>
  <c r="F113" i="14"/>
  <c r="G113" i="14" s="1"/>
  <c r="I113" i="14" s="1"/>
  <c r="J113" i="14" s="1"/>
  <c r="S113" i="14" s="1"/>
  <c r="T113" i="14" s="1"/>
  <c r="C101" i="5" s="1"/>
  <c r="B157" i="5"/>
  <c r="G161" i="5"/>
  <c r="C13" i="6"/>
  <c r="I148" i="14"/>
  <c r="J148" i="14" s="1"/>
  <c r="S148" i="14" s="1"/>
  <c r="T148" i="14" s="1"/>
  <c r="C136" i="5" s="1"/>
  <c r="I132" i="14"/>
  <c r="J132" i="14" s="1"/>
  <c r="S132" i="14" s="1"/>
  <c r="T132" i="14" s="1"/>
  <c r="C120" i="5" s="1"/>
  <c r="I48" i="14"/>
  <c r="J48" i="14" s="1"/>
  <c r="S48" i="14" s="1"/>
  <c r="T48" i="14" s="1"/>
  <c r="C36" i="5" s="1"/>
  <c r="I40" i="14"/>
  <c r="J40" i="14" s="1"/>
  <c r="S40" i="14" s="1"/>
  <c r="T40" i="14" s="1"/>
  <c r="C28" i="5" s="1"/>
  <c r="I27" i="14"/>
  <c r="J27" i="14" s="1"/>
  <c r="E156" i="5"/>
  <c r="I139" i="14"/>
  <c r="J139" i="14" s="1"/>
  <c r="S139" i="14" s="1"/>
  <c r="T139" i="14" s="1"/>
  <c r="C127" i="5" s="1"/>
  <c r="I135" i="14"/>
  <c r="J135" i="14" s="1"/>
  <c r="S135" i="14" s="1"/>
  <c r="T135" i="14" s="1"/>
  <c r="C123" i="5" s="1"/>
  <c r="I111" i="14"/>
  <c r="J111" i="14" s="1"/>
  <c r="S111" i="14" s="1"/>
  <c r="T111" i="14" s="1"/>
  <c r="C99" i="5" s="1"/>
  <c r="I79" i="14"/>
  <c r="J79" i="14" s="1"/>
  <c r="S79" i="14" s="1"/>
  <c r="T79" i="14" s="1"/>
  <c r="C67" i="5" s="1"/>
  <c r="I67" i="14"/>
  <c r="J67" i="14" s="1"/>
  <c r="I47" i="14"/>
  <c r="J47" i="14" s="1"/>
  <c r="S47" i="14" s="1"/>
  <c r="T47" i="14" s="1"/>
  <c r="C35" i="5" s="1"/>
  <c r="I43" i="14"/>
  <c r="J43" i="14" s="1"/>
  <c r="S43" i="14" s="1"/>
  <c r="T43" i="14" s="1"/>
  <c r="C31" i="5" s="1"/>
  <c r="I155" i="14"/>
  <c r="J155" i="14" s="1"/>
  <c r="S155" i="14" s="1"/>
  <c r="T155" i="14" s="1"/>
  <c r="C143" i="5" s="1"/>
  <c r="I147" i="14"/>
  <c r="J147" i="14" s="1"/>
  <c r="I131" i="14"/>
  <c r="J131" i="14" s="1"/>
  <c r="S131" i="14" s="1"/>
  <c r="T131" i="14" s="1"/>
  <c r="C119" i="5" s="1"/>
  <c r="I107" i="14"/>
  <c r="J107" i="14" s="1"/>
  <c r="S107" i="14" s="1"/>
  <c r="T107" i="14" s="1"/>
  <c r="C95" i="5" s="1"/>
  <c r="I91" i="14"/>
  <c r="J91" i="14" s="1"/>
  <c r="S91" i="14" s="1"/>
  <c r="T91" i="14" s="1"/>
  <c r="C79" i="5" s="1"/>
  <c r="I87" i="14"/>
  <c r="J87" i="14" s="1"/>
  <c r="S87" i="14" s="1"/>
  <c r="T87" i="14" s="1"/>
  <c r="C75" i="5" s="1"/>
  <c r="I83" i="14"/>
  <c r="J83" i="14" s="1"/>
  <c r="S83" i="14" s="1"/>
  <c r="T83" i="14" s="1"/>
  <c r="C71" i="5" s="1"/>
  <c r="I63" i="14"/>
  <c r="J63" i="14" s="1"/>
  <c r="S63" i="14" s="1"/>
  <c r="T63" i="14" s="1"/>
  <c r="C51" i="5" s="1"/>
  <c r="I51" i="14"/>
  <c r="J51" i="14" s="1"/>
  <c r="S51" i="14" s="1"/>
  <c r="T51" i="14" s="1"/>
  <c r="C39" i="5" s="1"/>
  <c r="I159" i="14"/>
  <c r="J159" i="14" s="1"/>
  <c r="S159" i="14" s="1"/>
  <c r="T159" i="14" s="1"/>
  <c r="C147" i="5" s="1"/>
  <c r="I151" i="14"/>
  <c r="J151" i="14" s="1"/>
  <c r="I143" i="14"/>
  <c r="J143" i="14" s="1"/>
  <c r="I127" i="14"/>
  <c r="J127" i="14" s="1"/>
  <c r="S127" i="14" s="1"/>
  <c r="T127" i="14" s="1"/>
  <c r="C115" i="5" s="1"/>
  <c r="I123" i="14"/>
  <c r="J123" i="14" s="1"/>
  <c r="I71" i="14"/>
  <c r="J71" i="14" s="1"/>
  <c r="S71" i="14" s="1"/>
  <c r="T71" i="14" s="1"/>
  <c r="C59" i="5" s="1"/>
  <c r="I39" i="14"/>
  <c r="J39" i="14" s="1"/>
  <c r="S39" i="14" s="1"/>
  <c r="T39" i="14" s="1"/>
  <c r="C27" i="5" s="1"/>
  <c r="I35" i="14"/>
  <c r="J35" i="14" s="1"/>
  <c r="S35" i="14" s="1"/>
  <c r="T35" i="14" s="1"/>
  <c r="C23" i="5" s="1"/>
  <c r="I23" i="14"/>
  <c r="J23" i="14" s="1"/>
  <c r="I161" i="14"/>
  <c r="J161" i="14" s="1"/>
  <c r="S161" i="14" s="1"/>
  <c r="T161" i="14" s="1"/>
  <c r="C149" i="5" s="1"/>
  <c r="I149" i="14"/>
  <c r="J149" i="14" s="1"/>
  <c r="S149" i="14" s="1"/>
  <c r="T149" i="14" s="1"/>
  <c r="C137" i="5" s="1"/>
  <c r="I141" i="14"/>
  <c r="J141" i="14" s="1"/>
  <c r="S141" i="14" s="1"/>
  <c r="T141" i="14" s="1"/>
  <c r="C129" i="5" s="1"/>
  <c r="I137" i="14"/>
  <c r="J137" i="14" s="1"/>
  <c r="S137" i="14" s="1"/>
  <c r="T137" i="14" s="1"/>
  <c r="C125" i="5" s="1"/>
  <c r="I129" i="14"/>
  <c r="J129" i="14" s="1"/>
  <c r="S129" i="14" s="1"/>
  <c r="T129" i="14" s="1"/>
  <c r="C117" i="5" s="1"/>
  <c r="I105" i="14"/>
  <c r="J105" i="14" s="1"/>
  <c r="S105" i="14" s="1"/>
  <c r="T105" i="14" s="1"/>
  <c r="C93" i="5" s="1"/>
  <c r="I97" i="14"/>
  <c r="J97" i="14" s="1"/>
  <c r="S97" i="14" s="1"/>
  <c r="T97" i="14" s="1"/>
  <c r="C85" i="5" s="1"/>
  <c r="I73" i="14"/>
  <c r="J73" i="14" s="1"/>
  <c r="S73" i="14" s="1"/>
  <c r="T73" i="14" s="1"/>
  <c r="C61" i="5" s="1"/>
  <c r="I65" i="14"/>
  <c r="J65" i="14" s="1"/>
  <c r="S65" i="14" s="1"/>
  <c r="T65" i="14" s="1"/>
  <c r="C53" i="5" s="1"/>
  <c r="I57" i="14"/>
  <c r="J57" i="14" s="1"/>
  <c r="S57" i="14" s="1"/>
  <c r="T57" i="14" s="1"/>
  <c r="C45" i="5" s="1"/>
  <c r="I53" i="14"/>
  <c r="J53" i="14" s="1"/>
  <c r="S53" i="14" s="1"/>
  <c r="T53" i="14" s="1"/>
  <c r="C41" i="5" s="1"/>
  <c r="I121" i="14"/>
  <c r="J121" i="14" s="1"/>
  <c r="S121" i="14" s="1"/>
  <c r="T121" i="14" s="1"/>
  <c r="C109" i="5" s="1"/>
  <c r="I93" i="14"/>
  <c r="J93" i="14" s="1"/>
  <c r="S93" i="14" s="1"/>
  <c r="T93" i="14" s="1"/>
  <c r="C81" i="5" s="1"/>
  <c r="I85" i="14"/>
  <c r="J85" i="14" s="1"/>
  <c r="S85" i="14" s="1"/>
  <c r="T85" i="14" s="1"/>
  <c r="C73" i="5" s="1"/>
  <c r="I69" i="14"/>
  <c r="J69" i="14" s="1"/>
  <c r="S69" i="14" s="1"/>
  <c r="T69" i="14" s="1"/>
  <c r="C57" i="5" s="1"/>
  <c r="I49" i="14"/>
  <c r="J49" i="14" s="1"/>
  <c r="S49" i="14" s="1"/>
  <c r="T49" i="14" s="1"/>
  <c r="C37" i="5" s="1"/>
  <c r="I37" i="14"/>
  <c r="J37" i="14" s="1"/>
  <c r="S37" i="14" s="1"/>
  <c r="T37" i="14" s="1"/>
  <c r="C25" i="5" s="1"/>
  <c r="I29" i="14"/>
  <c r="J29" i="14" s="1"/>
  <c r="S29" i="14" s="1"/>
  <c r="T29" i="14" s="1"/>
  <c r="C17" i="5" s="1"/>
  <c r="I21" i="14"/>
  <c r="J21" i="14" s="1"/>
  <c r="I17" i="14"/>
  <c r="J17" i="14" s="1"/>
  <c r="W161" i="16"/>
  <c r="W159" i="16"/>
  <c r="W160" i="16" s="1"/>
  <c r="W163" i="16" s="1"/>
  <c r="Q161" i="16"/>
  <c r="Q160" i="16"/>
  <c r="R161" i="16"/>
  <c r="R159" i="16"/>
  <c r="R160" i="16" s="1"/>
  <c r="V159" i="16"/>
  <c r="S161" i="16"/>
  <c r="S159" i="16"/>
  <c r="S160" i="16" s="1"/>
  <c r="I32" i="14"/>
  <c r="J32" i="14" s="1"/>
  <c r="S32" i="14" s="1"/>
  <c r="T32" i="14" s="1"/>
  <c r="C20" i="5" s="1"/>
  <c r="I160" i="14"/>
  <c r="J160" i="14" s="1"/>
  <c r="S160" i="14" s="1"/>
  <c r="T160" i="14" s="1"/>
  <c r="C148" i="5" s="1"/>
  <c r="I152" i="14"/>
  <c r="J152" i="14" s="1"/>
  <c r="S152" i="14" s="1"/>
  <c r="T152" i="14" s="1"/>
  <c r="C140" i="5" s="1"/>
  <c r="I24" i="14"/>
  <c r="J24" i="14" s="1"/>
  <c r="I96" i="14"/>
  <c r="J96" i="14" s="1"/>
  <c r="S96" i="14" s="1"/>
  <c r="T96" i="14" s="1"/>
  <c r="C84" i="5" s="1"/>
  <c r="I88" i="14"/>
  <c r="J88" i="14" s="1"/>
  <c r="S88" i="14" s="1"/>
  <c r="T88" i="14" s="1"/>
  <c r="C76" i="5" s="1"/>
  <c r="I128" i="14"/>
  <c r="J128" i="14" s="1"/>
  <c r="S128" i="14" s="1"/>
  <c r="T128" i="14" s="1"/>
  <c r="C116" i="5" s="1"/>
  <c r="I56" i="14"/>
  <c r="J56" i="14" s="1"/>
  <c r="S56" i="14" s="1"/>
  <c r="T56" i="14" s="1"/>
  <c r="C44" i="5" s="1"/>
  <c r="I120" i="14"/>
  <c r="J120" i="14" s="1"/>
  <c r="S120" i="14" s="1"/>
  <c r="T120" i="14" s="1"/>
  <c r="C108" i="5" s="1"/>
  <c r="I64" i="14"/>
  <c r="J64" i="14" s="1"/>
  <c r="S64" i="14" s="1"/>
  <c r="T64" i="14" s="1"/>
  <c r="C52" i="5" s="1"/>
  <c r="I144" i="14"/>
  <c r="J144" i="14" s="1"/>
  <c r="S144" i="14" s="1"/>
  <c r="T144" i="14" s="1"/>
  <c r="C132" i="5" s="1"/>
  <c r="I136" i="14"/>
  <c r="J136" i="14" s="1"/>
  <c r="S136" i="14" s="1"/>
  <c r="T136" i="14" s="1"/>
  <c r="C124" i="5" s="1"/>
  <c r="I72" i="14"/>
  <c r="J72" i="14" s="1"/>
  <c r="S72" i="14" s="1"/>
  <c r="T72" i="14" s="1"/>
  <c r="C60" i="5" s="1"/>
  <c r="I20" i="14"/>
  <c r="J20" i="14" s="1"/>
  <c r="S20" i="14" s="1"/>
  <c r="I104" i="14"/>
  <c r="J104" i="14" s="1"/>
  <c r="S104" i="14" s="1"/>
  <c r="T104" i="14" s="1"/>
  <c r="C92" i="5" s="1"/>
  <c r="I112" i="14"/>
  <c r="J112" i="14" s="1"/>
  <c r="S112" i="14" s="1"/>
  <c r="T112" i="14" s="1"/>
  <c r="C100" i="5" s="1"/>
  <c r="I80" i="14"/>
  <c r="J80" i="14" s="1"/>
  <c r="S80" i="14" s="1"/>
  <c r="T80" i="14" s="1"/>
  <c r="C68" i="5" s="1"/>
  <c r="J158" i="14"/>
  <c r="S158" i="14" s="1"/>
  <c r="I110" i="14"/>
  <c r="J110" i="14" s="1"/>
  <c r="S110" i="14" s="1"/>
  <c r="T110" i="14" s="1"/>
  <c r="C98" i="5" s="1"/>
  <c r="I86" i="14"/>
  <c r="J86" i="14" s="1"/>
  <c r="S86" i="14" s="1"/>
  <c r="T86" i="14" s="1"/>
  <c r="C74" i="5" s="1"/>
  <c r="I70" i="14"/>
  <c r="J70" i="14" s="1"/>
  <c r="S70" i="14" s="1"/>
  <c r="T70" i="14" s="1"/>
  <c r="C58" i="5" s="1"/>
  <c r="I38" i="14"/>
  <c r="J38" i="14" s="1"/>
  <c r="S38" i="14" s="1"/>
  <c r="T38" i="14" s="1"/>
  <c r="C26" i="5" s="1"/>
  <c r="I22" i="14"/>
  <c r="J22" i="14" s="1"/>
  <c r="I126" i="14"/>
  <c r="J126" i="14" s="1"/>
  <c r="S126" i="14" s="1"/>
  <c r="T126" i="14" s="1"/>
  <c r="C114" i="5" s="1"/>
  <c r="I102" i="14"/>
  <c r="J102" i="14" s="1"/>
  <c r="S102" i="14" s="1"/>
  <c r="T102" i="14" s="1"/>
  <c r="C90" i="5" s="1"/>
  <c r="I94" i="14"/>
  <c r="J94" i="14" s="1"/>
  <c r="S94" i="14" s="1"/>
  <c r="T94" i="14" s="1"/>
  <c r="C82" i="5" s="1"/>
  <c r="I62" i="14"/>
  <c r="J62" i="14" s="1"/>
  <c r="I54" i="14"/>
  <c r="J54" i="14" s="1"/>
  <c r="S54" i="14" s="1"/>
  <c r="T54" i="14" s="1"/>
  <c r="C42" i="5" s="1"/>
  <c r="I46" i="14"/>
  <c r="J46" i="14" s="1"/>
  <c r="S46" i="14" s="1"/>
  <c r="T46" i="14" s="1"/>
  <c r="C34" i="5" s="1"/>
  <c r="I118" i="14"/>
  <c r="J118" i="14" s="1"/>
  <c r="S118" i="14" s="1"/>
  <c r="T118" i="14" s="1"/>
  <c r="C106" i="5" s="1"/>
  <c r="I78" i="14"/>
  <c r="J78" i="14" s="1"/>
  <c r="S78" i="14" s="1"/>
  <c r="T78" i="14" s="1"/>
  <c r="C66" i="5" s="1"/>
  <c r="I150" i="14"/>
  <c r="J150" i="14" s="1"/>
  <c r="S150" i="14" s="1"/>
  <c r="T150" i="14" s="1"/>
  <c r="C138" i="5" s="1"/>
  <c r="I142" i="14"/>
  <c r="J142" i="14" s="1"/>
  <c r="S142" i="14" s="1"/>
  <c r="T142" i="14" s="1"/>
  <c r="C130" i="5" s="1"/>
  <c r="I134" i="14"/>
  <c r="J134" i="14" s="1"/>
  <c r="S134" i="14" s="1"/>
  <c r="T134" i="14" s="1"/>
  <c r="C122" i="5" s="1"/>
  <c r="I30" i="14"/>
  <c r="J30" i="14" s="1"/>
  <c r="S30" i="14" s="1"/>
  <c r="T30" i="14" s="1"/>
  <c r="C18" i="5" s="1"/>
  <c r="O146" i="16"/>
  <c r="P146" i="16" s="1"/>
  <c r="I156" i="14"/>
  <c r="J156" i="14" s="1"/>
  <c r="S156" i="14" s="1"/>
  <c r="T156" i="14" s="1"/>
  <c r="C144" i="5" s="1"/>
  <c r="I140" i="14"/>
  <c r="J140" i="14" s="1"/>
  <c r="S140" i="14" s="1"/>
  <c r="T140" i="14" s="1"/>
  <c r="C128" i="5" s="1"/>
  <c r="I138" i="14"/>
  <c r="J138" i="14" s="1"/>
  <c r="S138" i="14" s="1"/>
  <c r="T138" i="14" s="1"/>
  <c r="C126" i="5" s="1"/>
  <c r="I74" i="14"/>
  <c r="J74" i="14" s="1"/>
  <c r="S74" i="14" s="1"/>
  <c r="T74" i="14" s="1"/>
  <c r="C62" i="5" s="1"/>
  <c r="J18" i="14"/>
  <c r="I16" i="14"/>
  <c r="J16" i="14" s="1"/>
  <c r="I130" i="14"/>
  <c r="J130" i="14" s="1"/>
  <c r="S130" i="14" s="1"/>
  <c r="T130" i="14" s="1"/>
  <c r="C118" i="5" s="1"/>
  <c r="I122" i="14"/>
  <c r="J122" i="14" s="1"/>
  <c r="S122" i="14" s="1"/>
  <c r="T122" i="14" s="1"/>
  <c r="C110" i="5" s="1"/>
  <c r="I98" i="14"/>
  <c r="J98" i="14" s="1"/>
  <c r="S98" i="14" s="1"/>
  <c r="T98" i="14" s="1"/>
  <c r="C86" i="5" s="1"/>
  <c r="I76" i="14"/>
  <c r="J76" i="14" s="1"/>
  <c r="S76" i="14" s="1"/>
  <c r="T76" i="14" s="1"/>
  <c r="C64" i="5" s="1"/>
  <c r="I42" i="14"/>
  <c r="J42" i="14" s="1"/>
  <c r="S42" i="14" s="1"/>
  <c r="T42" i="14" s="1"/>
  <c r="C30" i="5" s="1"/>
  <c r="I34" i="14"/>
  <c r="J34" i="14" s="1"/>
  <c r="S34" i="14" s="1"/>
  <c r="T34" i="14" s="1"/>
  <c r="C22" i="5" s="1"/>
  <c r="I146" i="14"/>
  <c r="J146" i="14" s="1"/>
  <c r="S146" i="14" s="1"/>
  <c r="T146" i="14" s="1"/>
  <c r="C134" i="5" s="1"/>
  <c r="I124" i="14"/>
  <c r="J124" i="14" s="1"/>
  <c r="S124" i="14" s="1"/>
  <c r="T124" i="14" s="1"/>
  <c r="C112" i="5" s="1"/>
  <c r="I108" i="14"/>
  <c r="J108" i="14" s="1"/>
  <c r="S108" i="14" s="1"/>
  <c r="T108" i="14" s="1"/>
  <c r="C96" i="5" s="1"/>
  <c r="I106" i="14"/>
  <c r="J106" i="14" s="1"/>
  <c r="S106" i="14" s="1"/>
  <c r="T106" i="14" s="1"/>
  <c r="C94" i="5" s="1"/>
  <c r="I100" i="14"/>
  <c r="J100" i="14" s="1"/>
  <c r="S100" i="14" s="1"/>
  <c r="T100" i="14" s="1"/>
  <c r="C88" i="5" s="1"/>
  <c r="I92" i="14"/>
  <c r="J92" i="14" s="1"/>
  <c r="S92" i="14" s="1"/>
  <c r="T92" i="14" s="1"/>
  <c r="C80" i="5" s="1"/>
  <c r="I90" i="14"/>
  <c r="J90" i="14" s="1"/>
  <c r="S90" i="14" s="1"/>
  <c r="T90" i="14" s="1"/>
  <c r="C78" i="5" s="1"/>
  <c r="I82" i="14"/>
  <c r="J82" i="14" s="1"/>
  <c r="S82" i="14" s="1"/>
  <c r="T82" i="14" s="1"/>
  <c r="C70" i="5" s="1"/>
  <c r="I66" i="14"/>
  <c r="J66" i="14" s="1"/>
  <c r="S66" i="14" s="1"/>
  <c r="T66" i="14" s="1"/>
  <c r="C54" i="5" s="1"/>
  <c r="I58" i="14"/>
  <c r="J58" i="14" s="1"/>
  <c r="S58" i="14" s="1"/>
  <c r="T58" i="14" s="1"/>
  <c r="C46" i="5" s="1"/>
  <c r="I50" i="14"/>
  <c r="J50" i="14" s="1"/>
  <c r="S50" i="14" s="1"/>
  <c r="T50" i="14" s="1"/>
  <c r="C38" i="5" s="1"/>
  <c r="I44" i="14"/>
  <c r="J44" i="14" s="1"/>
  <c r="S44" i="14" s="1"/>
  <c r="T44" i="14" s="1"/>
  <c r="C32" i="5" s="1"/>
  <c r="I36" i="14"/>
  <c r="J36" i="14" s="1"/>
  <c r="S36" i="14" s="1"/>
  <c r="T36" i="14" s="1"/>
  <c r="C24" i="5" s="1"/>
  <c r="I154" i="14"/>
  <c r="J154" i="14" s="1"/>
  <c r="S154" i="14" s="1"/>
  <c r="I84" i="14"/>
  <c r="J84" i="14" s="1"/>
  <c r="S84" i="14" s="1"/>
  <c r="T84" i="14" s="1"/>
  <c r="C72" i="5" s="1"/>
  <c r="I68" i="14"/>
  <c r="J68" i="14" s="1"/>
  <c r="S68" i="14" s="1"/>
  <c r="T68" i="14" s="1"/>
  <c r="C56" i="5" s="1"/>
  <c r="I60" i="14"/>
  <c r="J60" i="14" s="1"/>
  <c r="S60" i="14" s="1"/>
  <c r="T60" i="14" s="1"/>
  <c r="C48" i="5" s="1"/>
  <c r="I52" i="14"/>
  <c r="J52" i="14" s="1"/>
  <c r="S52" i="14" s="1"/>
  <c r="T52" i="14" s="1"/>
  <c r="C40" i="5" s="1"/>
  <c r="I28" i="14"/>
  <c r="J28" i="14" s="1"/>
  <c r="S28" i="14" s="1"/>
  <c r="T28" i="14" s="1"/>
  <c r="C16" i="5" s="1"/>
  <c r="I26" i="14"/>
  <c r="J26" i="14" s="1"/>
  <c r="O36" i="16"/>
  <c r="P36" i="16" s="1"/>
  <c r="O123" i="16"/>
  <c r="P123" i="16" s="1"/>
  <c r="O15" i="16"/>
  <c r="P15" i="16" s="1"/>
  <c r="O120" i="16"/>
  <c r="P120" i="16" s="1"/>
  <c r="O104" i="16"/>
  <c r="P104" i="16" s="1"/>
  <c r="O46" i="16"/>
  <c r="P46" i="16" s="1"/>
  <c r="O136" i="16"/>
  <c r="P136" i="16" s="1"/>
  <c r="O30" i="16"/>
  <c r="P30" i="16" s="1"/>
  <c r="O97" i="16"/>
  <c r="P97" i="16" s="1"/>
  <c r="P7" i="16"/>
  <c r="O57" i="16"/>
  <c r="P57" i="16" s="1"/>
  <c r="O29" i="16"/>
  <c r="P29" i="16" s="1"/>
  <c r="O129" i="16"/>
  <c r="P129" i="16" s="1"/>
  <c r="O69" i="16"/>
  <c r="P69" i="16" s="1"/>
  <c r="O137" i="16"/>
  <c r="P137" i="16" s="1"/>
  <c r="O19" i="16"/>
  <c r="P19" i="16" s="1"/>
  <c r="O45" i="16"/>
  <c r="P45" i="16" s="1"/>
  <c r="O12" i="16"/>
  <c r="P12" i="16" s="1"/>
  <c r="O14" i="16"/>
  <c r="P14" i="16" s="1"/>
  <c r="O26" i="16"/>
  <c r="P26" i="16" s="1"/>
  <c r="O44" i="16"/>
  <c r="P44" i="16" s="1"/>
  <c r="O60" i="16"/>
  <c r="P60" i="16" s="1"/>
  <c r="O43" i="16"/>
  <c r="P43" i="16" s="1"/>
  <c r="O82" i="16"/>
  <c r="P82" i="16" s="1"/>
  <c r="O94" i="16"/>
  <c r="P94" i="16" s="1"/>
  <c r="O98" i="16"/>
  <c r="P98" i="16" s="1"/>
  <c r="O116" i="16"/>
  <c r="P116" i="16" s="1"/>
  <c r="O53" i="16"/>
  <c r="P53" i="16" s="1"/>
  <c r="O77" i="16"/>
  <c r="P77" i="16" s="1"/>
  <c r="O85" i="16"/>
  <c r="P85" i="16" s="1"/>
  <c r="O127" i="16"/>
  <c r="P127" i="16" s="1"/>
  <c r="O145" i="16"/>
  <c r="P145" i="16" s="1"/>
  <c r="O25" i="16"/>
  <c r="P25" i="16" s="1"/>
  <c r="O52" i="16"/>
  <c r="P52" i="16" s="1"/>
  <c r="O74" i="16"/>
  <c r="P74" i="16" s="1"/>
  <c r="O80" i="16"/>
  <c r="P80" i="16" s="1"/>
  <c r="P152" i="16"/>
  <c r="O87" i="16"/>
  <c r="P87" i="16" s="1"/>
  <c r="O13" i="16"/>
  <c r="P13" i="16" s="1"/>
  <c r="O67" i="16"/>
  <c r="P67" i="16" s="1"/>
  <c r="O75" i="16"/>
  <c r="P75" i="16" s="1"/>
  <c r="O22" i="16"/>
  <c r="P22" i="16" s="1"/>
  <c r="O72" i="16"/>
  <c r="P72" i="16" s="1"/>
  <c r="O118" i="16"/>
  <c r="P118" i="16" s="1"/>
  <c r="O134" i="16"/>
  <c r="P134" i="16" s="1"/>
  <c r="O114" i="16"/>
  <c r="P114" i="16" s="1"/>
  <c r="O39" i="16"/>
  <c r="P39" i="16" s="1"/>
  <c r="O103" i="16"/>
  <c r="P103" i="16" s="1"/>
  <c r="O35" i="16"/>
  <c r="P35" i="16" s="1"/>
  <c r="O113" i="16"/>
  <c r="P113" i="16" s="1"/>
  <c r="O99" i="16"/>
  <c r="P99" i="16" s="1"/>
  <c r="O135" i="16"/>
  <c r="P135" i="16" s="1"/>
  <c r="O125" i="16"/>
  <c r="P125" i="16" s="1"/>
  <c r="O141" i="16"/>
  <c r="P141" i="16" s="1"/>
  <c r="O23" i="16"/>
  <c r="P23" i="16" s="1"/>
  <c r="O122" i="16"/>
  <c r="P122" i="16" s="1"/>
  <c r="O64" i="16"/>
  <c r="P64" i="16" s="1"/>
  <c r="O124" i="16"/>
  <c r="P124" i="16" s="1"/>
  <c r="O84" i="16"/>
  <c r="P84" i="16" s="1"/>
  <c r="O148" i="16"/>
  <c r="P148" i="16" s="1"/>
  <c r="O16" i="16"/>
  <c r="P16" i="16" s="1"/>
  <c r="O89" i="16"/>
  <c r="P89" i="16" s="1"/>
  <c r="O33" i="16"/>
  <c r="P33" i="16" s="1"/>
  <c r="O73" i="16"/>
  <c r="P73" i="16" s="1"/>
  <c r="O139" i="16"/>
  <c r="P139" i="16" s="1"/>
  <c r="O119" i="16"/>
  <c r="P119" i="16" s="1"/>
  <c r="O115" i="16"/>
  <c r="P115" i="16" s="1"/>
  <c r="O131" i="16"/>
  <c r="P131" i="16" s="1"/>
  <c r="O51" i="16"/>
  <c r="P51" i="16" s="1"/>
  <c r="O20" i="16"/>
  <c r="P20" i="16" s="1"/>
  <c r="O10" i="16"/>
  <c r="P10" i="16" s="1"/>
  <c r="O28" i="16"/>
  <c r="P28" i="16" s="1"/>
  <c r="O48" i="16"/>
  <c r="P48" i="16" s="1"/>
  <c r="O56" i="16"/>
  <c r="P56" i="16" s="1"/>
  <c r="O76" i="16"/>
  <c r="P76" i="16" s="1"/>
  <c r="O88" i="16"/>
  <c r="P88" i="16" s="1"/>
  <c r="O92" i="16"/>
  <c r="P92" i="16" s="1"/>
  <c r="O108" i="16"/>
  <c r="P108" i="16" s="1"/>
  <c r="O132" i="16"/>
  <c r="P132" i="16" s="1"/>
  <c r="O31" i="16"/>
  <c r="P31" i="16" s="1"/>
  <c r="O83" i="16"/>
  <c r="P83" i="16" s="1"/>
  <c r="O105" i="16"/>
  <c r="P105" i="16" s="1"/>
  <c r="O121" i="16"/>
  <c r="P121" i="16" s="1"/>
  <c r="O147" i="16"/>
  <c r="P147" i="16" s="1"/>
  <c r="O130" i="16"/>
  <c r="P130" i="16" s="1"/>
  <c r="O41" i="16"/>
  <c r="P41" i="16" s="1"/>
  <c r="O78" i="16"/>
  <c r="P78" i="16" s="1"/>
  <c r="O86" i="16"/>
  <c r="P86" i="16" s="1"/>
  <c r="O128" i="16"/>
  <c r="P128" i="16" s="1"/>
  <c r="O107" i="16"/>
  <c r="P107" i="16" s="1"/>
  <c r="O81" i="16"/>
  <c r="P81" i="16" s="1"/>
  <c r="O63" i="16"/>
  <c r="P63" i="16" s="1"/>
  <c r="O101" i="16"/>
  <c r="P101" i="16" s="1"/>
  <c r="O32" i="16"/>
  <c r="P32" i="16" s="1"/>
  <c r="O50" i="16"/>
  <c r="P50" i="16" s="1"/>
  <c r="O126" i="16"/>
  <c r="P126" i="16" s="1"/>
  <c r="O140" i="16"/>
  <c r="P140" i="16" s="1"/>
  <c r="O102" i="16"/>
  <c r="P102" i="16" s="1"/>
  <c r="D56" i="10"/>
  <c r="C19" i="7"/>
  <c r="C155" i="7" s="1"/>
  <c r="C158" i="7" s="1"/>
  <c r="F153" i="14"/>
  <c r="D7" i="6"/>
  <c r="D9" i="6" s="1"/>
  <c r="D13" i="6" s="1"/>
  <c r="S147" i="14"/>
  <c r="T147" i="14" s="1"/>
  <c r="C135" i="5" s="1"/>
  <c r="S133" i="14"/>
  <c r="T133" i="14" s="1"/>
  <c r="C121" i="5" s="1"/>
  <c r="S125" i="14"/>
  <c r="T125" i="14" s="1"/>
  <c r="C113" i="5" s="1"/>
  <c r="S123" i="14"/>
  <c r="T123" i="14" s="1"/>
  <c r="C111" i="5" s="1"/>
  <c r="S67" i="14"/>
  <c r="T67" i="14" s="1"/>
  <c r="C55" i="5" s="1"/>
  <c r="S143" i="14"/>
  <c r="T143" i="14" s="1"/>
  <c r="C131" i="5" s="1"/>
  <c r="S151" i="14"/>
  <c r="T151" i="14" s="1"/>
  <c r="C139" i="5" s="1"/>
  <c r="S61" i="14"/>
  <c r="T61" i="14" s="1"/>
  <c r="C49" i="5" s="1"/>
  <c r="S59" i="14"/>
  <c r="T59" i="14" s="1"/>
  <c r="C47" i="5" s="1"/>
  <c r="S62" i="14"/>
  <c r="T62" i="14" s="1"/>
  <c r="C50" i="5" s="1"/>
  <c r="H155" i="1"/>
  <c r="T158" i="14" l="1"/>
  <c r="C146" i="5" s="1"/>
  <c r="F167" i="14"/>
  <c r="AE107" i="16"/>
  <c r="AI107" i="16"/>
  <c r="AP107" i="16" s="1"/>
  <c r="AF107" i="16"/>
  <c r="AE128" i="16"/>
  <c r="AH128" i="16"/>
  <c r="AK128" i="16"/>
  <c r="AR128" i="16" s="1"/>
  <c r="AE48" i="16"/>
  <c r="AH48" i="16"/>
  <c r="AK48" i="16"/>
  <c r="AR48" i="16" s="1"/>
  <c r="AE50" i="16"/>
  <c r="AH50" i="16"/>
  <c r="AK50" i="16"/>
  <c r="AR50" i="16" s="1"/>
  <c r="AE81" i="16"/>
  <c r="AH81" i="16"/>
  <c r="AK81" i="16"/>
  <c r="AR81" i="16" s="1"/>
  <c r="AE78" i="16"/>
  <c r="AJ78" i="16"/>
  <c r="AQ78" i="16" s="1"/>
  <c r="AG78" i="16"/>
  <c r="AE121" i="16"/>
  <c r="AJ121" i="16"/>
  <c r="AQ121" i="16" s="1"/>
  <c r="AG121" i="16"/>
  <c r="AE132" i="16"/>
  <c r="AH132" i="16"/>
  <c r="AK132" i="16"/>
  <c r="AR132" i="16" s="1"/>
  <c r="AE76" i="16"/>
  <c r="AH76" i="16"/>
  <c r="AK76" i="16"/>
  <c r="AR76" i="16" s="1"/>
  <c r="AE10" i="16"/>
  <c r="AI10" i="16"/>
  <c r="AP10" i="16" s="1"/>
  <c r="AF10" i="16"/>
  <c r="AE115" i="16"/>
  <c r="AJ115" i="16"/>
  <c r="AQ115" i="16" s="1"/>
  <c r="AG115" i="16"/>
  <c r="AE33" i="16"/>
  <c r="AI33" i="16"/>
  <c r="AP33" i="16" s="1"/>
  <c r="AF33" i="16"/>
  <c r="AE84" i="16"/>
  <c r="AH84" i="16"/>
  <c r="AK84" i="16"/>
  <c r="AR84" i="16" s="1"/>
  <c r="AE23" i="16"/>
  <c r="AJ23" i="16"/>
  <c r="AQ23" i="16" s="1"/>
  <c r="AG23" i="16"/>
  <c r="AE99" i="16"/>
  <c r="AJ99" i="16"/>
  <c r="AQ99" i="16" s="1"/>
  <c r="AG99" i="16"/>
  <c r="AE39" i="16"/>
  <c r="AH39" i="16"/>
  <c r="AK39" i="16"/>
  <c r="AR39" i="16" s="1"/>
  <c r="AE72" i="16"/>
  <c r="AJ72" i="16"/>
  <c r="AQ72" i="16" s="1"/>
  <c r="AG72" i="16"/>
  <c r="AE13" i="16"/>
  <c r="AH13" i="16"/>
  <c r="AK13" i="16"/>
  <c r="AR13" i="16" s="1"/>
  <c r="AE74" i="16"/>
  <c r="AH74" i="16"/>
  <c r="AK74" i="16"/>
  <c r="AR74" i="16" s="1"/>
  <c r="AE127" i="16"/>
  <c r="AH127" i="16"/>
  <c r="AK127" i="16"/>
  <c r="AR127" i="16" s="1"/>
  <c r="AE116" i="16"/>
  <c r="AH116" i="16"/>
  <c r="AK116" i="16"/>
  <c r="AR116" i="16" s="1"/>
  <c r="AE43" i="16"/>
  <c r="AH43" i="16"/>
  <c r="AK43" i="16"/>
  <c r="AR43" i="16" s="1"/>
  <c r="AE14" i="16"/>
  <c r="AH14" i="16"/>
  <c r="AK14" i="16"/>
  <c r="AR14" i="16" s="1"/>
  <c r="AE137" i="16"/>
  <c r="AH137" i="16"/>
  <c r="AK137" i="16"/>
  <c r="AR137" i="16" s="1"/>
  <c r="AB137" i="16"/>
  <c r="AE57" i="16"/>
  <c r="AH57" i="16"/>
  <c r="AK57" i="16"/>
  <c r="AR57" i="16" s="1"/>
  <c r="AE136" i="16"/>
  <c r="AJ136" i="16"/>
  <c r="AQ136" i="16" s="1"/>
  <c r="AG136" i="16"/>
  <c r="AE15" i="16"/>
  <c r="AH15" i="16"/>
  <c r="AK15" i="16"/>
  <c r="AR15" i="16" s="1"/>
  <c r="Q163" i="16"/>
  <c r="E8" i="21" s="1"/>
  <c r="AE41" i="16"/>
  <c r="AJ41" i="16"/>
  <c r="AQ41" i="16" s="1"/>
  <c r="AG41" i="16"/>
  <c r="AE108" i="16"/>
  <c r="AH108" i="16"/>
  <c r="AK108" i="16"/>
  <c r="AR108" i="16" s="1"/>
  <c r="AE56" i="16"/>
  <c r="AJ56" i="16"/>
  <c r="AQ56" i="16" s="1"/>
  <c r="AG56" i="16"/>
  <c r="AE20" i="16"/>
  <c r="AH20" i="16"/>
  <c r="AK20" i="16"/>
  <c r="AR20" i="16" s="1"/>
  <c r="AE119" i="16"/>
  <c r="AI119" i="16"/>
  <c r="AP119" i="16" s="1"/>
  <c r="AF119" i="16"/>
  <c r="AE89" i="16"/>
  <c r="AH89" i="16"/>
  <c r="AK89" i="16"/>
  <c r="AR89" i="16" s="1"/>
  <c r="AE124" i="16"/>
  <c r="AI124" i="16"/>
  <c r="AP124" i="16" s="1"/>
  <c r="AF124" i="16"/>
  <c r="AE141" i="16"/>
  <c r="AI141" i="16"/>
  <c r="AP141" i="16" s="1"/>
  <c r="AF141" i="16"/>
  <c r="AE113" i="16"/>
  <c r="AI113" i="16"/>
  <c r="AP113" i="16" s="1"/>
  <c r="AF113" i="16"/>
  <c r="AE114" i="16"/>
  <c r="AI114" i="16"/>
  <c r="AP114" i="16" s="1"/>
  <c r="AF114" i="16"/>
  <c r="AE22" i="16"/>
  <c r="AJ22" i="16"/>
  <c r="AG22" i="16"/>
  <c r="AE87" i="16"/>
  <c r="AH87" i="16"/>
  <c r="AK87" i="16"/>
  <c r="AR87" i="16" s="1"/>
  <c r="AE52" i="16"/>
  <c r="AH52" i="16"/>
  <c r="AK52" i="16"/>
  <c r="AR52" i="16" s="1"/>
  <c r="AE85" i="16"/>
  <c r="AH85" i="16"/>
  <c r="AK85" i="16"/>
  <c r="AR85" i="16" s="1"/>
  <c r="AE98" i="16"/>
  <c r="AH98" i="16"/>
  <c r="AK98" i="16"/>
  <c r="AR98" i="16" s="1"/>
  <c r="AE60" i="16"/>
  <c r="AH60" i="16"/>
  <c r="AK60" i="16"/>
  <c r="AR60" i="16" s="1"/>
  <c r="AE12" i="16"/>
  <c r="AH12" i="16"/>
  <c r="AK12" i="16"/>
  <c r="AR12" i="16" s="1"/>
  <c r="AE69" i="16"/>
  <c r="AH69" i="16"/>
  <c r="AK69" i="16"/>
  <c r="AR69" i="16" s="1"/>
  <c r="AE7" i="16"/>
  <c r="AH7" i="16"/>
  <c r="AK7" i="16"/>
  <c r="AR7" i="16" s="1"/>
  <c r="AE46" i="16"/>
  <c r="AH46" i="16"/>
  <c r="AK46" i="16"/>
  <c r="AR46" i="16" s="1"/>
  <c r="AE123" i="16"/>
  <c r="AJ123" i="16"/>
  <c r="AQ123" i="16" s="1"/>
  <c r="AG123" i="16"/>
  <c r="AE32" i="16"/>
  <c r="AI32" i="16"/>
  <c r="AP32" i="16" s="1"/>
  <c r="AF32" i="16"/>
  <c r="AE101" i="16"/>
  <c r="AJ101" i="16"/>
  <c r="AQ101" i="16" s="1"/>
  <c r="AG101" i="16"/>
  <c r="AE83" i="16"/>
  <c r="AH83" i="16"/>
  <c r="AK83" i="16"/>
  <c r="AR83" i="16" s="1"/>
  <c r="AE51" i="16"/>
  <c r="AH51" i="16"/>
  <c r="AK51" i="16"/>
  <c r="AR51" i="16" s="1"/>
  <c r="AE16" i="16"/>
  <c r="AH16" i="16"/>
  <c r="AK16" i="16"/>
  <c r="AR16" i="16" s="1"/>
  <c r="AE64" i="16"/>
  <c r="AH64" i="16"/>
  <c r="AK64" i="16"/>
  <c r="AR64" i="16" s="1"/>
  <c r="AE125" i="16"/>
  <c r="AH125" i="16"/>
  <c r="AK125" i="16"/>
  <c r="AR125" i="16" s="1"/>
  <c r="AE35" i="16"/>
  <c r="AH35" i="16"/>
  <c r="AK35" i="16"/>
  <c r="AR35" i="16" s="1"/>
  <c r="AI134" i="16"/>
  <c r="AP134" i="16" s="1"/>
  <c r="AF134" i="16"/>
  <c r="AE75" i="16"/>
  <c r="AH75" i="16"/>
  <c r="AK75" i="16"/>
  <c r="AR75" i="16" s="1"/>
  <c r="AE152" i="16"/>
  <c r="AJ152" i="16"/>
  <c r="AQ152" i="16" s="1"/>
  <c r="AG152" i="16"/>
  <c r="AE25" i="16"/>
  <c r="AH25" i="16"/>
  <c r="AK25" i="16"/>
  <c r="AR25" i="16" s="1"/>
  <c r="AE77" i="16"/>
  <c r="AJ77" i="16"/>
  <c r="AQ77" i="16" s="1"/>
  <c r="AG77" i="16"/>
  <c r="AE94" i="16"/>
  <c r="AJ94" i="16"/>
  <c r="AQ94" i="16" s="1"/>
  <c r="AG94" i="16"/>
  <c r="AE44" i="16"/>
  <c r="AH44" i="16"/>
  <c r="AK44" i="16"/>
  <c r="AR44" i="16" s="1"/>
  <c r="AE45" i="16"/>
  <c r="AH45" i="16"/>
  <c r="AK45" i="16"/>
  <c r="AR45" i="16" s="1"/>
  <c r="AE129" i="16"/>
  <c r="AH129" i="16"/>
  <c r="AK129" i="16"/>
  <c r="AR129" i="16" s="1"/>
  <c r="AE97" i="16"/>
  <c r="AH97" i="16"/>
  <c r="AK97" i="16"/>
  <c r="AR97" i="16" s="1"/>
  <c r="AE104" i="16"/>
  <c r="AJ104" i="16"/>
  <c r="AQ104" i="16" s="1"/>
  <c r="AG104" i="16"/>
  <c r="AE36" i="16"/>
  <c r="AJ36" i="16"/>
  <c r="AQ36" i="16" s="1"/>
  <c r="AG36" i="16"/>
  <c r="AE102" i="16"/>
  <c r="AH102" i="16"/>
  <c r="AK102" i="16"/>
  <c r="AR102" i="16" s="1"/>
  <c r="AE105" i="16"/>
  <c r="AH105" i="16"/>
  <c r="AK105" i="16"/>
  <c r="AR105" i="16" s="1"/>
  <c r="AE140" i="16"/>
  <c r="AJ140" i="16"/>
  <c r="AQ140" i="16" s="1"/>
  <c r="AG140" i="16"/>
  <c r="AE130" i="16"/>
  <c r="AJ130" i="16"/>
  <c r="AQ130" i="16" s="1"/>
  <c r="AG130" i="16"/>
  <c r="AE92" i="16"/>
  <c r="AH92" i="16"/>
  <c r="AK92" i="16"/>
  <c r="AR92" i="16" s="1"/>
  <c r="AE139" i="16"/>
  <c r="AI139" i="16"/>
  <c r="AP139" i="16" s="1"/>
  <c r="AF139" i="16"/>
  <c r="AE126" i="16"/>
  <c r="AI126" i="16"/>
  <c r="AP126" i="16" s="1"/>
  <c r="AF126" i="16"/>
  <c r="AE63" i="16"/>
  <c r="AH63" i="16"/>
  <c r="AK63" i="16"/>
  <c r="AR63" i="16" s="1"/>
  <c r="AE86" i="16"/>
  <c r="AH86" i="16"/>
  <c r="AK86" i="16"/>
  <c r="AR86" i="16" s="1"/>
  <c r="AE147" i="16"/>
  <c r="AJ147" i="16"/>
  <c r="AQ147" i="16" s="1"/>
  <c r="AG147" i="16"/>
  <c r="AE31" i="16"/>
  <c r="AH31" i="16"/>
  <c r="AK31" i="16"/>
  <c r="AR31" i="16" s="1"/>
  <c r="AE88" i="16"/>
  <c r="AH88" i="16"/>
  <c r="AK88" i="16"/>
  <c r="AR88" i="16" s="1"/>
  <c r="AE28" i="16"/>
  <c r="AH28" i="16"/>
  <c r="AK28" i="16"/>
  <c r="AE131" i="16"/>
  <c r="AH131" i="16"/>
  <c r="AK131" i="16"/>
  <c r="AR131" i="16" s="1"/>
  <c r="AE73" i="16"/>
  <c r="AJ73" i="16"/>
  <c r="AQ73" i="16" s="1"/>
  <c r="AG73" i="16"/>
  <c r="AE148" i="16"/>
  <c r="AH148" i="16"/>
  <c r="AK148" i="16"/>
  <c r="AR148" i="16" s="1"/>
  <c r="AE122" i="16"/>
  <c r="AI122" i="16"/>
  <c r="AP122" i="16" s="1"/>
  <c r="AF122" i="16"/>
  <c r="AE135" i="16"/>
  <c r="AH135" i="16"/>
  <c r="AK135" i="16"/>
  <c r="AR135" i="16" s="1"/>
  <c r="AE103" i="16"/>
  <c r="AI103" i="16"/>
  <c r="AP103" i="16" s="1"/>
  <c r="AF103" i="16"/>
  <c r="AE118" i="16"/>
  <c r="AJ118" i="16"/>
  <c r="AQ118" i="16" s="1"/>
  <c r="AG118" i="16"/>
  <c r="AE67" i="16"/>
  <c r="AH67" i="16"/>
  <c r="AK67" i="16"/>
  <c r="AR67" i="16" s="1"/>
  <c r="AE80" i="16"/>
  <c r="AH80" i="16"/>
  <c r="AK80" i="16"/>
  <c r="AR80" i="16" s="1"/>
  <c r="AE145" i="16"/>
  <c r="AH145" i="16"/>
  <c r="AK145" i="16"/>
  <c r="AR145" i="16" s="1"/>
  <c r="AE53" i="16"/>
  <c r="AH53" i="16"/>
  <c r="AK53" i="16"/>
  <c r="AR53" i="16" s="1"/>
  <c r="AE82" i="16"/>
  <c r="AH82" i="16"/>
  <c r="AK82" i="16"/>
  <c r="AR82" i="16" s="1"/>
  <c r="AE26" i="16"/>
  <c r="AI26" i="16"/>
  <c r="AP26" i="16" s="1"/>
  <c r="AF26" i="16"/>
  <c r="AE19" i="16"/>
  <c r="AH19" i="16"/>
  <c r="AK19" i="16"/>
  <c r="AR19" i="16" s="1"/>
  <c r="AE29" i="16"/>
  <c r="AI29" i="16"/>
  <c r="AP29" i="16" s="1"/>
  <c r="AF29" i="16"/>
  <c r="AH30" i="16"/>
  <c r="AK30" i="16"/>
  <c r="AR30" i="16" s="1"/>
  <c r="AE120" i="16"/>
  <c r="AH120" i="16"/>
  <c r="AK120" i="16"/>
  <c r="AR120" i="16" s="1"/>
  <c r="AE146" i="16"/>
  <c r="AH146" i="16"/>
  <c r="AK146" i="16"/>
  <c r="AR146" i="16" s="1"/>
  <c r="S109" i="12"/>
  <c r="D35" i="4" s="1"/>
  <c r="S105" i="12"/>
  <c r="D32" i="4" s="1"/>
  <c r="S108" i="12"/>
  <c r="D34" i="4" s="1"/>
  <c r="S106" i="12"/>
  <c r="D33" i="4" s="1"/>
  <c r="S107" i="12"/>
  <c r="T112" i="12"/>
  <c r="W106" i="12"/>
  <c r="L41" i="4" s="1"/>
  <c r="S22" i="14"/>
  <c r="T22" i="14" s="1"/>
  <c r="C10" i="5" s="1"/>
  <c r="S17" i="14"/>
  <c r="T17" i="14" s="1"/>
  <c r="C5" i="5" s="1"/>
  <c r="S23" i="14"/>
  <c r="T23" i="14" s="1"/>
  <c r="C11" i="5" s="1"/>
  <c r="AE134" i="16"/>
  <c r="AB134" i="16"/>
  <c r="T154" i="14"/>
  <c r="C142" i="5" s="1"/>
  <c r="S16" i="14"/>
  <c r="T16" i="14" s="1"/>
  <c r="C4" i="5" s="1"/>
  <c r="S21" i="14"/>
  <c r="T21" i="14" s="1"/>
  <c r="C9" i="5" s="1"/>
  <c r="AE30" i="16"/>
  <c r="Z30" i="16"/>
  <c r="S18" i="14"/>
  <c r="T18" i="14" s="1"/>
  <c r="C6" i="5" s="1"/>
  <c r="S27" i="14"/>
  <c r="T27" i="14" s="1"/>
  <c r="C15" i="5" s="1"/>
  <c r="G15" i="14"/>
  <c r="S26" i="14"/>
  <c r="T26" i="14" s="1"/>
  <c r="C14" i="5" s="1"/>
  <c r="S24" i="14"/>
  <c r="T24" i="14" s="1"/>
  <c r="C12" i="5" s="1"/>
  <c r="W108" i="12"/>
  <c r="L43" i="4" s="1"/>
  <c r="W107" i="12"/>
  <c r="L42" i="4" s="1"/>
  <c r="W109" i="12"/>
  <c r="L44" i="4" s="1"/>
  <c r="W104" i="12"/>
  <c r="L39" i="4" s="1"/>
  <c r="T20" i="14"/>
  <c r="C8" i="5" s="1"/>
  <c r="H175" i="1"/>
  <c r="I159" i="1"/>
  <c r="I162" i="1" s="1"/>
  <c r="I18" i="4" s="1"/>
  <c r="J18" i="4" s="1"/>
  <c r="K18" i="4" s="1"/>
  <c r="E13" i="6"/>
  <c r="K10" i="4"/>
  <c r="I161" i="5"/>
  <c r="B158" i="5"/>
  <c r="K155" i="1"/>
  <c r="AB102" i="16"/>
  <c r="Z102" i="16"/>
  <c r="AB32" i="16"/>
  <c r="Z32" i="16"/>
  <c r="AB107" i="16"/>
  <c r="Z107" i="16"/>
  <c r="AB41" i="16"/>
  <c r="B39" i="13" s="1"/>
  <c r="Z41" i="16"/>
  <c r="AB105" i="16"/>
  <c r="Z105" i="16"/>
  <c r="AB108" i="16"/>
  <c r="Z108" i="16"/>
  <c r="AB56" i="16"/>
  <c r="Z56" i="16"/>
  <c r="AB20" i="16"/>
  <c r="B18" i="13" s="1"/>
  <c r="Z20" i="16"/>
  <c r="AB119" i="16"/>
  <c r="Z119" i="16"/>
  <c r="AB89" i="16"/>
  <c r="Z89" i="16"/>
  <c r="AB124" i="16"/>
  <c r="Z124" i="16"/>
  <c r="AB141" i="16"/>
  <c r="Z141" i="16"/>
  <c r="AB113" i="16"/>
  <c r="Z113" i="16"/>
  <c r="AB114" i="16"/>
  <c r="Z114" i="16"/>
  <c r="AB22" i="16"/>
  <c r="Z22" i="16"/>
  <c r="AB87" i="16"/>
  <c r="Z87" i="16"/>
  <c r="AB52" i="16"/>
  <c r="Z52" i="16"/>
  <c r="AB85" i="16"/>
  <c r="Z85" i="16"/>
  <c r="AB98" i="16"/>
  <c r="Z98" i="16"/>
  <c r="AB60" i="16"/>
  <c r="Z60" i="16"/>
  <c r="AB12" i="16"/>
  <c r="Z12" i="16"/>
  <c r="AB69" i="16"/>
  <c r="Z69" i="16"/>
  <c r="AB7" i="16"/>
  <c r="Z7" i="16"/>
  <c r="AB46" i="16"/>
  <c r="Z46" i="16"/>
  <c r="AB123" i="16"/>
  <c r="Z123" i="16"/>
  <c r="AB128" i="16"/>
  <c r="Z128" i="16"/>
  <c r="AB48" i="16"/>
  <c r="Z48" i="16"/>
  <c r="AB139" i="16"/>
  <c r="Z139" i="16"/>
  <c r="AB64" i="16"/>
  <c r="Z64" i="16"/>
  <c r="AB125" i="16"/>
  <c r="Z125" i="16"/>
  <c r="AB35" i="16"/>
  <c r="Z35" i="16"/>
  <c r="Z134" i="16"/>
  <c r="AB75" i="16"/>
  <c r="Z75" i="16"/>
  <c r="AB152" i="16"/>
  <c r="Z152" i="16"/>
  <c r="AB25" i="16"/>
  <c r="Z25" i="16"/>
  <c r="AB77" i="16"/>
  <c r="Z77" i="16"/>
  <c r="AB94" i="16"/>
  <c r="Z94" i="16"/>
  <c r="AB44" i="16"/>
  <c r="Z44" i="16"/>
  <c r="AB45" i="16"/>
  <c r="Z45" i="16"/>
  <c r="AB129" i="16"/>
  <c r="Z129" i="16"/>
  <c r="AB97" i="16"/>
  <c r="Z97" i="16"/>
  <c r="AB104" i="16"/>
  <c r="Z104" i="16"/>
  <c r="AB36" i="16"/>
  <c r="Z36" i="16"/>
  <c r="AB146" i="16"/>
  <c r="Z146" i="16"/>
  <c r="AB140" i="16"/>
  <c r="Z140" i="16"/>
  <c r="AB83" i="16"/>
  <c r="Z83" i="16"/>
  <c r="AB51" i="16"/>
  <c r="Z51" i="16"/>
  <c r="AB126" i="16"/>
  <c r="Z126" i="16"/>
  <c r="AB31" i="16"/>
  <c r="Z31" i="16"/>
  <c r="AB131" i="16"/>
  <c r="Z131" i="16"/>
  <c r="AB73" i="16"/>
  <c r="Z73" i="16"/>
  <c r="AB122" i="16"/>
  <c r="Z122" i="16"/>
  <c r="AB135" i="16"/>
  <c r="Z135" i="16"/>
  <c r="AB103" i="16"/>
  <c r="Z103" i="16"/>
  <c r="AB118" i="16"/>
  <c r="Z118" i="16"/>
  <c r="AB67" i="16"/>
  <c r="Z67" i="16"/>
  <c r="AB80" i="16"/>
  <c r="Z80" i="16"/>
  <c r="AB145" i="16"/>
  <c r="Z145" i="16"/>
  <c r="AB53" i="16"/>
  <c r="Z53" i="16"/>
  <c r="AB82" i="16"/>
  <c r="Z82" i="16"/>
  <c r="AB26" i="16"/>
  <c r="Z26" i="16"/>
  <c r="AB19" i="16"/>
  <c r="Z19" i="16"/>
  <c r="AB29" i="16"/>
  <c r="Z29" i="16"/>
  <c r="AB30" i="16"/>
  <c r="AB120" i="16"/>
  <c r="Z120" i="16"/>
  <c r="AB101" i="16"/>
  <c r="Z101" i="16"/>
  <c r="AB130" i="16"/>
  <c r="Z130" i="16"/>
  <c r="AB92" i="16"/>
  <c r="Z92" i="16"/>
  <c r="AB16" i="16"/>
  <c r="Z16" i="16"/>
  <c r="AB63" i="16"/>
  <c r="Z63" i="16"/>
  <c r="AB86" i="16"/>
  <c r="Z86" i="16"/>
  <c r="AB147" i="16"/>
  <c r="Z147" i="16"/>
  <c r="AB88" i="16"/>
  <c r="Z88" i="16"/>
  <c r="AB28" i="16"/>
  <c r="Z28" i="16"/>
  <c r="AB148" i="16"/>
  <c r="Z148" i="16"/>
  <c r="AB50" i="16"/>
  <c r="Z50" i="16"/>
  <c r="AB81" i="16"/>
  <c r="Z81" i="16"/>
  <c r="AB78" i="16"/>
  <c r="Z78" i="16"/>
  <c r="AB121" i="16"/>
  <c r="Z121" i="16"/>
  <c r="AB132" i="16"/>
  <c r="Z132" i="16"/>
  <c r="AB76" i="16"/>
  <c r="Z76" i="16"/>
  <c r="AB10" i="16"/>
  <c r="Z10" i="16"/>
  <c r="AB115" i="16"/>
  <c r="Z115" i="16"/>
  <c r="AB33" i="16"/>
  <c r="Z33" i="16"/>
  <c r="AB84" i="16"/>
  <c r="Z84" i="16"/>
  <c r="AB23" i="16"/>
  <c r="Z23" i="16"/>
  <c r="AB99" i="16"/>
  <c r="Z99" i="16"/>
  <c r="AB39" i="16"/>
  <c r="Z39" i="16"/>
  <c r="AB72" i="16"/>
  <c r="Z72" i="16"/>
  <c r="AB13" i="16"/>
  <c r="B11" i="13" s="1"/>
  <c r="Z13" i="16"/>
  <c r="AB74" i="16"/>
  <c r="Z74" i="16"/>
  <c r="AB127" i="16"/>
  <c r="Z127" i="16"/>
  <c r="AB116" i="16"/>
  <c r="Z116" i="16"/>
  <c r="AB43" i="16"/>
  <c r="Z43" i="16"/>
  <c r="AB14" i="16"/>
  <c r="Z14" i="16"/>
  <c r="Z137" i="16"/>
  <c r="AB57" i="16"/>
  <c r="Z57" i="16"/>
  <c r="AB136" i="16"/>
  <c r="Z136" i="16"/>
  <c r="AB15" i="16"/>
  <c r="Z15" i="16"/>
  <c r="E9" i="21"/>
  <c r="G9" i="21" s="1"/>
  <c r="I9" i="21" s="1"/>
  <c r="P6" i="16"/>
  <c r="O21" i="16"/>
  <c r="P21" i="16" s="1"/>
  <c r="P151" i="16"/>
  <c r="O143" i="16"/>
  <c r="P143" i="16" s="1"/>
  <c r="O37" i="16"/>
  <c r="P37" i="16" s="1"/>
  <c r="O61" i="16"/>
  <c r="P61" i="16" s="1"/>
  <c r="O110" i="16"/>
  <c r="P110" i="16" s="1"/>
  <c r="O91" i="16"/>
  <c r="P91" i="16" s="1"/>
  <c r="P149" i="16"/>
  <c r="O49" i="16"/>
  <c r="P49" i="16" s="1"/>
  <c r="O68" i="16"/>
  <c r="P68" i="16" s="1"/>
  <c r="O38" i="16"/>
  <c r="P38" i="16" s="1"/>
  <c r="O138" i="16"/>
  <c r="P138" i="16" s="1"/>
  <c r="O112" i="16"/>
  <c r="P112" i="16" s="1"/>
  <c r="O71" i="16"/>
  <c r="P71" i="16" s="1"/>
  <c r="O65" i="16"/>
  <c r="P65" i="16" s="1"/>
  <c r="O70" i="16"/>
  <c r="P70" i="16" s="1"/>
  <c r="O133" i="16"/>
  <c r="P133" i="16" s="1"/>
  <c r="O59" i="16"/>
  <c r="P59" i="16" s="1"/>
  <c r="O96" i="16"/>
  <c r="P96" i="16" s="1"/>
  <c r="O62" i="16"/>
  <c r="P62" i="16" s="1"/>
  <c r="O18" i="16"/>
  <c r="P18" i="16" s="1"/>
  <c r="O11" i="16"/>
  <c r="P11" i="16" s="1"/>
  <c r="O95" i="16"/>
  <c r="P95" i="16" s="1"/>
  <c r="O117" i="16"/>
  <c r="P117" i="16" s="1"/>
  <c r="O66" i="16"/>
  <c r="P66" i="16" s="1"/>
  <c r="O100" i="16"/>
  <c r="P100" i="16" s="1"/>
  <c r="O142" i="16"/>
  <c r="P142" i="16" s="1"/>
  <c r="O79" i="16"/>
  <c r="P79" i="16" s="1"/>
  <c r="O55" i="16"/>
  <c r="P55" i="16" s="1"/>
  <c r="O24" i="16"/>
  <c r="P24" i="16" s="1"/>
  <c r="O40" i="16"/>
  <c r="P40" i="16" s="1"/>
  <c r="O17" i="16"/>
  <c r="P17" i="16" s="1"/>
  <c r="O106" i="16"/>
  <c r="P106" i="16" s="1"/>
  <c r="O9" i="16"/>
  <c r="P9" i="16" s="1"/>
  <c r="O109" i="16"/>
  <c r="P109" i="16" s="1"/>
  <c r="O144" i="16"/>
  <c r="P144" i="16" s="1"/>
  <c r="O90" i="16"/>
  <c r="P90" i="16" s="1"/>
  <c r="O54" i="16"/>
  <c r="P54" i="16" s="1"/>
  <c r="O34" i="16"/>
  <c r="P34" i="16" s="1"/>
  <c r="O111" i="16"/>
  <c r="P111" i="16" s="1"/>
  <c r="O93" i="16"/>
  <c r="P93" i="16" s="1"/>
  <c r="O27" i="16"/>
  <c r="P27" i="16" s="1"/>
  <c r="O8" i="16"/>
  <c r="P8" i="16" s="1"/>
  <c r="O42" i="16"/>
  <c r="P42" i="16" s="1"/>
  <c r="O47" i="16"/>
  <c r="P47" i="16" s="1"/>
  <c r="P150" i="16"/>
  <c r="O58" i="16"/>
  <c r="P58" i="16" s="1"/>
  <c r="B103" i="13"/>
  <c r="B46" i="13"/>
  <c r="B82" i="13"/>
  <c r="B111" i="13"/>
  <c r="B105" i="13"/>
  <c r="B106" i="13"/>
  <c r="B74" i="13"/>
  <c r="B113" i="13"/>
  <c r="B71" i="13"/>
  <c r="B122" i="13"/>
  <c r="B133" i="13"/>
  <c r="B33" i="13"/>
  <c r="B50" i="13"/>
  <c r="B51" i="13"/>
  <c r="B92" i="13"/>
  <c r="B12" i="13"/>
  <c r="B127" i="13"/>
  <c r="B5" i="13"/>
  <c r="B34" i="13"/>
  <c r="G16" i="21"/>
  <c r="I16" i="21" s="1"/>
  <c r="B138" i="13"/>
  <c r="B130" i="13"/>
  <c r="B116" i="13"/>
  <c r="G153" i="14"/>
  <c r="B13" i="13"/>
  <c r="B100" i="13"/>
  <c r="B119" i="13"/>
  <c r="B29" i="13"/>
  <c r="B54" i="13"/>
  <c r="B49" i="13"/>
  <c r="B117" i="13"/>
  <c r="B146" i="13"/>
  <c r="B62" i="13"/>
  <c r="B139" i="13"/>
  <c r="B101" i="13"/>
  <c r="B20" i="13"/>
  <c r="B78" i="13"/>
  <c r="B23" i="13"/>
  <c r="B80" i="13"/>
  <c r="B10" i="13"/>
  <c r="B95" i="13"/>
  <c r="B121" i="13"/>
  <c r="B30" i="13"/>
  <c r="B128" i="13"/>
  <c r="B86" i="13"/>
  <c r="B87" i="13"/>
  <c r="B123" i="13"/>
  <c r="B73" i="13"/>
  <c r="B72" i="13"/>
  <c r="B96" i="13"/>
  <c r="B24" i="13"/>
  <c r="B43" i="13"/>
  <c r="G8" i="21" l="1"/>
  <c r="I8" i="21" s="1"/>
  <c r="AE27" i="16"/>
  <c r="AH27" i="16"/>
  <c r="AK27" i="16"/>
  <c r="AR27" i="16" s="1"/>
  <c r="AE54" i="16"/>
  <c r="AJ54" i="16"/>
  <c r="AQ54" i="16" s="1"/>
  <c r="AG54" i="16"/>
  <c r="AH9" i="16"/>
  <c r="AK9" i="16"/>
  <c r="AR9" i="16" s="1"/>
  <c r="AE24" i="16"/>
  <c r="AI24" i="16"/>
  <c r="AP24" i="16" s="1"/>
  <c r="AP159" i="16" s="1"/>
  <c r="AF24" i="16"/>
  <c r="AE100" i="16"/>
  <c r="AH100" i="16"/>
  <c r="AK100" i="16"/>
  <c r="AR100" i="16" s="1"/>
  <c r="AE11" i="16"/>
  <c r="AH11" i="16"/>
  <c r="AK11" i="16"/>
  <c r="AR11" i="16" s="1"/>
  <c r="AE59" i="16"/>
  <c r="AH59" i="16"/>
  <c r="AK59" i="16"/>
  <c r="AR59" i="16" s="1"/>
  <c r="AE71" i="16"/>
  <c r="AH71" i="16"/>
  <c r="AK71" i="16"/>
  <c r="AR71" i="16" s="1"/>
  <c r="AH68" i="16"/>
  <c r="AK68" i="16"/>
  <c r="AR68" i="16" s="1"/>
  <c r="AE110" i="16"/>
  <c r="AH110" i="16"/>
  <c r="AK110" i="16"/>
  <c r="AR110" i="16" s="1"/>
  <c r="AE151" i="16"/>
  <c r="AH151" i="16"/>
  <c r="AK151" i="16"/>
  <c r="AR151" i="16" s="1"/>
  <c r="AE47" i="16"/>
  <c r="AH47" i="16"/>
  <c r="AK47" i="16"/>
  <c r="AR47" i="16" s="1"/>
  <c r="AE90" i="16"/>
  <c r="AJ90" i="16"/>
  <c r="AQ90" i="16" s="1"/>
  <c r="AG90" i="16"/>
  <c r="AE106" i="16"/>
  <c r="AI106" i="16"/>
  <c r="AP106" i="16" s="1"/>
  <c r="AF106" i="16"/>
  <c r="AE55" i="16"/>
  <c r="AJ55" i="16"/>
  <c r="AQ55" i="16" s="1"/>
  <c r="AG55" i="16"/>
  <c r="AE66" i="16"/>
  <c r="AJ66" i="16"/>
  <c r="AQ66" i="16" s="1"/>
  <c r="AG66" i="16"/>
  <c r="AE18" i="16"/>
  <c r="AH18" i="16"/>
  <c r="AK18" i="16"/>
  <c r="AR18" i="16" s="1"/>
  <c r="AE133" i="16"/>
  <c r="AH133" i="16"/>
  <c r="AK133" i="16"/>
  <c r="AR133" i="16" s="1"/>
  <c r="AE112" i="16"/>
  <c r="AJ112" i="16"/>
  <c r="AQ112" i="16" s="1"/>
  <c r="AG112" i="16"/>
  <c r="AI49" i="16"/>
  <c r="AP49" i="16" s="1"/>
  <c r="AF49" i="16"/>
  <c r="AI61" i="16"/>
  <c r="AP61" i="16" s="1"/>
  <c r="AF61" i="16"/>
  <c r="AE21" i="16"/>
  <c r="AH21" i="16"/>
  <c r="AK21" i="16"/>
  <c r="AR21" i="16" s="1"/>
  <c r="AE93" i="16"/>
  <c r="AH93" i="16"/>
  <c r="AK93" i="16"/>
  <c r="AR93" i="16" s="1"/>
  <c r="AE42" i="16"/>
  <c r="AI42" i="16"/>
  <c r="AP42" i="16" s="1"/>
  <c r="AF42" i="16"/>
  <c r="AE111" i="16"/>
  <c r="AH111" i="16"/>
  <c r="AK111" i="16"/>
  <c r="AR111" i="16" s="1"/>
  <c r="AE144" i="16"/>
  <c r="AI144" i="16"/>
  <c r="AP144" i="16" s="1"/>
  <c r="AF144" i="16"/>
  <c r="AE17" i="16"/>
  <c r="AJ17" i="16"/>
  <c r="AQ17" i="16" s="1"/>
  <c r="AG17" i="16"/>
  <c r="AE79" i="16"/>
  <c r="AH79" i="16"/>
  <c r="AK79" i="16"/>
  <c r="AR79" i="16" s="1"/>
  <c r="AE117" i="16"/>
  <c r="AI117" i="16"/>
  <c r="AP117" i="16" s="1"/>
  <c r="AF117" i="16"/>
  <c r="AE62" i="16"/>
  <c r="AH62" i="16"/>
  <c r="AK62" i="16"/>
  <c r="AR62" i="16" s="1"/>
  <c r="AE70" i="16"/>
  <c r="AH70" i="16"/>
  <c r="AK70" i="16"/>
  <c r="AR70" i="16" s="1"/>
  <c r="AI138" i="16"/>
  <c r="AP138" i="16" s="1"/>
  <c r="AF138" i="16"/>
  <c r="AE149" i="16"/>
  <c r="AJ149" i="16"/>
  <c r="AQ149" i="16" s="1"/>
  <c r="AG149" i="16"/>
  <c r="AJ37" i="16"/>
  <c r="AQ37" i="16" s="1"/>
  <c r="AG37" i="16"/>
  <c r="AE6" i="16"/>
  <c r="AH6" i="16"/>
  <c r="AK6" i="16"/>
  <c r="AR6" i="16" s="1"/>
  <c r="Z150" i="16"/>
  <c r="AH150" i="16"/>
  <c r="AK150" i="16"/>
  <c r="AR150" i="16" s="1"/>
  <c r="AH58" i="16"/>
  <c r="AK58" i="16"/>
  <c r="AR58" i="16" s="1"/>
  <c r="AE8" i="16"/>
  <c r="AH8" i="16"/>
  <c r="AK8" i="16"/>
  <c r="AR8" i="16" s="1"/>
  <c r="AE34" i="16"/>
  <c r="AI34" i="16"/>
  <c r="AP34" i="16" s="1"/>
  <c r="AF34" i="16"/>
  <c r="AE109" i="16"/>
  <c r="AH109" i="16"/>
  <c r="AK109" i="16"/>
  <c r="AR109" i="16" s="1"/>
  <c r="AE40" i="16"/>
  <c r="AH40" i="16"/>
  <c r="AK40" i="16"/>
  <c r="AR40" i="16" s="1"/>
  <c r="AI142" i="16"/>
  <c r="AP142" i="16" s="1"/>
  <c r="AF142" i="16"/>
  <c r="AE95" i="16"/>
  <c r="AH95" i="16"/>
  <c r="AK95" i="16"/>
  <c r="AR95" i="16" s="1"/>
  <c r="AE96" i="16"/>
  <c r="AJ96" i="16"/>
  <c r="AQ96" i="16" s="1"/>
  <c r="AG96" i="16"/>
  <c r="AE65" i="16"/>
  <c r="AJ65" i="16"/>
  <c r="AQ65" i="16" s="1"/>
  <c r="AG65" i="16"/>
  <c r="AH38" i="16"/>
  <c r="AK38" i="16"/>
  <c r="AR38" i="16" s="1"/>
  <c r="AH91" i="16"/>
  <c r="AK91" i="16"/>
  <c r="AR91" i="16" s="1"/>
  <c r="AH143" i="16"/>
  <c r="AK143" i="16"/>
  <c r="AR143" i="16" s="1"/>
  <c r="F105" i="19"/>
  <c r="AE142" i="16"/>
  <c r="AB142" i="16"/>
  <c r="Z143" i="16"/>
  <c r="AB143" i="16"/>
  <c r="AE9" i="16"/>
  <c r="Z9" i="16"/>
  <c r="AB9" i="16"/>
  <c r="AA137" i="16"/>
  <c r="I15" i="14"/>
  <c r="G167" i="14"/>
  <c r="W110" i="12"/>
  <c r="F106" i="19"/>
  <c r="F107" i="19"/>
  <c r="E32" i="4"/>
  <c r="F104" i="19"/>
  <c r="Z49" i="16"/>
  <c r="AE49" i="16"/>
  <c r="Z61" i="16"/>
  <c r="AE61" i="16"/>
  <c r="AE138" i="16"/>
  <c r="AB138" i="16"/>
  <c r="Z37" i="16"/>
  <c r="AE37" i="16"/>
  <c r="Z58" i="16"/>
  <c r="AE58" i="16"/>
  <c r="AE143" i="16"/>
  <c r="AA136" i="16"/>
  <c r="AA127" i="16"/>
  <c r="AA39" i="16"/>
  <c r="AA23" i="16"/>
  <c r="AA33" i="16"/>
  <c r="AA10" i="16"/>
  <c r="AA132" i="16"/>
  <c r="AA78" i="16"/>
  <c r="AA50" i="16"/>
  <c r="AA28" i="16"/>
  <c r="AA147" i="16"/>
  <c r="AA63" i="16"/>
  <c r="AA92" i="16"/>
  <c r="AA101" i="16"/>
  <c r="AA30" i="16"/>
  <c r="AA19" i="16"/>
  <c r="AA82" i="16"/>
  <c r="AA145" i="16"/>
  <c r="AA67" i="16"/>
  <c r="AA103" i="16"/>
  <c r="AA122" i="16"/>
  <c r="AA131" i="16"/>
  <c r="AA126" i="16"/>
  <c r="AA83" i="16"/>
  <c r="AA146" i="16"/>
  <c r="AA104" i="16"/>
  <c r="AA129" i="16"/>
  <c r="AA44" i="16"/>
  <c r="AA77" i="16"/>
  <c r="AA152" i="16"/>
  <c r="B150" i="13"/>
  <c r="AA134" i="16"/>
  <c r="AA125" i="16"/>
  <c r="AA139" i="16"/>
  <c r="AA128" i="16"/>
  <c r="AA46" i="16"/>
  <c r="AA69" i="16"/>
  <c r="AA60" i="16"/>
  <c r="AA85" i="16"/>
  <c r="AA87" i="16"/>
  <c r="AA114" i="16"/>
  <c r="AA141" i="16"/>
  <c r="Z38" i="16"/>
  <c r="AE38" i="16"/>
  <c r="Z91" i="16"/>
  <c r="AE91" i="16"/>
  <c r="AA43" i="16"/>
  <c r="AE150" i="16"/>
  <c r="Z68" i="16"/>
  <c r="AE68" i="16"/>
  <c r="J16" i="4"/>
  <c r="K14" i="4"/>
  <c r="J14" i="4"/>
  <c r="AA15" i="16"/>
  <c r="AA57" i="16"/>
  <c r="AA14" i="16"/>
  <c r="AA116" i="16"/>
  <c r="AA74" i="16"/>
  <c r="AA72" i="16"/>
  <c r="AA99" i="16"/>
  <c r="AA84" i="16"/>
  <c r="AA115" i="16"/>
  <c r="AA76" i="16"/>
  <c r="AA121" i="16"/>
  <c r="AA81" i="16"/>
  <c r="AA148" i="16"/>
  <c r="AA88" i="16"/>
  <c r="AA86" i="16"/>
  <c r="AA16" i="16"/>
  <c r="AA130" i="16"/>
  <c r="AA120" i="16"/>
  <c r="AA29" i="16"/>
  <c r="AA26" i="16"/>
  <c r="AA53" i="16"/>
  <c r="AA80" i="16"/>
  <c r="AA118" i="16"/>
  <c r="AA135" i="16"/>
  <c r="AA73" i="16"/>
  <c r="AA31" i="16"/>
  <c r="AA51" i="16"/>
  <c r="AA140" i="16"/>
  <c r="AA36" i="16"/>
  <c r="AA97" i="16"/>
  <c r="AA45" i="16"/>
  <c r="AA94" i="16"/>
  <c r="AA25" i="16"/>
  <c r="AA75" i="16"/>
  <c r="AA35" i="16"/>
  <c r="AA64" i="16"/>
  <c r="AA48" i="16"/>
  <c r="AA123" i="16"/>
  <c r="AA7" i="16"/>
  <c r="AA12" i="16"/>
  <c r="AA98" i="16"/>
  <c r="AA52" i="16"/>
  <c r="AA22" i="16"/>
  <c r="AA113" i="16"/>
  <c r="AA124" i="16"/>
  <c r="AA119" i="16"/>
  <c r="B55" i="13"/>
  <c r="B27" i="13"/>
  <c r="B8" i="13"/>
  <c r="B48" i="13"/>
  <c r="B84" i="13"/>
  <c r="B118" i="13"/>
  <c r="B70" i="13"/>
  <c r="B14" i="13"/>
  <c r="B79" i="13"/>
  <c r="B41" i="13"/>
  <c r="B102" i="13"/>
  <c r="B44" i="13"/>
  <c r="B90" i="13"/>
  <c r="B126" i="13"/>
  <c r="B134" i="13"/>
  <c r="B125" i="13"/>
  <c r="B21" i="13"/>
  <c r="B145" i="13"/>
  <c r="B124" i="13"/>
  <c r="B144" i="13"/>
  <c r="B28" i="13"/>
  <c r="B143" i="13"/>
  <c r="B37" i="13"/>
  <c r="B129" i="13"/>
  <c r="B42" i="13"/>
  <c r="B132" i="13"/>
  <c r="B61" i="13"/>
  <c r="B58" i="13"/>
  <c r="B112" i="13"/>
  <c r="B76" i="13"/>
  <c r="B137" i="13"/>
  <c r="B67" i="13"/>
  <c r="B85" i="13"/>
  <c r="B120" i="13"/>
  <c r="B135" i="13"/>
  <c r="B114" i="13"/>
  <c r="B97" i="13"/>
  <c r="B31" i="13"/>
  <c r="B17" i="13"/>
  <c r="B65" i="13"/>
  <c r="B81" i="13"/>
  <c r="B99" i="13"/>
  <c r="B75" i="13"/>
  <c r="B83" i="13"/>
  <c r="B26" i="13"/>
  <c r="AA56" i="16"/>
  <c r="AA105" i="16"/>
  <c r="AB27" i="16"/>
  <c r="Z27" i="16"/>
  <c r="AB54" i="16"/>
  <c r="Z54" i="16"/>
  <c r="B7" i="13"/>
  <c r="AB24" i="16"/>
  <c r="Z24" i="16"/>
  <c r="AB100" i="16"/>
  <c r="Z100" i="16"/>
  <c r="AB11" i="16"/>
  <c r="Z11" i="16"/>
  <c r="AB59" i="16"/>
  <c r="Z59" i="16"/>
  <c r="AB71" i="16"/>
  <c r="Z71" i="16"/>
  <c r="AB110" i="16"/>
  <c r="Z110" i="16"/>
  <c r="AB151" i="16"/>
  <c r="B149" i="13" s="1"/>
  <c r="Z151" i="16"/>
  <c r="AA13" i="16"/>
  <c r="AB47" i="16"/>
  <c r="Z47" i="16"/>
  <c r="AB93" i="16"/>
  <c r="Z93" i="16"/>
  <c r="AB90" i="16"/>
  <c r="Z90" i="16"/>
  <c r="AB106" i="16"/>
  <c r="Z106" i="16"/>
  <c r="AB55" i="16"/>
  <c r="Z55" i="16"/>
  <c r="AB66" i="16"/>
  <c r="Z66" i="16"/>
  <c r="AB18" i="16"/>
  <c r="Z18" i="16"/>
  <c r="AB133" i="16"/>
  <c r="Z133" i="16"/>
  <c r="AB112" i="16"/>
  <c r="Z112" i="16"/>
  <c r="AB21" i="16"/>
  <c r="B19" i="13" s="1"/>
  <c r="Z21" i="16"/>
  <c r="AA89" i="16"/>
  <c r="AA20" i="16"/>
  <c r="AA108" i="16"/>
  <c r="AA41" i="16"/>
  <c r="AA32" i="16"/>
  <c r="AN159" i="16"/>
  <c r="AN160" i="16" s="1"/>
  <c r="AN161" i="16"/>
  <c r="AB42" i="16"/>
  <c r="Z42" i="16"/>
  <c r="AB111" i="16"/>
  <c r="Z111" i="16"/>
  <c r="AB144" i="16"/>
  <c r="Z144" i="16"/>
  <c r="AB17" i="16"/>
  <c r="Z17" i="16"/>
  <c r="AB79" i="16"/>
  <c r="Z79" i="16"/>
  <c r="AB117" i="16"/>
  <c r="Z117" i="16"/>
  <c r="AB62" i="16"/>
  <c r="Z62" i="16"/>
  <c r="AB70" i="16"/>
  <c r="Z70" i="16"/>
  <c r="Z138" i="16"/>
  <c r="AB149" i="16"/>
  <c r="Z149" i="16"/>
  <c r="AF159" i="16"/>
  <c r="AB8" i="16"/>
  <c r="Z8" i="16"/>
  <c r="AB34" i="16"/>
  <c r="Z34" i="16"/>
  <c r="AB109" i="16"/>
  <c r="Z109" i="16"/>
  <c r="AB40" i="16"/>
  <c r="Z40" i="16"/>
  <c r="Z142" i="16"/>
  <c r="AA142" i="16" s="1"/>
  <c r="AB95" i="16"/>
  <c r="Z95" i="16"/>
  <c r="AB96" i="16"/>
  <c r="Z96" i="16"/>
  <c r="AB65" i="16"/>
  <c r="Z65" i="16"/>
  <c r="AB6" i="16"/>
  <c r="Z6" i="16"/>
  <c r="AA107" i="16"/>
  <c r="AA102" i="16"/>
  <c r="AB37" i="16"/>
  <c r="AB58" i="16"/>
  <c r="AA58" i="16" s="1"/>
  <c r="AB38" i="16"/>
  <c r="AB91" i="16"/>
  <c r="AB150" i="16"/>
  <c r="AB68" i="16"/>
  <c r="AB49" i="16"/>
  <c r="AA49" i="16" s="1"/>
  <c r="AB61" i="16"/>
  <c r="O159" i="16"/>
  <c r="P159" i="16"/>
  <c r="N163" i="16" s="1"/>
  <c r="AJ161" i="16"/>
  <c r="B136" i="13"/>
  <c r="AE159" i="16"/>
  <c r="AE160" i="16" s="1"/>
  <c r="I153" i="14"/>
  <c r="D28" i="21"/>
  <c r="C24" i="21" s="1"/>
  <c r="AI161" i="16" l="1"/>
  <c r="AR159" i="16"/>
  <c r="AI159" i="16"/>
  <c r="AQ159" i="16"/>
  <c r="AF160" i="16"/>
  <c r="AF173" i="16" s="1"/>
  <c r="AF172" i="16"/>
  <c r="AK159" i="16"/>
  <c r="AK172" i="16" s="1"/>
  <c r="AI160" i="16"/>
  <c r="AI173" i="16" s="1"/>
  <c r="AI172" i="16"/>
  <c r="AH159" i="16"/>
  <c r="AH161" i="16"/>
  <c r="J30" i="4"/>
  <c r="AA144" i="16"/>
  <c r="J15" i="14"/>
  <c r="I167" i="14"/>
  <c r="AA68" i="16"/>
  <c r="K16" i="4"/>
  <c r="M30" i="4" s="1"/>
  <c r="L156" i="1"/>
  <c r="L146" i="1" s="1"/>
  <c r="AA9" i="16"/>
  <c r="AK161" i="16"/>
  <c r="AA6" i="16"/>
  <c r="AB159" i="16"/>
  <c r="AB160" i="16" s="1"/>
  <c r="AB163" i="16" s="1"/>
  <c r="AB161" i="16"/>
  <c r="AA96" i="16"/>
  <c r="B94" i="13"/>
  <c r="B140" i="13"/>
  <c r="AA109" i="16"/>
  <c r="B107" i="13"/>
  <c r="AA8" i="16"/>
  <c r="B6" i="13"/>
  <c r="AA110" i="16"/>
  <c r="B108" i="13"/>
  <c r="AA59" i="16"/>
  <c r="B57" i="13"/>
  <c r="AA100" i="16"/>
  <c r="B98" i="13"/>
  <c r="AA149" i="16"/>
  <c r="B147" i="13"/>
  <c r="AA70" i="16"/>
  <c r="B68" i="13"/>
  <c r="AA117" i="16"/>
  <c r="B115" i="13"/>
  <c r="AA17" i="16"/>
  <c r="B15" i="13"/>
  <c r="AA111" i="16"/>
  <c r="B109" i="13"/>
  <c r="AA21" i="16"/>
  <c r="AA133" i="16"/>
  <c r="B131" i="13"/>
  <c r="AA66" i="16"/>
  <c r="B64" i="13"/>
  <c r="AA106" i="16"/>
  <c r="B104" i="13"/>
  <c r="AA93" i="16"/>
  <c r="B91" i="13"/>
  <c r="AA151" i="16"/>
  <c r="AA27" i="16"/>
  <c r="B25" i="13"/>
  <c r="B47" i="13"/>
  <c r="AA65" i="16"/>
  <c r="B63" i="13"/>
  <c r="AA95" i="16"/>
  <c r="B93" i="13"/>
  <c r="AA40" i="16"/>
  <c r="B38" i="13"/>
  <c r="AA34" i="16"/>
  <c r="B32" i="13"/>
  <c r="AJ159" i="16"/>
  <c r="AA71" i="16"/>
  <c r="B69" i="13"/>
  <c r="AA11" i="16"/>
  <c r="B9" i="13"/>
  <c r="AA24" i="16"/>
  <c r="B22" i="13"/>
  <c r="AG159" i="16"/>
  <c r="Z161" i="16"/>
  <c r="Z159" i="16"/>
  <c r="Z160" i="16" s="1"/>
  <c r="AA138" i="16"/>
  <c r="AA62" i="16"/>
  <c r="B60" i="13"/>
  <c r="AA79" i="16"/>
  <c r="B77" i="13"/>
  <c r="B142" i="13"/>
  <c r="AA42" i="16"/>
  <c r="B40" i="13"/>
  <c r="AA112" i="16"/>
  <c r="B110" i="13"/>
  <c r="AA18" i="16"/>
  <c r="B16" i="13"/>
  <c r="AA55" i="16"/>
  <c r="B53" i="13"/>
  <c r="AA90" i="16"/>
  <c r="B88" i="13"/>
  <c r="AA47" i="16"/>
  <c r="B45" i="13"/>
  <c r="AA54" i="16"/>
  <c r="B52" i="13"/>
  <c r="AG161" i="16"/>
  <c r="AF161" i="16"/>
  <c r="AA150" i="16"/>
  <c r="B148" i="13"/>
  <c r="AA91" i="16"/>
  <c r="B89" i="13"/>
  <c r="AA61" i="16"/>
  <c r="B59" i="13"/>
  <c r="AA143" i="16"/>
  <c r="B141" i="13"/>
  <c r="AA38" i="16"/>
  <c r="B36" i="13"/>
  <c r="AA37" i="16"/>
  <c r="B35" i="13"/>
  <c r="B66" i="13"/>
  <c r="AE163" i="16"/>
  <c r="B56" i="13"/>
  <c r="B4" i="13"/>
  <c r="J153" i="14"/>
  <c r="C25" i="21"/>
  <c r="C26" i="21"/>
  <c r="C27" i="21"/>
  <c r="J167" i="14" l="1"/>
  <c r="AH160" i="16"/>
  <c r="AH173" i="16" s="1"/>
  <c r="AH172" i="16"/>
  <c r="AK160" i="16"/>
  <c r="AK173" i="16" s="1"/>
  <c r="AG160" i="16"/>
  <c r="AG173" i="16" s="1"/>
  <c r="AG172" i="16"/>
  <c r="K30" i="4"/>
  <c r="J34" i="4"/>
  <c r="J32" i="4"/>
  <c r="J35" i="4"/>
  <c r="J33" i="4"/>
  <c r="AJ160" i="16"/>
  <c r="AJ172" i="16"/>
  <c r="S15" i="14"/>
  <c r="L4" i="1"/>
  <c r="M4" i="1" s="1"/>
  <c r="L145" i="1"/>
  <c r="M145" i="1" s="1"/>
  <c r="L151" i="1"/>
  <c r="M151" i="1" s="1"/>
  <c r="B151" i="5" s="1"/>
  <c r="G151" i="5" s="1"/>
  <c r="H151" i="5" s="1"/>
  <c r="I151" i="5" s="1"/>
  <c r="L116" i="1"/>
  <c r="E116" i="7" s="1"/>
  <c r="F116" i="7" s="1"/>
  <c r="I116" i="7" s="1"/>
  <c r="L80" i="1"/>
  <c r="E80" i="7" s="1"/>
  <c r="F80" i="7" s="1"/>
  <c r="G80" i="7" s="1"/>
  <c r="L13" i="1"/>
  <c r="M13" i="1" s="1"/>
  <c r="L111" i="1"/>
  <c r="M111" i="1" s="1"/>
  <c r="L36" i="1"/>
  <c r="E36" i="7" s="1"/>
  <c r="F36" i="7" s="1"/>
  <c r="G36" i="7" s="1"/>
  <c r="L110" i="1"/>
  <c r="M110" i="1" s="1"/>
  <c r="L101" i="1"/>
  <c r="L114" i="1"/>
  <c r="M114" i="1" s="1"/>
  <c r="L69" i="1"/>
  <c r="L73" i="1"/>
  <c r="L104" i="1"/>
  <c r="E104" i="7" s="1"/>
  <c r="F104" i="7" s="1"/>
  <c r="I104" i="7" s="1"/>
  <c r="L47" i="1"/>
  <c r="M47" i="1" s="1"/>
  <c r="L106" i="1"/>
  <c r="M106" i="1" s="1"/>
  <c r="L11" i="1"/>
  <c r="E11" i="7" s="1"/>
  <c r="F11" i="7" s="1"/>
  <c r="G11" i="7" s="1"/>
  <c r="L65" i="1"/>
  <c r="M65" i="1" s="1"/>
  <c r="E144" i="7"/>
  <c r="F144" i="7" s="1"/>
  <c r="G144" i="7" s="1"/>
  <c r="L89" i="1"/>
  <c r="E89" i="7" s="1"/>
  <c r="F89" i="7" s="1"/>
  <c r="G89" i="7" s="1"/>
  <c r="L119" i="1"/>
  <c r="L108" i="1"/>
  <c r="M108" i="1" s="1"/>
  <c r="L105" i="1"/>
  <c r="E105" i="7" s="1"/>
  <c r="F105" i="7" s="1"/>
  <c r="I105" i="7" s="1"/>
  <c r="L52" i="1"/>
  <c r="L8" i="1"/>
  <c r="E8" i="7" s="1"/>
  <c r="F8" i="7" s="1"/>
  <c r="I8" i="7" s="1"/>
  <c r="L127" i="1"/>
  <c r="L25" i="1"/>
  <c r="L34" i="1"/>
  <c r="M34" i="1" s="1"/>
  <c r="L29" i="1"/>
  <c r="L20" i="1"/>
  <c r="L55" i="1"/>
  <c r="L9" i="1"/>
  <c r="L62" i="1"/>
  <c r="L67" i="1"/>
  <c r="L3" i="1"/>
  <c r="L30" i="1"/>
  <c r="L113" i="1"/>
  <c r="L147" i="1"/>
  <c r="M147" i="1" s="1"/>
  <c r="L18" i="1"/>
  <c r="L129" i="1"/>
  <c r="L107" i="1"/>
  <c r="L135" i="1"/>
  <c r="L40" i="1"/>
  <c r="E40" i="7" s="1"/>
  <c r="F40" i="7" s="1"/>
  <c r="G40" i="7" s="1"/>
  <c r="L56" i="1"/>
  <c r="E56" i="7" s="1"/>
  <c r="F56" i="7" s="1"/>
  <c r="H56" i="7" s="1"/>
  <c r="L57" i="1"/>
  <c r="L7" i="1"/>
  <c r="L46" i="1"/>
  <c r="L133" i="1"/>
  <c r="L16" i="1"/>
  <c r="L51" i="1"/>
  <c r="L84" i="1"/>
  <c r="E84" i="7" s="1"/>
  <c r="F84" i="7" s="1"/>
  <c r="G84" i="7" s="1"/>
  <c r="L42" i="1"/>
  <c r="L117" i="1"/>
  <c r="L126" i="1"/>
  <c r="L50" i="1"/>
  <c r="L59" i="1"/>
  <c r="M59" i="1" s="1"/>
  <c r="L142" i="1"/>
  <c r="L48" i="1"/>
  <c r="L76" i="1"/>
  <c r="L12" i="1"/>
  <c r="L71" i="1"/>
  <c r="L141" i="1"/>
  <c r="L58" i="1"/>
  <c r="M58" i="1" s="1"/>
  <c r="L70" i="1"/>
  <c r="M70" i="1" s="1"/>
  <c r="L120" i="1"/>
  <c r="L33" i="1"/>
  <c r="L74" i="1"/>
  <c r="E110" i="7"/>
  <c r="F110" i="7" s="1"/>
  <c r="I110" i="7" s="1"/>
  <c r="L43" i="1"/>
  <c r="M43" i="1" s="1"/>
  <c r="L92" i="1"/>
  <c r="L115" i="1"/>
  <c r="L144" i="1"/>
  <c r="L102" i="1"/>
  <c r="L93" i="1"/>
  <c r="L24" i="1"/>
  <c r="E24" i="7" s="1"/>
  <c r="F24" i="7" s="1"/>
  <c r="G24" i="7" s="1"/>
  <c r="L143" i="1"/>
  <c r="L49" i="1"/>
  <c r="L96" i="1"/>
  <c r="L19" i="1"/>
  <c r="L124" i="1"/>
  <c r="L109" i="1"/>
  <c r="L83" i="1"/>
  <c r="E83" i="7" s="1"/>
  <c r="F83" i="7" s="1"/>
  <c r="I83" i="7" s="1"/>
  <c r="L5" i="1"/>
  <c r="L37" i="1"/>
  <c r="L132" i="1"/>
  <c r="E132" i="7" s="1"/>
  <c r="F132" i="7" s="1"/>
  <c r="I132" i="7" s="1"/>
  <c r="L97" i="1"/>
  <c r="L75" i="1"/>
  <c r="L125" i="1"/>
  <c r="L35" i="1"/>
  <c r="L137" i="1"/>
  <c r="L39" i="1"/>
  <c r="L27" i="1"/>
  <c r="E31" i="7" s="1"/>
  <c r="F31" i="7" s="1"/>
  <c r="G31" i="7" s="1"/>
  <c r="L94" i="1"/>
  <c r="L99" i="1"/>
  <c r="M99" i="1" s="1"/>
  <c r="L78" i="1"/>
  <c r="L130" i="1"/>
  <c r="E130" i="7" s="1"/>
  <c r="F130" i="7" s="1"/>
  <c r="I130" i="7" s="1"/>
  <c r="L23" i="1"/>
  <c r="L128" i="1"/>
  <c r="L6" i="1"/>
  <c r="L26" i="1"/>
  <c r="L87" i="1"/>
  <c r="E87" i="7" s="1"/>
  <c r="F87" i="7" s="1"/>
  <c r="I87" i="7" s="1"/>
  <c r="L17" i="1"/>
  <c r="L138" i="1"/>
  <c r="L149" i="1"/>
  <c r="E149" i="7" s="1"/>
  <c r="F149" i="7" s="1"/>
  <c r="I149" i="7" s="1"/>
  <c r="L100" i="1"/>
  <c r="L10" i="1"/>
  <c r="L53" i="1"/>
  <c r="L91" i="1"/>
  <c r="L54" i="1"/>
  <c r="L21" i="1"/>
  <c r="L45" i="1"/>
  <c r="L139" i="1"/>
  <c r="E43" i="7"/>
  <c r="F43" i="7" s="1"/>
  <c r="G43" i="7" s="1"/>
  <c r="E34" i="7"/>
  <c r="F34" i="7" s="1"/>
  <c r="I34" i="7" s="1"/>
  <c r="L63" i="1"/>
  <c r="M63" i="1" s="1"/>
  <c r="L28" i="1"/>
  <c r="E27" i="7" s="1"/>
  <c r="F27" i="7" s="1"/>
  <c r="I27" i="7" s="1"/>
  <c r="L77" i="1"/>
  <c r="L98" i="1"/>
  <c r="L85" i="1"/>
  <c r="M85" i="1" s="1"/>
  <c r="L38" i="1"/>
  <c r="E38" i="7" s="1"/>
  <c r="F38" i="7" s="1"/>
  <c r="I38" i="7" s="1"/>
  <c r="L148" i="1"/>
  <c r="L123" i="1"/>
  <c r="L88" i="1"/>
  <c r="M88" i="1" s="1"/>
  <c r="L79" i="1"/>
  <c r="L44" i="1"/>
  <c r="L131" i="1"/>
  <c r="L41" i="1"/>
  <c r="L95" i="1"/>
  <c r="L14" i="1"/>
  <c r="L60" i="1"/>
  <c r="L82" i="1"/>
  <c r="L140" i="1"/>
  <c r="L64" i="1"/>
  <c r="L66" i="1"/>
  <c r="L112" i="1"/>
  <c r="L32" i="1"/>
  <c r="L86" i="1"/>
  <c r="L136" i="1"/>
  <c r="L118" i="1"/>
  <c r="L15" i="1"/>
  <c r="L72" i="1"/>
  <c r="L31" i="1"/>
  <c r="L121" i="1"/>
  <c r="L90" i="1"/>
  <c r="L61" i="1"/>
  <c r="L122" i="1"/>
  <c r="L81" i="1"/>
  <c r="L103" i="1"/>
  <c r="L134" i="1"/>
  <c r="L150" i="1"/>
  <c r="L68" i="1"/>
  <c r="L152" i="1"/>
  <c r="L22" i="1"/>
  <c r="E58" i="7"/>
  <c r="F58" i="7" s="1"/>
  <c r="I58" i="7" s="1"/>
  <c r="AA159" i="16"/>
  <c r="AA160" i="16" s="1"/>
  <c r="AA163" i="16" s="1"/>
  <c r="AA164" i="16" s="1"/>
  <c r="O40" i="10" s="1"/>
  <c r="P40" i="10" s="1"/>
  <c r="E41" i="10" s="1"/>
  <c r="AA161" i="16"/>
  <c r="E12" i="21"/>
  <c r="G12" i="21" s="1"/>
  <c r="I12" i="21" s="1"/>
  <c r="B158" i="13"/>
  <c r="D14" i="19"/>
  <c r="D18" i="19"/>
  <c r="D22" i="19"/>
  <c r="D26" i="19"/>
  <c r="D30" i="19"/>
  <c r="D34" i="19"/>
  <c r="D38" i="19"/>
  <c r="D42" i="19"/>
  <c r="D46" i="19"/>
  <c r="D50" i="19"/>
  <c r="D54" i="19"/>
  <c r="D58" i="19"/>
  <c r="D62" i="19"/>
  <c r="D66" i="19"/>
  <c r="D70" i="19"/>
  <c r="D74" i="19"/>
  <c r="D78" i="19"/>
  <c r="D82" i="19"/>
  <c r="D86" i="19"/>
  <c r="D90" i="19"/>
  <c r="D94" i="19"/>
  <c r="D98" i="19"/>
  <c r="D11" i="19"/>
  <c r="D15" i="19"/>
  <c r="D19" i="19"/>
  <c r="D23" i="19"/>
  <c r="D27" i="19"/>
  <c r="D31" i="19"/>
  <c r="D35" i="19"/>
  <c r="D39" i="19"/>
  <c r="D43" i="19"/>
  <c r="D47" i="19"/>
  <c r="D51" i="19"/>
  <c r="D55" i="19"/>
  <c r="D59" i="19"/>
  <c r="D63" i="19"/>
  <c r="D67" i="19"/>
  <c r="D71" i="19"/>
  <c r="D75" i="19"/>
  <c r="D79" i="19"/>
  <c r="D83" i="19"/>
  <c r="D87" i="19"/>
  <c r="D91" i="19"/>
  <c r="D95" i="19"/>
  <c r="D99" i="19"/>
  <c r="D12" i="19"/>
  <c r="D16" i="19"/>
  <c r="D20" i="19"/>
  <c r="D24" i="19"/>
  <c r="D28" i="19"/>
  <c r="D32" i="19"/>
  <c r="D36" i="19"/>
  <c r="D40" i="19"/>
  <c r="D44" i="19"/>
  <c r="D48" i="19"/>
  <c r="D52" i="19"/>
  <c r="D56" i="19"/>
  <c r="D60" i="19"/>
  <c r="D64" i="19"/>
  <c r="D68" i="19"/>
  <c r="D72" i="19"/>
  <c r="D76" i="19"/>
  <c r="D80" i="19"/>
  <c r="D84" i="19"/>
  <c r="D88" i="19"/>
  <c r="D92" i="19"/>
  <c r="D96" i="19"/>
  <c r="D13" i="19"/>
  <c r="D17" i="19"/>
  <c r="D21" i="19"/>
  <c r="D25" i="19"/>
  <c r="D29" i="19"/>
  <c r="D33" i="19"/>
  <c r="D37" i="19"/>
  <c r="D41" i="19"/>
  <c r="D45" i="19"/>
  <c r="D49" i="19"/>
  <c r="D53" i="19"/>
  <c r="D57" i="19"/>
  <c r="D61" i="19"/>
  <c r="D65" i="19"/>
  <c r="D69" i="19"/>
  <c r="D73" i="19"/>
  <c r="D77" i="19"/>
  <c r="D81" i="19"/>
  <c r="D85" i="19"/>
  <c r="D89" i="19"/>
  <c r="D93" i="19"/>
  <c r="D97" i="19"/>
  <c r="C108" i="19"/>
  <c r="C28" i="21"/>
  <c r="C166" i="13"/>
  <c r="S173" i="14"/>
  <c r="S175" i="14"/>
  <c r="C168" i="13"/>
  <c r="E11" i="21"/>
  <c r="B160" i="13"/>
  <c r="S176" i="14"/>
  <c r="C169" i="13"/>
  <c r="S174" i="14"/>
  <c r="C167" i="13"/>
  <c r="S153" i="14"/>
  <c r="M80" i="1" l="1"/>
  <c r="B80" i="5" s="1"/>
  <c r="G80" i="5" s="1"/>
  <c r="H80" i="5" s="1"/>
  <c r="I80" i="5" s="1"/>
  <c r="T15" i="14"/>
  <c r="S167" i="14"/>
  <c r="D10" i="21"/>
  <c r="AB164" i="16"/>
  <c r="O41" i="10" s="1"/>
  <c r="P41" i="10" s="1"/>
  <c r="E42" i="10" s="1"/>
  <c r="D11" i="21" s="1"/>
  <c r="G11" i="21" s="1"/>
  <c r="I11" i="21" s="1"/>
  <c r="AJ173" i="16"/>
  <c r="AF163" i="16"/>
  <c r="E13" i="21" s="1"/>
  <c r="G13" i="21" s="1"/>
  <c r="I13" i="21" s="1"/>
  <c r="M11" i="1"/>
  <c r="B11" i="5" s="1"/>
  <c r="G11" i="5" s="1"/>
  <c r="H11" i="5" s="1"/>
  <c r="I11" i="5" s="1"/>
  <c r="M105" i="1"/>
  <c r="B105" i="5" s="1"/>
  <c r="G105" i="5" s="1"/>
  <c r="H105" i="5" s="1"/>
  <c r="I105" i="5" s="1"/>
  <c r="D105" i="19"/>
  <c r="D102" i="19"/>
  <c r="M56" i="1"/>
  <c r="B56" i="5" s="1"/>
  <c r="G56" i="5" s="1"/>
  <c r="H56" i="5" s="1"/>
  <c r="I56" i="5" s="1"/>
  <c r="D107" i="19"/>
  <c r="D104" i="19"/>
  <c r="D106" i="19"/>
  <c r="M40" i="1"/>
  <c r="B40" i="5" s="1"/>
  <c r="G40" i="5" s="1"/>
  <c r="H40" i="5" s="1"/>
  <c r="I40" i="5" s="1"/>
  <c r="M87" i="1"/>
  <c r="B87" i="5" s="1"/>
  <c r="G87" i="5" s="1"/>
  <c r="H87" i="5" s="1"/>
  <c r="I87" i="5" s="1"/>
  <c r="M116" i="1"/>
  <c r="E111" i="7"/>
  <c r="F111" i="7" s="1"/>
  <c r="I111" i="7" s="1"/>
  <c r="E151" i="7"/>
  <c r="F151" i="7" s="1"/>
  <c r="I151" i="7" s="1"/>
  <c r="M83" i="1"/>
  <c r="B83" i="5" s="1"/>
  <c r="G83" i="5" s="1"/>
  <c r="H83" i="5" s="1"/>
  <c r="I83" i="5" s="1"/>
  <c r="E70" i="7"/>
  <c r="F70" i="7" s="1"/>
  <c r="I70" i="7" s="1"/>
  <c r="E114" i="7"/>
  <c r="F114" i="7" s="1"/>
  <c r="I114" i="7" s="1"/>
  <c r="M28" i="1"/>
  <c r="B28" i="5" s="1"/>
  <c r="G28" i="5" s="1"/>
  <c r="H28" i="5" s="1"/>
  <c r="I28" i="5" s="1"/>
  <c r="M36" i="1"/>
  <c r="B36" i="5" s="1"/>
  <c r="G36" i="5" s="1"/>
  <c r="H36" i="5" s="1"/>
  <c r="I36" i="5" s="1"/>
  <c r="B99" i="5"/>
  <c r="G99" i="5" s="1"/>
  <c r="H99" i="5" s="1"/>
  <c r="I99" i="5" s="1"/>
  <c r="B58" i="5"/>
  <c r="G58" i="5" s="1"/>
  <c r="H58" i="5" s="1"/>
  <c r="I58" i="5" s="1"/>
  <c r="B110" i="5"/>
  <c r="G110" i="5" s="1"/>
  <c r="H110" i="5" s="1"/>
  <c r="I110" i="5" s="1"/>
  <c r="M152" i="1"/>
  <c r="B152" i="5" s="1"/>
  <c r="G152" i="5" s="1"/>
  <c r="H152" i="5" s="1"/>
  <c r="I152" i="5" s="1"/>
  <c r="E152" i="7"/>
  <c r="F152" i="7" s="1"/>
  <c r="I152" i="7" s="1"/>
  <c r="B43" i="5"/>
  <c r="G43" i="5" s="1"/>
  <c r="H43" i="5" s="1"/>
  <c r="I43" i="5" s="1"/>
  <c r="B106" i="5"/>
  <c r="G106" i="5" s="1"/>
  <c r="H106" i="5" s="1"/>
  <c r="I106" i="5" s="1"/>
  <c r="B145" i="5"/>
  <c r="G145" i="5" s="1"/>
  <c r="H145" i="5" s="1"/>
  <c r="I145" i="5" s="1"/>
  <c r="B88" i="5"/>
  <c r="G88" i="5" s="1"/>
  <c r="H88" i="5" s="1"/>
  <c r="I88" i="5" s="1"/>
  <c r="B85" i="5"/>
  <c r="G85" i="5" s="1"/>
  <c r="H85" i="5" s="1"/>
  <c r="I85" i="5" s="1"/>
  <c r="B63" i="5"/>
  <c r="G63" i="5" s="1"/>
  <c r="H63" i="5" s="1"/>
  <c r="I63" i="5" s="1"/>
  <c r="B116" i="5"/>
  <c r="G116" i="5" s="1"/>
  <c r="H116" i="5" s="1"/>
  <c r="I116" i="5" s="1"/>
  <c r="B47" i="5"/>
  <c r="G47" i="5" s="1"/>
  <c r="H47" i="5" s="1"/>
  <c r="I47" i="5" s="1"/>
  <c r="B114" i="5"/>
  <c r="G114" i="5" s="1"/>
  <c r="H114" i="5" s="1"/>
  <c r="I114" i="5" s="1"/>
  <c r="B111" i="5"/>
  <c r="G111" i="5" s="1"/>
  <c r="H111" i="5" s="1"/>
  <c r="I111" i="5" s="1"/>
  <c r="M150" i="1"/>
  <c r="B150" i="5" s="1"/>
  <c r="G150" i="5" s="1"/>
  <c r="H150" i="5" s="1"/>
  <c r="I150" i="5" s="1"/>
  <c r="E150" i="7"/>
  <c r="F150" i="7" s="1"/>
  <c r="I150" i="7" s="1"/>
  <c r="B70" i="5"/>
  <c r="G70" i="5" s="1"/>
  <c r="H70" i="5" s="1"/>
  <c r="I70" i="5" s="1"/>
  <c r="B59" i="5"/>
  <c r="G59" i="5" s="1"/>
  <c r="H59" i="5" s="1"/>
  <c r="I59" i="5" s="1"/>
  <c r="B34" i="5"/>
  <c r="G34" i="5" s="1"/>
  <c r="H34" i="5" s="1"/>
  <c r="I34" i="5" s="1"/>
  <c r="E106" i="7"/>
  <c r="F106" i="7" s="1"/>
  <c r="I106" i="7" s="1"/>
  <c r="B108" i="5"/>
  <c r="G108" i="5" s="1"/>
  <c r="H108" i="5" s="1"/>
  <c r="I108" i="5" s="1"/>
  <c r="B65" i="5"/>
  <c r="G65" i="5" s="1"/>
  <c r="H65" i="5" s="1"/>
  <c r="I65" i="5" s="1"/>
  <c r="B13" i="5"/>
  <c r="G13" i="5" s="1"/>
  <c r="H13" i="5" s="1"/>
  <c r="I13" i="5" s="1"/>
  <c r="M27" i="1"/>
  <c r="E13" i="7"/>
  <c r="F13" i="7" s="1"/>
  <c r="I13" i="7" s="1"/>
  <c r="M130" i="1"/>
  <c r="M104" i="1"/>
  <c r="E108" i="7"/>
  <c r="F108" i="7" s="1"/>
  <c r="I108" i="7" s="1"/>
  <c r="E65" i="7"/>
  <c r="F65" i="7" s="1"/>
  <c r="H65" i="7" s="1"/>
  <c r="E63" i="7"/>
  <c r="F63" i="7" s="1"/>
  <c r="I63" i="7" s="1"/>
  <c r="E47" i="7"/>
  <c r="F47" i="7" s="1"/>
  <c r="I47" i="7" s="1"/>
  <c r="M8" i="1"/>
  <c r="M132" i="1"/>
  <c r="M84" i="1"/>
  <c r="E85" i="7"/>
  <c r="F85" i="7" s="1"/>
  <c r="I85" i="7" s="1"/>
  <c r="E99" i="7"/>
  <c r="F99" i="7" s="1"/>
  <c r="G99" i="7" s="1"/>
  <c r="M38" i="1"/>
  <c r="E59" i="7"/>
  <c r="F59" i="7" s="1"/>
  <c r="I59" i="7" s="1"/>
  <c r="M89" i="1"/>
  <c r="M52" i="1"/>
  <c r="E52" i="7"/>
  <c r="F52" i="7" s="1"/>
  <c r="G52" i="7" s="1"/>
  <c r="E69" i="7"/>
  <c r="F69" i="7" s="1"/>
  <c r="I69" i="7" s="1"/>
  <c r="M69" i="1"/>
  <c r="E101" i="7"/>
  <c r="F101" i="7" s="1"/>
  <c r="G101" i="7" s="1"/>
  <c r="M101" i="1"/>
  <c r="M119" i="1"/>
  <c r="E119" i="7"/>
  <c r="F119" i="7" s="1"/>
  <c r="I119" i="7" s="1"/>
  <c r="E73" i="7"/>
  <c r="F73" i="7" s="1"/>
  <c r="G73" i="7" s="1"/>
  <c r="M73" i="1"/>
  <c r="M24" i="1"/>
  <c r="E125" i="7"/>
  <c r="F125" i="7" s="1"/>
  <c r="G125" i="7" s="1"/>
  <c r="M125" i="1"/>
  <c r="E37" i="7"/>
  <c r="F37" i="7" s="1"/>
  <c r="I37" i="7" s="1"/>
  <c r="M37" i="1"/>
  <c r="E124" i="7"/>
  <c r="F124" i="7" s="1"/>
  <c r="I124" i="7" s="1"/>
  <c r="M124" i="1"/>
  <c r="M143" i="1"/>
  <c r="E142" i="7"/>
  <c r="F142" i="7" s="1"/>
  <c r="I142" i="7" s="1"/>
  <c r="M144" i="1"/>
  <c r="E143" i="7"/>
  <c r="F143" i="7" s="1"/>
  <c r="G143" i="7" s="1"/>
  <c r="M33" i="1"/>
  <c r="E33" i="7"/>
  <c r="F33" i="7" s="1"/>
  <c r="I33" i="7" s="1"/>
  <c r="E141" i="7"/>
  <c r="F141" i="7" s="1"/>
  <c r="G141" i="7" s="1"/>
  <c r="M141" i="1"/>
  <c r="B141" i="5" s="1"/>
  <c r="E48" i="7"/>
  <c r="F48" i="7" s="1"/>
  <c r="G48" i="7" s="1"/>
  <c r="M48" i="1"/>
  <c r="M126" i="1"/>
  <c r="E126" i="7"/>
  <c r="F126" i="7" s="1"/>
  <c r="I126" i="7" s="1"/>
  <c r="E51" i="7"/>
  <c r="F51" i="7" s="1"/>
  <c r="G51" i="7" s="1"/>
  <c r="M51" i="1"/>
  <c r="E7" i="7"/>
  <c r="F7" i="7" s="1"/>
  <c r="G7" i="7" s="1"/>
  <c r="M7" i="1"/>
  <c r="M135" i="1"/>
  <c r="E135" i="7"/>
  <c r="F135" i="7" s="1"/>
  <c r="I135" i="7" s="1"/>
  <c r="M18" i="1"/>
  <c r="E18" i="7"/>
  <c r="F18" i="7" s="1"/>
  <c r="I18" i="7" s="1"/>
  <c r="M3" i="1"/>
  <c r="B3" i="5" s="1"/>
  <c r="L155" i="1"/>
  <c r="L157" i="1" s="1"/>
  <c r="M55" i="1"/>
  <c r="E55" i="7"/>
  <c r="F55" i="7" s="1"/>
  <c r="I55" i="7" s="1"/>
  <c r="M25" i="1"/>
  <c r="E25" i="7"/>
  <c r="F25" i="7" s="1"/>
  <c r="I25" i="7" s="1"/>
  <c r="E75" i="7"/>
  <c r="F75" i="7" s="1"/>
  <c r="G75" i="7" s="1"/>
  <c r="M75" i="1"/>
  <c r="E5" i="7"/>
  <c r="F5" i="7" s="1"/>
  <c r="G5" i="7" s="1"/>
  <c r="M5" i="1"/>
  <c r="M19" i="1"/>
  <c r="E19" i="7"/>
  <c r="F19" i="7" s="1"/>
  <c r="I19" i="7" s="1"/>
  <c r="E115" i="7"/>
  <c r="F115" i="7" s="1"/>
  <c r="I115" i="7" s="1"/>
  <c r="M115" i="1"/>
  <c r="M120" i="1"/>
  <c r="E120" i="7"/>
  <c r="F120" i="7" s="1"/>
  <c r="I120" i="7" s="1"/>
  <c r="M71" i="1"/>
  <c r="E71" i="7"/>
  <c r="F71" i="7" s="1"/>
  <c r="I71" i="7" s="1"/>
  <c r="E147" i="7"/>
  <c r="F147" i="7" s="1"/>
  <c r="G147" i="7" s="1"/>
  <c r="M142" i="1"/>
  <c r="E117" i="7"/>
  <c r="F117" i="7" s="1"/>
  <c r="I117" i="7" s="1"/>
  <c r="M117" i="1"/>
  <c r="M16" i="1"/>
  <c r="E16" i="7"/>
  <c r="F16" i="7" s="1"/>
  <c r="H16" i="7" s="1"/>
  <c r="M57" i="1"/>
  <c r="E57" i="7"/>
  <c r="F57" i="7" s="1"/>
  <c r="I57" i="7" s="1"/>
  <c r="E107" i="7"/>
  <c r="F107" i="7" s="1"/>
  <c r="I107" i="7" s="1"/>
  <c r="M107" i="1"/>
  <c r="E146" i="7"/>
  <c r="F146" i="7" s="1"/>
  <c r="I146" i="7" s="1"/>
  <c r="M67" i="1"/>
  <c r="E67" i="7"/>
  <c r="F67" i="7" s="1"/>
  <c r="I67" i="7" s="1"/>
  <c r="M20" i="1"/>
  <c r="E20" i="7"/>
  <c r="F20" i="7" s="1"/>
  <c r="I20" i="7" s="1"/>
  <c r="E127" i="7"/>
  <c r="F127" i="7" s="1"/>
  <c r="I127" i="7" s="1"/>
  <c r="M127" i="1"/>
  <c r="E137" i="7"/>
  <c r="F137" i="7" s="1"/>
  <c r="G137" i="7" s="1"/>
  <c r="M137" i="1"/>
  <c r="E97" i="7"/>
  <c r="F97" i="7" s="1"/>
  <c r="I97" i="7" s="1"/>
  <c r="M97" i="1"/>
  <c r="M96" i="1"/>
  <c r="E96" i="7"/>
  <c r="F96" i="7" s="1"/>
  <c r="I96" i="7" s="1"/>
  <c r="M93" i="1"/>
  <c r="E93" i="7"/>
  <c r="F93" i="7" s="1"/>
  <c r="G93" i="7" s="1"/>
  <c r="E92" i="7"/>
  <c r="F92" i="7" s="1"/>
  <c r="G92" i="7" s="1"/>
  <c r="M92" i="1"/>
  <c r="E12" i="7"/>
  <c r="F12" i="7" s="1"/>
  <c r="I12" i="7" s="1"/>
  <c r="M12" i="1"/>
  <c r="M42" i="1"/>
  <c r="E42" i="7"/>
  <c r="F42" i="7" s="1"/>
  <c r="G42" i="7" s="1"/>
  <c r="E133" i="7"/>
  <c r="F133" i="7" s="1"/>
  <c r="G133" i="7" s="1"/>
  <c r="M133" i="1"/>
  <c r="M146" i="1"/>
  <c r="E145" i="7"/>
  <c r="F145" i="7" s="1"/>
  <c r="I145" i="7" s="1"/>
  <c r="E113" i="7"/>
  <c r="F113" i="7" s="1"/>
  <c r="G113" i="7" s="1"/>
  <c r="M113" i="1"/>
  <c r="M62" i="1"/>
  <c r="E62" i="7"/>
  <c r="F62" i="7" s="1"/>
  <c r="G62" i="7" s="1"/>
  <c r="M29" i="1"/>
  <c r="E28" i="7"/>
  <c r="F28" i="7" s="1"/>
  <c r="I28" i="7" s="1"/>
  <c r="E35" i="7"/>
  <c r="F35" i="7" s="1"/>
  <c r="I35" i="7" s="1"/>
  <c r="M35" i="1"/>
  <c r="E109" i="7"/>
  <c r="F109" i="7" s="1"/>
  <c r="I109" i="7" s="1"/>
  <c r="M109" i="1"/>
  <c r="M49" i="1"/>
  <c r="E49" i="7"/>
  <c r="F49" i="7" s="1"/>
  <c r="I49" i="7" s="1"/>
  <c r="M102" i="1"/>
  <c r="E102" i="7"/>
  <c r="F102" i="7" s="1"/>
  <c r="G102" i="7" s="1"/>
  <c r="E74" i="7"/>
  <c r="F74" i="7" s="1"/>
  <c r="G74" i="7" s="1"/>
  <c r="M74" i="1"/>
  <c r="E76" i="7"/>
  <c r="F76" i="7" s="1"/>
  <c r="G76" i="7" s="1"/>
  <c r="M76" i="1"/>
  <c r="M50" i="1"/>
  <c r="E50" i="7"/>
  <c r="F50" i="7" s="1"/>
  <c r="G50" i="7" s="1"/>
  <c r="E46" i="7"/>
  <c r="F46" i="7" s="1"/>
  <c r="I46" i="7" s="1"/>
  <c r="M46" i="1"/>
  <c r="M129" i="1"/>
  <c r="E129" i="7"/>
  <c r="F129" i="7" s="1"/>
  <c r="I129" i="7" s="1"/>
  <c r="M30" i="1"/>
  <c r="E29" i="7"/>
  <c r="F29" i="7" s="1"/>
  <c r="I29" i="7" s="1"/>
  <c r="E9" i="7"/>
  <c r="F9" i="7" s="1"/>
  <c r="G9" i="7" s="1"/>
  <c r="M9" i="1"/>
  <c r="E39" i="7"/>
  <c r="F39" i="7" s="1"/>
  <c r="I39" i="7" s="1"/>
  <c r="M39" i="1"/>
  <c r="M90" i="1"/>
  <c r="E90" i="7"/>
  <c r="F90" i="7" s="1"/>
  <c r="I90" i="7" s="1"/>
  <c r="M79" i="1"/>
  <c r="E79" i="7"/>
  <c r="F79" i="7" s="1"/>
  <c r="I79" i="7" s="1"/>
  <c r="M68" i="1"/>
  <c r="E68" i="7"/>
  <c r="F68" i="7" s="1"/>
  <c r="I68" i="7" s="1"/>
  <c r="M81" i="1"/>
  <c r="E81" i="7"/>
  <c r="F81" i="7" s="1"/>
  <c r="G81" i="7" s="1"/>
  <c r="E121" i="7"/>
  <c r="F121" i="7" s="1"/>
  <c r="I121" i="7" s="1"/>
  <c r="M121" i="1"/>
  <c r="E118" i="7"/>
  <c r="F118" i="7" s="1"/>
  <c r="G118" i="7" s="1"/>
  <c r="M118" i="1"/>
  <c r="E112" i="7"/>
  <c r="F112" i="7" s="1"/>
  <c r="I112" i="7" s="1"/>
  <c r="M112" i="1"/>
  <c r="M82" i="1"/>
  <c r="E82" i="7"/>
  <c r="F82" i="7" s="1"/>
  <c r="G82" i="7" s="1"/>
  <c r="E41" i="7"/>
  <c r="F41" i="7" s="1"/>
  <c r="G41" i="7" s="1"/>
  <c r="M41" i="1"/>
  <c r="E139" i="7"/>
  <c r="F139" i="7" s="1"/>
  <c r="G139" i="7" s="1"/>
  <c r="M139" i="1"/>
  <c r="E91" i="7"/>
  <c r="F91" i="7" s="1"/>
  <c r="I91" i="7" s="1"/>
  <c r="M91" i="1"/>
  <c r="M149" i="1"/>
  <c r="E26" i="7"/>
  <c r="F26" i="7" s="1"/>
  <c r="I26" i="7" s="1"/>
  <c r="M26" i="1"/>
  <c r="E88" i="7"/>
  <c r="F88" i="7" s="1"/>
  <c r="I88" i="7" s="1"/>
  <c r="E122" i="7"/>
  <c r="F122" i="7" s="1"/>
  <c r="G122" i="7" s="1"/>
  <c r="M122" i="1"/>
  <c r="E30" i="7"/>
  <c r="F30" i="7" s="1"/>
  <c r="I30" i="7" s="1"/>
  <c r="M31" i="1"/>
  <c r="E136" i="7"/>
  <c r="F136" i="7" s="1"/>
  <c r="I136" i="7" s="1"/>
  <c r="M136" i="1"/>
  <c r="M66" i="1"/>
  <c r="E66" i="7"/>
  <c r="F66" i="7" s="1"/>
  <c r="G66" i="7" s="1"/>
  <c r="M60" i="1"/>
  <c r="E60" i="7"/>
  <c r="F60" i="7" s="1"/>
  <c r="I60" i="7" s="1"/>
  <c r="M131" i="1"/>
  <c r="E131" i="7"/>
  <c r="F131" i="7" s="1"/>
  <c r="I131" i="7" s="1"/>
  <c r="E123" i="7"/>
  <c r="F123" i="7" s="1"/>
  <c r="I123" i="7" s="1"/>
  <c r="M123" i="1"/>
  <c r="M98" i="1"/>
  <c r="E98" i="7"/>
  <c r="F98" i="7" s="1"/>
  <c r="I98" i="7" s="1"/>
  <c r="M45" i="1"/>
  <c r="E45" i="7"/>
  <c r="F45" i="7" s="1"/>
  <c r="G45" i="7" s="1"/>
  <c r="E53" i="7"/>
  <c r="F53" i="7" s="1"/>
  <c r="G53" i="7" s="1"/>
  <c r="M53" i="1"/>
  <c r="M138" i="1"/>
  <c r="E138" i="7"/>
  <c r="F138" i="7" s="1"/>
  <c r="I138" i="7" s="1"/>
  <c r="M6" i="1"/>
  <c r="E6" i="7"/>
  <c r="F6" i="7" s="1"/>
  <c r="I6" i="7" s="1"/>
  <c r="E78" i="7"/>
  <c r="F78" i="7" s="1"/>
  <c r="G78" i="7" s="1"/>
  <c r="M78" i="1"/>
  <c r="E134" i="7"/>
  <c r="F134" i="7" s="1"/>
  <c r="I134" i="7" s="1"/>
  <c r="M134" i="1"/>
  <c r="M61" i="1"/>
  <c r="E61" i="7"/>
  <c r="F61" i="7" s="1"/>
  <c r="I61" i="7" s="1"/>
  <c r="M72" i="1"/>
  <c r="E72" i="7"/>
  <c r="F72" i="7" s="1"/>
  <c r="G72" i="7" s="1"/>
  <c r="E86" i="7"/>
  <c r="F86" i="7" s="1"/>
  <c r="I86" i="7" s="1"/>
  <c r="M86" i="1"/>
  <c r="E64" i="7"/>
  <c r="F64" i="7" s="1"/>
  <c r="I64" i="7" s="1"/>
  <c r="M64" i="1"/>
  <c r="M14" i="1"/>
  <c r="E14" i="7"/>
  <c r="F14" i="7" s="1"/>
  <c r="I14" i="7" s="1"/>
  <c r="M44" i="1"/>
  <c r="E44" i="7"/>
  <c r="F44" i="7" s="1"/>
  <c r="G44" i="7" s="1"/>
  <c r="E148" i="7"/>
  <c r="F148" i="7" s="1"/>
  <c r="G148" i="7" s="1"/>
  <c r="M148" i="1"/>
  <c r="M77" i="1"/>
  <c r="E77" i="7"/>
  <c r="F77" i="7" s="1"/>
  <c r="G77" i="7" s="1"/>
  <c r="M21" i="1"/>
  <c r="E21" i="7"/>
  <c r="F21" i="7" s="1"/>
  <c r="I21" i="7" s="1"/>
  <c r="E10" i="7"/>
  <c r="F10" i="7" s="1"/>
  <c r="G10" i="7" s="1"/>
  <c r="M10" i="1"/>
  <c r="E17" i="7"/>
  <c r="F17" i="7" s="1"/>
  <c r="I17" i="7" s="1"/>
  <c r="M17" i="1"/>
  <c r="E128" i="7"/>
  <c r="F128" i="7" s="1"/>
  <c r="G128" i="7" s="1"/>
  <c r="M128" i="1"/>
  <c r="E103" i="7"/>
  <c r="F103" i="7" s="1"/>
  <c r="I103" i="7" s="1"/>
  <c r="M103" i="1"/>
  <c r="M15" i="1"/>
  <c r="E15" i="7"/>
  <c r="F15" i="7" s="1"/>
  <c r="G15" i="7" s="1"/>
  <c r="E32" i="7"/>
  <c r="F32" i="7" s="1"/>
  <c r="I32" i="7" s="1"/>
  <c r="M32" i="1"/>
  <c r="E95" i="7"/>
  <c r="F95" i="7" s="1"/>
  <c r="G95" i="7" s="1"/>
  <c r="M95" i="1"/>
  <c r="E54" i="7"/>
  <c r="F54" i="7" s="1"/>
  <c r="I54" i="7" s="1"/>
  <c r="M54" i="1"/>
  <c r="M100" i="1"/>
  <c r="E100" i="7"/>
  <c r="F100" i="7" s="1"/>
  <c r="I100" i="7" s="1"/>
  <c r="M23" i="1"/>
  <c r="E23" i="7"/>
  <c r="F23" i="7" s="1"/>
  <c r="I23" i="7" s="1"/>
  <c r="E94" i="7"/>
  <c r="F94" i="7" s="1"/>
  <c r="G94" i="7" s="1"/>
  <c r="M94" i="1"/>
  <c r="M140" i="1"/>
  <c r="E140" i="7"/>
  <c r="F140" i="7" s="1"/>
  <c r="G140" i="7" s="1"/>
  <c r="E4" i="7"/>
  <c r="F4" i="7" s="1"/>
  <c r="G4" i="7" s="1"/>
  <c r="E22" i="7"/>
  <c r="F22" i="7" s="1"/>
  <c r="I22" i="7" s="1"/>
  <c r="M22" i="1"/>
  <c r="E10" i="21"/>
  <c r="B161" i="13"/>
  <c r="E35" i="4"/>
  <c r="T153" i="14"/>
  <c r="S177" i="14"/>
  <c r="B163" i="13"/>
  <c r="B167" i="13" s="1"/>
  <c r="C171" i="13"/>
  <c r="L45" i="4"/>
  <c r="G10" i="21" l="1"/>
  <c r="I10" i="21" s="1"/>
  <c r="C3" i="5"/>
  <c r="T167" i="14"/>
  <c r="E44" i="10"/>
  <c r="E49" i="10" s="1"/>
  <c r="D18" i="21"/>
  <c r="D108" i="19"/>
  <c r="G3" i="5"/>
  <c r="H3" i="5" s="1"/>
  <c r="I3" i="5" s="1"/>
  <c r="B100" i="5"/>
  <c r="G100" i="5" s="1"/>
  <c r="H100" i="5" s="1"/>
  <c r="I100" i="5" s="1"/>
  <c r="B15" i="5"/>
  <c r="G15" i="5" s="1"/>
  <c r="H15" i="5" s="1"/>
  <c r="I15" i="5" s="1"/>
  <c r="B77" i="5"/>
  <c r="G77" i="5" s="1"/>
  <c r="H77" i="5" s="1"/>
  <c r="I77" i="5" s="1"/>
  <c r="B44" i="5"/>
  <c r="G44" i="5" s="1"/>
  <c r="H44" i="5" s="1"/>
  <c r="I44" i="5" s="1"/>
  <c r="B72" i="5"/>
  <c r="G72" i="5" s="1"/>
  <c r="H72" i="5" s="1"/>
  <c r="I72" i="5" s="1"/>
  <c r="B6" i="5"/>
  <c r="G6" i="5" s="1"/>
  <c r="H6" i="5" s="1"/>
  <c r="I6" i="5" s="1"/>
  <c r="B98" i="5"/>
  <c r="G98" i="5" s="1"/>
  <c r="H98" i="5" s="1"/>
  <c r="I98" i="5" s="1"/>
  <c r="B131" i="5"/>
  <c r="G131" i="5" s="1"/>
  <c r="H131" i="5" s="1"/>
  <c r="I131" i="5" s="1"/>
  <c r="B66" i="5"/>
  <c r="G66" i="5" s="1"/>
  <c r="H66" i="5" s="1"/>
  <c r="I66" i="5" s="1"/>
  <c r="B26" i="5"/>
  <c r="G26" i="5" s="1"/>
  <c r="H26" i="5" s="1"/>
  <c r="I26" i="5" s="1"/>
  <c r="B68" i="5"/>
  <c r="G68" i="5" s="1"/>
  <c r="H68" i="5" s="1"/>
  <c r="I68" i="5" s="1"/>
  <c r="B90" i="5"/>
  <c r="G90" i="5" s="1"/>
  <c r="H90" i="5" s="1"/>
  <c r="I90" i="5" s="1"/>
  <c r="B129" i="5"/>
  <c r="G129" i="5" s="1"/>
  <c r="H129" i="5" s="1"/>
  <c r="I129" i="5" s="1"/>
  <c r="B50" i="5"/>
  <c r="G50" i="5" s="1"/>
  <c r="H50" i="5" s="1"/>
  <c r="I50" i="5" s="1"/>
  <c r="B49" i="5"/>
  <c r="G49" i="5" s="1"/>
  <c r="H49" i="5" s="1"/>
  <c r="I49" i="5" s="1"/>
  <c r="B62" i="5"/>
  <c r="G62" i="5" s="1"/>
  <c r="H62" i="5" s="1"/>
  <c r="I62" i="5" s="1"/>
  <c r="B146" i="5"/>
  <c r="B42" i="5"/>
  <c r="G42" i="5" s="1"/>
  <c r="H42" i="5" s="1"/>
  <c r="I42" i="5" s="1"/>
  <c r="B96" i="5"/>
  <c r="G96" i="5" s="1"/>
  <c r="H96" i="5" s="1"/>
  <c r="I96" i="5" s="1"/>
  <c r="B20" i="5"/>
  <c r="G20" i="5" s="1"/>
  <c r="H20" i="5" s="1"/>
  <c r="I20" i="5" s="1"/>
  <c r="B147" i="5"/>
  <c r="G147" i="5" s="1"/>
  <c r="H147" i="5" s="1"/>
  <c r="I147" i="5" s="1"/>
  <c r="B57" i="5"/>
  <c r="G57" i="5" s="1"/>
  <c r="H57" i="5" s="1"/>
  <c r="I57" i="5" s="1"/>
  <c r="B71" i="5"/>
  <c r="G71" i="5" s="1"/>
  <c r="H71" i="5" s="1"/>
  <c r="I71" i="5" s="1"/>
  <c r="B25" i="5"/>
  <c r="G25" i="5" s="1"/>
  <c r="H25" i="5" s="1"/>
  <c r="I25" i="5" s="1"/>
  <c r="B51" i="5"/>
  <c r="G51" i="5" s="1"/>
  <c r="H51" i="5" s="1"/>
  <c r="I51" i="5" s="1"/>
  <c r="B48" i="5"/>
  <c r="G48" i="5" s="1"/>
  <c r="H48" i="5" s="1"/>
  <c r="I48" i="5" s="1"/>
  <c r="B37" i="5"/>
  <c r="G37" i="5" s="1"/>
  <c r="H37" i="5" s="1"/>
  <c r="I37" i="5" s="1"/>
  <c r="B24" i="5"/>
  <c r="G24" i="5" s="1"/>
  <c r="H24" i="5" s="1"/>
  <c r="I24" i="5" s="1"/>
  <c r="B119" i="5"/>
  <c r="G119" i="5" s="1"/>
  <c r="H119" i="5" s="1"/>
  <c r="I119" i="5" s="1"/>
  <c r="B84" i="5"/>
  <c r="G84" i="5" s="1"/>
  <c r="H84" i="5" s="1"/>
  <c r="I84" i="5" s="1"/>
  <c r="B130" i="5"/>
  <c r="G130" i="5" s="1"/>
  <c r="H130" i="5" s="1"/>
  <c r="I130" i="5" s="1"/>
  <c r="B22" i="5"/>
  <c r="G22" i="5" s="1"/>
  <c r="H22" i="5" s="1"/>
  <c r="I22" i="5" s="1"/>
  <c r="B54" i="5"/>
  <c r="G54" i="5" s="1"/>
  <c r="H54" i="5" s="1"/>
  <c r="I54" i="5" s="1"/>
  <c r="B32" i="5"/>
  <c r="G32" i="5" s="1"/>
  <c r="H32" i="5" s="1"/>
  <c r="I32" i="5" s="1"/>
  <c r="B103" i="5"/>
  <c r="G103" i="5" s="1"/>
  <c r="H103" i="5" s="1"/>
  <c r="I103" i="5" s="1"/>
  <c r="B17" i="5"/>
  <c r="G17" i="5" s="1"/>
  <c r="H17" i="5" s="1"/>
  <c r="I17" i="5" s="1"/>
  <c r="B148" i="5"/>
  <c r="G148" i="5" s="1"/>
  <c r="H148" i="5" s="1"/>
  <c r="I148" i="5" s="1"/>
  <c r="B86" i="5"/>
  <c r="G86" i="5" s="1"/>
  <c r="H86" i="5" s="1"/>
  <c r="I86" i="5" s="1"/>
  <c r="B78" i="5"/>
  <c r="G78" i="5" s="1"/>
  <c r="H78" i="5" s="1"/>
  <c r="I78" i="5" s="1"/>
  <c r="B123" i="5"/>
  <c r="G123" i="5" s="1"/>
  <c r="H123" i="5" s="1"/>
  <c r="I123" i="5" s="1"/>
  <c r="B136" i="5"/>
  <c r="G136" i="5" s="1"/>
  <c r="H136" i="5" s="1"/>
  <c r="I136" i="5" s="1"/>
  <c r="B122" i="5"/>
  <c r="G122" i="5" s="1"/>
  <c r="H122" i="5" s="1"/>
  <c r="I122" i="5" s="1"/>
  <c r="B139" i="5"/>
  <c r="G139" i="5" s="1"/>
  <c r="H139" i="5" s="1"/>
  <c r="I139" i="5" s="1"/>
  <c r="B118" i="5"/>
  <c r="G118" i="5" s="1"/>
  <c r="H118" i="5" s="1"/>
  <c r="I118" i="5" s="1"/>
  <c r="B39" i="5"/>
  <c r="G39" i="5" s="1"/>
  <c r="H39" i="5" s="1"/>
  <c r="I39" i="5" s="1"/>
  <c r="B46" i="5"/>
  <c r="G46" i="5" s="1"/>
  <c r="H46" i="5" s="1"/>
  <c r="I46" i="5" s="1"/>
  <c r="B76" i="5"/>
  <c r="G76" i="5" s="1"/>
  <c r="H76" i="5" s="1"/>
  <c r="I76" i="5" s="1"/>
  <c r="B109" i="5"/>
  <c r="G109" i="5" s="1"/>
  <c r="H109" i="5" s="1"/>
  <c r="I109" i="5" s="1"/>
  <c r="B113" i="5"/>
  <c r="G113" i="5" s="1"/>
  <c r="H113" i="5" s="1"/>
  <c r="I113" i="5" s="1"/>
  <c r="B133" i="5"/>
  <c r="G133" i="5" s="1"/>
  <c r="H133" i="5" s="1"/>
  <c r="I133" i="5" s="1"/>
  <c r="B12" i="5"/>
  <c r="G12" i="5" s="1"/>
  <c r="H12" i="5" s="1"/>
  <c r="I12" i="5" s="1"/>
  <c r="B97" i="5"/>
  <c r="G97" i="5" s="1"/>
  <c r="H97" i="5" s="1"/>
  <c r="I97" i="5" s="1"/>
  <c r="B127" i="5"/>
  <c r="G127" i="5" s="1"/>
  <c r="H127" i="5" s="1"/>
  <c r="I127" i="5" s="1"/>
  <c r="B107" i="5"/>
  <c r="G107" i="5" s="1"/>
  <c r="H107" i="5" s="1"/>
  <c r="I107" i="5" s="1"/>
  <c r="B142" i="5"/>
  <c r="G142" i="5" s="1"/>
  <c r="H142" i="5" s="1"/>
  <c r="I142" i="5" s="1"/>
  <c r="B75" i="5"/>
  <c r="G75" i="5" s="1"/>
  <c r="H75" i="5" s="1"/>
  <c r="I75" i="5" s="1"/>
  <c r="B135" i="5"/>
  <c r="G135" i="5" s="1"/>
  <c r="H135" i="5" s="1"/>
  <c r="I135" i="5" s="1"/>
  <c r="B33" i="5"/>
  <c r="G33" i="5" s="1"/>
  <c r="H33" i="5" s="1"/>
  <c r="I33" i="5" s="1"/>
  <c r="B143" i="5"/>
  <c r="G143" i="5" s="1"/>
  <c r="H143" i="5" s="1"/>
  <c r="I143" i="5" s="1"/>
  <c r="B73" i="5"/>
  <c r="G73" i="5" s="1"/>
  <c r="H73" i="5" s="1"/>
  <c r="I73" i="5" s="1"/>
  <c r="B101" i="5"/>
  <c r="G101" i="5" s="1"/>
  <c r="H101" i="5" s="1"/>
  <c r="I101" i="5" s="1"/>
  <c r="B38" i="5"/>
  <c r="G38" i="5" s="1"/>
  <c r="H38" i="5" s="1"/>
  <c r="I38" i="5" s="1"/>
  <c r="B132" i="5"/>
  <c r="G132" i="5" s="1"/>
  <c r="H132" i="5" s="1"/>
  <c r="I132" i="5" s="1"/>
  <c r="B61" i="5"/>
  <c r="G61" i="5" s="1"/>
  <c r="H61" i="5" s="1"/>
  <c r="I61" i="5" s="1"/>
  <c r="B138" i="5"/>
  <c r="G138" i="5" s="1"/>
  <c r="H138" i="5" s="1"/>
  <c r="I138" i="5" s="1"/>
  <c r="B45" i="5"/>
  <c r="G45" i="5" s="1"/>
  <c r="H45" i="5" s="1"/>
  <c r="I45" i="5" s="1"/>
  <c r="B60" i="5"/>
  <c r="G60" i="5" s="1"/>
  <c r="H60" i="5" s="1"/>
  <c r="I60" i="5" s="1"/>
  <c r="B149" i="5"/>
  <c r="G149" i="5" s="1"/>
  <c r="H149" i="5" s="1"/>
  <c r="I149" i="5" s="1"/>
  <c r="B82" i="5"/>
  <c r="G82" i="5" s="1"/>
  <c r="H82" i="5" s="1"/>
  <c r="I82" i="5" s="1"/>
  <c r="B81" i="5"/>
  <c r="G81" i="5" s="1"/>
  <c r="H81" i="5" s="1"/>
  <c r="I81" i="5" s="1"/>
  <c r="B79" i="5"/>
  <c r="G79" i="5" s="1"/>
  <c r="H79" i="5" s="1"/>
  <c r="I79" i="5" s="1"/>
  <c r="B30" i="5"/>
  <c r="G30" i="5" s="1"/>
  <c r="H30" i="5" s="1"/>
  <c r="I30" i="5" s="1"/>
  <c r="B102" i="5"/>
  <c r="G102" i="5" s="1"/>
  <c r="H102" i="5" s="1"/>
  <c r="I102" i="5" s="1"/>
  <c r="B29" i="5"/>
  <c r="G29" i="5" s="1"/>
  <c r="H29" i="5" s="1"/>
  <c r="I29" i="5" s="1"/>
  <c r="B93" i="5"/>
  <c r="G93" i="5" s="1"/>
  <c r="H93" i="5" s="1"/>
  <c r="I93" i="5" s="1"/>
  <c r="B67" i="5"/>
  <c r="G67" i="5" s="1"/>
  <c r="H67" i="5" s="1"/>
  <c r="I67" i="5" s="1"/>
  <c r="B16" i="5"/>
  <c r="G16" i="5" s="1"/>
  <c r="H16" i="5" s="1"/>
  <c r="I16" i="5" s="1"/>
  <c r="B120" i="5"/>
  <c r="G120" i="5" s="1"/>
  <c r="H120" i="5" s="1"/>
  <c r="I120" i="5" s="1"/>
  <c r="B19" i="5"/>
  <c r="G19" i="5" s="1"/>
  <c r="H19" i="5" s="1"/>
  <c r="I19" i="5" s="1"/>
  <c r="B55" i="5"/>
  <c r="G55" i="5" s="1"/>
  <c r="H55" i="5" s="1"/>
  <c r="I55" i="5" s="1"/>
  <c r="B7" i="5"/>
  <c r="G7" i="5" s="1"/>
  <c r="H7" i="5" s="1"/>
  <c r="I7" i="5" s="1"/>
  <c r="B124" i="5"/>
  <c r="G124" i="5" s="1"/>
  <c r="H124" i="5" s="1"/>
  <c r="I124" i="5" s="1"/>
  <c r="B125" i="5"/>
  <c r="G125" i="5" s="1"/>
  <c r="H125" i="5" s="1"/>
  <c r="I125" i="5" s="1"/>
  <c r="B52" i="5"/>
  <c r="G52" i="5" s="1"/>
  <c r="H52" i="5" s="1"/>
  <c r="I52" i="5" s="1"/>
  <c r="B8" i="5"/>
  <c r="G8" i="5" s="1"/>
  <c r="H8" i="5" s="1"/>
  <c r="I8" i="5" s="1"/>
  <c r="B27" i="5"/>
  <c r="G27" i="5" s="1"/>
  <c r="H27" i="5" s="1"/>
  <c r="I27" i="5" s="1"/>
  <c r="B140" i="5"/>
  <c r="G140" i="5" s="1"/>
  <c r="H140" i="5" s="1"/>
  <c r="I140" i="5" s="1"/>
  <c r="B23" i="5"/>
  <c r="G23" i="5" s="1"/>
  <c r="H23" i="5" s="1"/>
  <c r="I23" i="5" s="1"/>
  <c r="B21" i="5"/>
  <c r="G21" i="5" s="1"/>
  <c r="H21" i="5" s="1"/>
  <c r="I21" i="5" s="1"/>
  <c r="B14" i="5"/>
  <c r="G14" i="5" s="1"/>
  <c r="H14" i="5" s="1"/>
  <c r="I14" i="5" s="1"/>
  <c r="B4" i="5"/>
  <c r="B94" i="5"/>
  <c r="G94" i="5" s="1"/>
  <c r="H94" i="5" s="1"/>
  <c r="I94" i="5" s="1"/>
  <c r="B95" i="5"/>
  <c r="G95" i="5" s="1"/>
  <c r="H95" i="5" s="1"/>
  <c r="I95" i="5" s="1"/>
  <c r="B128" i="5"/>
  <c r="G128" i="5" s="1"/>
  <c r="H128" i="5" s="1"/>
  <c r="I128" i="5" s="1"/>
  <c r="B10" i="5"/>
  <c r="G10" i="5" s="1"/>
  <c r="H10" i="5" s="1"/>
  <c r="I10" i="5" s="1"/>
  <c r="B64" i="5"/>
  <c r="G64" i="5" s="1"/>
  <c r="H64" i="5" s="1"/>
  <c r="I64" i="5" s="1"/>
  <c r="B134" i="5"/>
  <c r="G134" i="5" s="1"/>
  <c r="H134" i="5" s="1"/>
  <c r="I134" i="5" s="1"/>
  <c r="B53" i="5"/>
  <c r="G53" i="5" s="1"/>
  <c r="H53" i="5" s="1"/>
  <c r="I53" i="5" s="1"/>
  <c r="B31" i="5"/>
  <c r="G31" i="5" s="1"/>
  <c r="H31" i="5" s="1"/>
  <c r="I31" i="5" s="1"/>
  <c r="B91" i="5"/>
  <c r="G91" i="5" s="1"/>
  <c r="H91" i="5" s="1"/>
  <c r="I91" i="5" s="1"/>
  <c r="B41" i="5"/>
  <c r="G41" i="5" s="1"/>
  <c r="H41" i="5" s="1"/>
  <c r="I41" i="5" s="1"/>
  <c r="B112" i="5"/>
  <c r="G112" i="5" s="1"/>
  <c r="H112" i="5" s="1"/>
  <c r="I112" i="5" s="1"/>
  <c r="B121" i="5"/>
  <c r="G121" i="5" s="1"/>
  <c r="H121" i="5" s="1"/>
  <c r="I121" i="5" s="1"/>
  <c r="B9" i="5"/>
  <c r="G9" i="5" s="1"/>
  <c r="H9" i="5" s="1"/>
  <c r="I9" i="5" s="1"/>
  <c r="B74" i="5"/>
  <c r="G74" i="5" s="1"/>
  <c r="H74" i="5" s="1"/>
  <c r="I74" i="5" s="1"/>
  <c r="B35" i="5"/>
  <c r="G35" i="5" s="1"/>
  <c r="H35" i="5" s="1"/>
  <c r="I35" i="5" s="1"/>
  <c r="B92" i="5"/>
  <c r="G92" i="5" s="1"/>
  <c r="H92" i="5" s="1"/>
  <c r="I92" i="5" s="1"/>
  <c r="B137" i="5"/>
  <c r="G137" i="5" s="1"/>
  <c r="H137" i="5" s="1"/>
  <c r="I137" i="5" s="1"/>
  <c r="B117" i="5"/>
  <c r="G117" i="5" s="1"/>
  <c r="H117" i="5" s="1"/>
  <c r="I117" i="5" s="1"/>
  <c r="B115" i="5"/>
  <c r="G115" i="5" s="1"/>
  <c r="H115" i="5" s="1"/>
  <c r="I115" i="5" s="1"/>
  <c r="B5" i="5"/>
  <c r="G5" i="5" s="1"/>
  <c r="H5" i="5" s="1"/>
  <c r="I5" i="5" s="1"/>
  <c r="B18" i="5"/>
  <c r="G18" i="5" s="1"/>
  <c r="H18" i="5" s="1"/>
  <c r="I18" i="5" s="1"/>
  <c r="B126" i="5"/>
  <c r="G126" i="5" s="1"/>
  <c r="H126" i="5" s="1"/>
  <c r="I126" i="5" s="1"/>
  <c r="B144" i="5"/>
  <c r="G144" i="5" s="1"/>
  <c r="H144" i="5" s="1"/>
  <c r="I144" i="5" s="1"/>
  <c r="B69" i="5"/>
  <c r="G69" i="5" s="1"/>
  <c r="H69" i="5" s="1"/>
  <c r="I69" i="5" s="1"/>
  <c r="B89" i="5"/>
  <c r="G89" i="5" s="1"/>
  <c r="H89" i="5" s="1"/>
  <c r="I89" i="5" s="1"/>
  <c r="B104" i="5"/>
  <c r="G104" i="5" s="1"/>
  <c r="H104" i="5" s="1"/>
  <c r="I104" i="5" s="1"/>
  <c r="K35" i="4"/>
  <c r="B166" i="13"/>
  <c r="H155" i="7"/>
  <c r="H158" i="7" s="1"/>
  <c r="H160" i="7" s="1"/>
  <c r="H162" i="7" s="1"/>
  <c r="H165" i="7" s="1"/>
  <c r="D155" i="7"/>
  <c r="D158" i="7" s="1"/>
  <c r="M155" i="1"/>
  <c r="M162" i="1" s="1"/>
  <c r="G155" i="7"/>
  <c r="G158" i="7" s="1"/>
  <c r="G160" i="7" s="1"/>
  <c r="G162" i="7" s="1"/>
  <c r="G165" i="7" s="1"/>
  <c r="B169" i="13"/>
  <c r="B168" i="13"/>
  <c r="F108" i="19"/>
  <c r="C141" i="5"/>
  <c r="T169" i="14"/>
  <c r="T171" i="14" s="1"/>
  <c r="E33" i="4"/>
  <c r="E34" i="4" s="1"/>
  <c r="K34" i="4" s="1"/>
  <c r="J36" i="4"/>
  <c r="D36" i="4"/>
  <c r="K32" i="4"/>
  <c r="J44" i="4" l="1"/>
  <c r="J40" i="4"/>
  <c r="J43" i="4"/>
  <c r="J39" i="4"/>
  <c r="J42" i="4"/>
  <c r="J41" i="4"/>
  <c r="B156" i="5"/>
  <c r="B159" i="5" s="1"/>
  <c r="G146" i="5"/>
  <c r="H146" i="5" s="1"/>
  <c r="I146" i="5" s="1"/>
  <c r="G4" i="5"/>
  <c r="H4" i="5" s="1"/>
  <c r="I4" i="5" s="1"/>
  <c r="E155" i="7"/>
  <c r="E158" i="7" s="1"/>
  <c r="B171" i="13"/>
  <c r="K33" i="4"/>
  <c r="K36" i="4" s="1"/>
  <c r="T176" i="14"/>
  <c r="T173" i="14"/>
  <c r="T175" i="14"/>
  <c r="T174" i="14"/>
  <c r="C156" i="5"/>
  <c r="G141" i="5"/>
  <c r="H141" i="5" s="1"/>
  <c r="E36" i="4"/>
  <c r="E11" i="19" l="1"/>
  <c r="E10" i="19"/>
  <c r="J45" i="4"/>
  <c r="I155" i="7"/>
  <c r="I158" i="7" s="1"/>
  <c r="I160" i="7" s="1"/>
  <c r="F155" i="7"/>
  <c r="F158" i="7" s="1"/>
  <c r="E85" i="19"/>
  <c r="E21" i="19"/>
  <c r="E48" i="19"/>
  <c r="E75" i="19"/>
  <c r="E38" i="19"/>
  <c r="E65" i="19"/>
  <c r="E92" i="19"/>
  <c r="E28" i="19"/>
  <c r="E55" i="19"/>
  <c r="E82" i="19"/>
  <c r="E18" i="19"/>
  <c r="E45" i="19"/>
  <c r="E72" i="19"/>
  <c r="E99" i="19"/>
  <c r="E35" i="19"/>
  <c r="E62" i="19"/>
  <c r="E89" i="19"/>
  <c r="E25" i="19"/>
  <c r="E36" i="19"/>
  <c r="E63" i="19"/>
  <c r="E90" i="19"/>
  <c r="E26" i="19"/>
  <c r="E69" i="19"/>
  <c r="E96" i="19"/>
  <c r="E32" i="19"/>
  <c r="E59" i="19"/>
  <c r="E86" i="19"/>
  <c r="E22" i="19"/>
  <c r="E49" i="19"/>
  <c r="E76" i="19"/>
  <c r="E12" i="19"/>
  <c r="E39" i="19"/>
  <c r="E66" i="19"/>
  <c r="E93" i="19"/>
  <c r="E29" i="19"/>
  <c r="E56" i="19"/>
  <c r="E83" i="19"/>
  <c r="E19" i="19"/>
  <c r="E46" i="19"/>
  <c r="E73" i="19"/>
  <c r="E84" i="19"/>
  <c r="E20" i="19"/>
  <c r="E47" i="19"/>
  <c r="E74" i="19"/>
  <c r="E53" i="19"/>
  <c r="E80" i="19"/>
  <c r="E16" i="19"/>
  <c r="E43" i="19"/>
  <c r="E70" i="19"/>
  <c r="E97" i="19"/>
  <c r="E33" i="19"/>
  <c r="E60" i="19"/>
  <c r="E87" i="19"/>
  <c r="E23" i="19"/>
  <c r="E50" i="19"/>
  <c r="E77" i="19"/>
  <c r="E13" i="19"/>
  <c r="E40" i="19"/>
  <c r="E67" i="19"/>
  <c r="E94" i="19"/>
  <c r="E30" i="19"/>
  <c r="E57" i="19"/>
  <c r="E68" i="19"/>
  <c r="E95" i="19"/>
  <c r="E31" i="19"/>
  <c r="E58" i="19"/>
  <c r="E37" i="19"/>
  <c r="E64" i="19"/>
  <c r="E91" i="19"/>
  <c r="E27" i="19"/>
  <c r="E54" i="19"/>
  <c r="E81" i="19"/>
  <c r="E17" i="19"/>
  <c r="E44" i="19"/>
  <c r="E71" i="19"/>
  <c r="E98" i="19"/>
  <c r="E34" i="19"/>
  <c r="E61" i="19"/>
  <c r="E88" i="19"/>
  <c r="E24" i="19"/>
  <c r="E51" i="19"/>
  <c r="E78" i="19"/>
  <c r="E14" i="19"/>
  <c r="E41" i="19"/>
  <c r="E52" i="19"/>
  <c r="E79" i="19"/>
  <c r="E15" i="19"/>
  <c r="E42" i="19"/>
  <c r="G156" i="5"/>
  <c r="G158" i="5" s="1"/>
  <c r="G160" i="5" s="1"/>
  <c r="G162" i="5" s="1"/>
  <c r="G164" i="5" s="1"/>
  <c r="T177" i="14"/>
  <c r="I162" i="7" l="1"/>
  <c r="J160" i="7"/>
  <c r="J162" i="7" s="1"/>
  <c r="H174" i="7" s="1"/>
  <c r="J174" i="7" s="1"/>
  <c r="E102" i="19"/>
  <c r="I141" i="5"/>
  <c r="I156" i="5" s="1"/>
  <c r="I158" i="5" s="1"/>
  <c r="I160" i="5" s="1"/>
  <c r="I162" i="5" s="1"/>
  <c r="I164" i="5" s="1"/>
  <c r="H166" i="5" s="1"/>
  <c r="H156" i="5"/>
  <c r="E104" i="19" l="1"/>
  <c r="E105" i="19"/>
  <c r="I165" i="7"/>
  <c r="J165" i="7" s="1"/>
  <c r="J166" i="7" s="1"/>
  <c r="J167" i="7" s="1"/>
  <c r="E14" i="21"/>
  <c r="E107" i="19"/>
  <c r="E106" i="19"/>
  <c r="J168" i="7" l="1"/>
  <c r="J169" i="7" s="1"/>
  <c r="J170" i="7" s="1"/>
  <c r="G14" i="21"/>
  <c r="E108" i="19"/>
  <c r="J171" i="7" l="1"/>
  <c r="I14" i="21"/>
  <c r="H172" i="7" l="1"/>
  <c r="J172" i="7" s="1"/>
  <c r="J173" i="7" s="1"/>
  <c r="J175" i="7" s="1"/>
  <c r="J177" i="7" s="1"/>
  <c r="J178" i="7" s="1"/>
  <c r="J181" i="7" s="1"/>
  <c r="E15" i="21" s="1"/>
  <c r="E18" i="21" l="1"/>
  <c r="E26" i="21" s="1"/>
  <c r="G26" i="21" s="1"/>
  <c r="G15" i="21"/>
  <c r="G18" i="21" s="1"/>
  <c r="I18" i="21" s="1"/>
  <c r="I15" i="21" l="1"/>
  <c r="E27" i="21"/>
  <c r="G27" i="21" s="1"/>
  <c r="E24" i="21"/>
  <c r="G24" i="21" s="1"/>
  <c r="E25" i="21"/>
  <c r="G25" i="21" s="1"/>
  <c r="G28" i="21" l="1"/>
  <c r="AH27" i="3" s="1"/>
  <c r="E28" i="21"/>
  <c r="AH35" i="3" l="1"/>
  <c r="AH68" i="3"/>
  <c r="AH64" i="3"/>
  <c r="AH17" i="3"/>
  <c r="AH28" i="3"/>
  <c r="AH22" i="3"/>
  <c r="AH98" i="3"/>
  <c r="AH36" i="3"/>
  <c r="AH92" i="3"/>
  <c r="AH69" i="3"/>
  <c r="AH40" i="3"/>
  <c r="AH43" i="3"/>
  <c r="AH76" i="3"/>
  <c r="AH82" i="3"/>
  <c r="AH31" i="3"/>
  <c r="AH79" i="3"/>
  <c r="AH33" i="3"/>
  <c r="AH24" i="3"/>
  <c r="AH88" i="3"/>
  <c r="AH10" i="3"/>
  <c r="AH15" i="3"/>
  <c r="AH91" i="3"/>
  <c r="AH90" i="3"/>
  <c r="AH93" i="3"/>
  <c r="AH46" i="3"/>
  <c r="AH66" i="3"/>
  <c r="AH54" i="3"/>
  <c r="AH71" i="3"/>
  <c r="AJ112" i="3" s="1"/>
  <c r="AH86" i="3"/>
  <c r="AH13" i="3"/>
  <c r="AH19" i="3"/>
  <c r="AH59" i="3"/>
  <c r="AH94" i="3"/>
  <c r="AH78" i="3"/>
  <c r="AH70" i="3"/>
  <c r="AJ111" i="3" s="1"/>
  <c r="AH56" i="3"/>
  <c r="AH97" i="3"/>
  <c r="AH21" i="3"/>
  <c r="AH96" i="3"/>
  <c r="AH41" i="3"/>
  <c r="AH112" i="3" s="1"/>
  <c r="AH16" i="3"/>
  <c r="AH55" i="3"/>
  <c r="AH51" i="3"/>
  <c r="AH39" i="3"/>
  <c r="AH84" i="3"/>
  <c r="AH95" i="3"/>
  <c r="AH72" i="3"/>
  <c r="AH42" i="3"/>
  <c r="AH20" i="3"/>
  <c r="AH81" i="3"/>
  <c r="AH60" i="3"/>
  <c r="AH48" i="3"/>
  <c r="AH23" i="3"/>
  <c r="AH26" i="3"/>
  <c r="AH67" i="3"/>
  <c r="AH75" i="3"/>
  <c r="AH37" i="3"/>
  <c r="AH99" i="3"/>
  <c r="AH18" i="3"/>
  <c r="AH44" i="3"/>
  <c r="AH49" i="3"/>
  <c r="AH58" i="3"/>
  <c r="AH52" i="3"/>
  <c r="AH30" i="3"/>
  <c r="AH50" i="3"/>
  <c r="AH12" i="3"/>
  <c r="AH25" i="3"/>
  <c r="AH65" i="3"/>
  <c r="AH57" i="3"/>
  <c r="AH73" i="3"/>
  <c r="AH53" i="3"/>
  <c r="AH80" i="3"/>
  <c r="AH14" i="3"/>
  <c r="AH29" i="3"/>
  <c r="AH100" i="3"/>
  <c r="AH61" i="3"/>
  <c r="AH32" i="3"/>
  <c r="AH45" i="3"/>
  <c r="AH47" i="3"/>
  <c r="AH85" i="3"/>
  <c r="AH74" i="3"/>
  <c r="AH11" i="3"/>
  <c r="AH38" i="3"/>
  <c r="AH63" i="3"/>
  <c r="AH62" i="3"/>
  <c r="AH89" i="3"/>
  <c r="AH77" i="3"/>
  <c r="AH87" i="3"/>
  <c r="AH34" i="3"/>
  <c r="AH83" i="3"/>
  <c r="AH110" i="3" l="1"/>
  <c r="AJ110" i="3"/>
  <c r="AJ109" i="3"/>
  <c r="AJ108" i="3"/>
  <c r="AH105" i="3"/>
  <c r="AJ113" i="3"/>
  <c r="AH109" i="3"/>
  <c r="AH113" i="3"/>
  <c r="AJ114" i="3" l="1"/>
  <c r="AL113" i="3" s="1"/>
  <c r="J36" i="21" s="1"/>
  <c r="G36" i="21" s="1"/>
  <c r="AH114" i="3"/>
  <c r="AG112" i="3" s="1"/>
  <c r="AI112" i="3" s="1"/>
  <c r="AL108" i="3" l="1"/>
  <c r="J31" i="21" s="1"/>
  <c r="G31" i="21" s="1"/>
  <c r="AL109" i="3"/>
  <c r="J32" i="21" s="1"/>
  <c r="G32" i="21" s="1"/>
  <c r="AL112" i="3"/>
  <c r="J35" i="21" s="1"/>
  <c r="G35" i="21" s="1"/>
  <c r="AL111" i="3"/>
  <c r="J34" i="21" s="1"/>
  <c r="G34" i="21" s="1"/>
  <c r="AL110" i="3"/>
  <c r="J33" i="21" s="1"/>
  <c r="G33" i="21" s="1"/>
  <c r="AG111" i="3"/>
  <c r="AI111" i="3" s="1"/>
  <c r="AG113" i="3"/>
  <c r="AI113" i="3" s="1"/>
  <c r="AG109" i="3"/>
  <c r="AI109" i="3" s="1"/>
  <c r="AG110" i="3"/>
  <c r="AI110" i="3" s="1"/>
  <c r="AL114" i="3" l="1"/>
  <c r="G37" i="21"/>
  <c r="J37" i="21"/>
  <c r="AG114" i="3"/>
</calcChain>
</file>

<file path=xl/sharedStrings.xml><?xml version="1.0" encoding="utf-8"?>
<sst xmlns="http://schemas.openxmlformats.org/spreadsheetml/2006/main" count="1164" uniqueCount="550">
  <si>
    <t>NAME</t>
  </si>
  <si>
    <t>NO.</t>
  </si>
  <si>
    <t>Kenergy</t>
  </si>
  <si>
    <t>Part-time labor</t>
  </si>
  <si>
    <t>Name</t>
  </si>
  <si>
    <t>No.</t>
  </si>
  <si>
    <t>Dollars</t>
  </si>
  <si>
    <t>Kenergy Corp.</t>
  </si>
  <si>
    <t>Overtime Wages:</t>
  </si>
  <si>
    <t>Line No.</t>
  </si>
  <si>
    <t>(a)</t>
  </si>
  <si>
    <t>(b)</t>
  </si>
  <si>
    <t>(c)</t>
  </si>
  <si>
    <t>(d)</t>
  </si>
  <si>
    <t>(e)</t>
  </si>
  <si>
    <t>(f)</t>
  </si>
  <si>
    <t>(g)</t>
  </si>
  <si>
    <t>Proforma</t>
  </si>
  <si>
    <t>Capitalized</t>
  </si>
  <si>
    <t>Accounts Receivable</t>
  </si>
  <si>
    <t>wages</t>
  </si>
  <si>
    <t>excess</t>
  </si>
  <si>
    <t>medicare</t>
  </si>
  <si>
    <t>Full time employees</t>
  </si>
  <si>
    <t>federal</t>
  </si>
  <si>
    <t>state</t>
  </si>
  <si>
    <t>Part time employees</t>
  </si>
  <si>
    <t>times rate</t>
  </si>
  <si>
    <t>Proforma dollars</t>
  </si>
  <si>
    <t>Regular</t>
  </si>
  <si>
    <t>Overtime</t>
  </si>
  <si>
    <t xml:space="preserve">Overtime </t>
  </si>
  <si>
    <t>reduced 1/3</t>
  </si>
  <si>
    <t>Wkcp</t>
  </si>
  <si>
    <t>Code 7540</t>
  </si>
  <si>
    <t>Code 8810</t>
  </si>
  <si>
    <t>wkcp code</t>
  </si>
  <si>
    <t>Part time labor</t>
  </si>
  <si>
    <t>Rates</t>
  </si>
  <si>
    <t>experience modification</t>
  </si>
  <si>
    <t>Ky. Special fund assessment</t>
  </si>
  <si>
    <t>Proforma workers compensation</t>
  </si>
  <si>
    <t>proforma amounts:</t>
  </si>
  <si>
    <t>General liability</t>
  </si>
  <si>
    <t xml:space="preserve">Umbrella </t>
  </si>
  <si>
    <t>Excess Umbrella</t>
  </si>
  <si>
    <t>PPO</t>
  </si>
  <si>
    <t>Family</t>
  </si>
  <si>
    <t>Single</t>
  </si>
  <si>
    <t>Dental</t>
  </si>
  <si>
    <t>employee</t>
  </si>
  <si>
    <t>Dependent</t>
  </si>
  <si>
    <t>Basic</t>
  </si>
  <si>
    <t>Life</t>
  </si>
  <si>
    <t>Long term</t>
  </si>
  <si>
    <t>disability</t>
  </si>
  <si>
    <t>defined</t>
  </si>
  <si>
    <t>benefit</t>
  </si>
  <si>
    <t>401-k</t>
  </si>
  <si>
    <t>employer</t>
  </si>
  <si>
    <t>kenergy</t>
  </si>
  <si>
    <t>match</t>
  </si>
  <si>
    <t>up to 3%</t>
  </si>
  <si>
    <t xml:space="preserve">Start </t>
  </si>
  <si>
    <t>former</t>
  </si>
  <si>
    <t>X</t>
  </si>
  <si>
    <t>Wages</t>
  </si>
  <si>
    <t>(h)</t>
  </si>
  <si>
    <t>Explanation:</t>
  </si>
  <si>
    <t>Test Year</t>
  </si>
  <si>
    <t>Electric-Expensed</t>
  </si>
  <si>
    <t>Item</t>
  </si>
  <si>
    <t>Percent</t>
  </si>
  <si>
    <t>Payroll Taxes</t>
  </si>
  <si>
    <t>12 months ending</t>
  </si>
  <si>
    <t>increased limits factor</t>
  </si>
  <si>
    <t>Premium discount</t>
  </si>
  <si>
    <t>terrorism risk factor</t>
  </si>
  <si>
    <t>A/R</t>
  </si>
  <si>
    <t>Change</t>
  </si>
  <si>
    <t>Hourly</t>
  </si>
  <si>
    <t>KENERGY CORP.</t>
  </si>
  <si>
    <t>LABOR ADJUSTMENT</t>
  </si>
  <si>
    <t xml:space="preserve"> </t>
  </si>
  <si>
    <t>CLEARING</t>
  </si>
  <si>
    <t xml:space="preserve">TOTAL </t>
  </si>
  <si>
    <t>LESS</t>
  </si>
  <si>
    <t>PLUS</t>
  </si>
  <si>
    <t>ADJUST</t>
  </si>
  <si>
    <t>ENTRIES</t>
  </si>
  <si>
    <t xml:space="preserve">LABOR </t>
  </si>
  <si>
    <t>PAYROLL</t>
  </si>
  <si>
    <t>TOTAL</t>
  </si>
  <si>
    <t>PTO ACCRUAL</t>
  </si>
  <si>
    <t>FROM</t>
  </si>
  <si>
    <t>BY ACCOUNT</t>
  </si>
  <si>
    <t>TOTAL PAID</t>
  </si>
  <si>
    <t>PTO/ACCRUED</t>
  </si>
  <si>
    <t xml:space="preserve">PAYROLL </t>
  </si>
  <si>
    <t>JE'S</t>
  </si>
  <si>
    <t>ACCRUAL</t>
  </si>
  <si>
    <t>HOLIDAYS</t>
  </si>
  <si>
    <t>TO ACTUAL</t>
  </si>
  <si>
    <t>ACCRUED</t>
  </si>
  <si>
    <t>CAPITALIZED</t>
  </si>
  <si>
    <t>CLEARING ACCTS</t>
  </si>
  <si>
    <t>NON-OPERATING</t>
  </si>
  <si>
    <t>EXPENSED</t>
  </si>
  <si>
    <t>DATE</t>
  </si>
  <si>
    <t>TAXES</t>
  </si>
  <si>
    <t>Retention program refund</t>
  </si>
  <si>
    <t>capital</t>
  </si>
  <si>
    <t>Operations</t>
  </si>
  <si>
    <t>Maintenance</t>
  </si>
  <si>
    <t>A&amp;G</t>
  </si>
  <si>
    <t>Non-Operating</t>
  </si>
  <si>
    <t>Spouse</t>
  </si>
  <si>
    <t xml:space="preserve">Child </t>
  </si>
  <si>
    <t>excluding OT</t>
  </si>
  <si>
    <t>1/2</t>
  </si>
  <si>
    <t>Life over</t>
  </si>
  <si>
    <t>CURRENT TABLE</t>
  </si>
  <si>
    <t>AGE</t>
  </si>
  <si>
    <t>RATE</t>
  </si>
  <si>
    <t>From health/pension</t>
  </si>
  <si>
    <t>Test yr. allocation</t>
  </si>
  <si>
    <t>a/rec</t>
  </si>
  <si>
    <t>nonop</t>
  </si>
  <si>
    <t>expense</t>
  </si>
  <si>
    <t>total</t>
  </si>
  <si>
    <t>non-op</t>
  </si>
  <si>
    <t>Co. portion Fica/med</t>
  </si>
  <si>
    <t>Full Time:</t>
  </si>
  <si>
    <t>hours times</t>
  </si>
  <si>
    <t>Part Time:</t>
  </si>
  <si>
    <t>total regular</t>
  </si>
  <si>
    <t>TEST YEAR</t>
  </si>
  <si>
    <t>PROFORMA</t>
  </si>
  <si>
    <t>(1)</t>
  </si>
  <si>
    <t>(2)</t>
  </si>
  <si>
    <t>(3)</t>
  </si>
  <si>
    <t>(4)</t>
  </si>
  <si>
    <t>ADJUSTMENT</t>
  </si>
  <si>
    <t>(i)</t>
  </si>
  <si>
    <t>(j)</t>
  </si>
  <si>
    <t>(k)</t>
  </si>
  <si>
    <t>Test year</t>
  </si>
  <si>
    <t xml:space="preserve"> Overheads Related to Wages Adjustment</t>
  </si>
  <si>
    <t>Test yr.</t>
  </si>
  <si>
    <t>hours reg</t>
  </si>
  <si>
    <t>O.t. hrs</t>
  </si>
  <si>
    <t>reg hrs</t>
  </si>
  <si>
    <t>hourly rate</t>
  </si>
  <si>
    <t>rounding</t>
  </si>
  <si>
    <t>supplemental</t>
  </si>
  <si>
    <t>Regular Wages Paid:</t>
  </si>
  <si>
    <t>Total Wages - accrual basis</t>
  </si>
  <si>
    <t>total per wage adj.</t>
  </si>
  <si>
    <t>Total Wages - Proforma</t>
  </si>
  <si>
    <t>(col. f * col. i)</t>
  </si>
  <si>
    <t>Insurance</t>
  </si>
  <si>
    <t>FICA</t>
  </si>
  <si>
    <t>PL&amp;PD</t>
  </si>
  <si>
    <t>Total wages paid per earnings register (1)</t>
  </si>
  <si>
    <t>(Col. e / Col. b)</t>
  </si>
  <si>
    <t>(col. j - col. e)</t>
  </si>
  <si>
    <t>(Col. d % times proforma)</t>
  </si>
  <si>
    <t>(Col. e - Col. d)</t>
  </si>
  <si>
    <t>Worker's Compensation Insurance</t>
  </si>
  <si>
    <t>Disability Insurance</t>
  </si>
  <si>
    <t>Health Insurance</t>
  </si>
  <si>
    <t>Dental Insurance</t>
  </si>
  <si>
    <t>Life Insurance under $50,000</t>
  </si>
  <si>
    <t>Life Insurance over $50,000 plus spouse</t>
  </si>
  <si>
    <t>Line</t>
  </si>
  <si>
    <t>Adjustments made by Journal Entry:</t>
  </si>
  <si>
    <t>Cust. Acct.</t>
  </si>
  <si>
    <t>Cust. Info.</t>
  </si>
  <si>
    <t>Sales</t>
  </si>
  <si>
    <t>Cust. Accts.</t>
  </si>
  <si>
    <t>(6)</t>
  </si>
  <si>
    <t>Code 8742</t>
  </si>
  <si>
    <t>Annual Premium</t>
  </si>
  <si>
    <t>PER YTD PAYROLL DISTRIBUTION PRINTOUTS</t>
  </si>
  <si>
    <t>ACCT</t>
  </si>
  <si>
    <t>EAC 701</t>
  </si>
  <si>
    <t>Line No</t>
  </si>
  <si>
    <t>WAGES &amp; SALARIES BY ACCOUNT NUMBER</t>
  </si>
  <si>
    <t>Accts 107,108, 183.500</t>
  </si>
  <si>
    <t>Accts 142, 143, 146</t>
  </si>
  <si>
    <t>Accts 416, 417</t>
  </si>
  <si>
    <t>Accts 582-935</t>
  </si>
  <si>
    <t>OVERHEADS</t>
  </si>
  <si>
    <t>TOTAL BEFORE CLEARING</t>
  </si>
  <si>
    <t>After 184.100 but before 163.000 @ year end</t>
  </si>
  <si>
    <t>ACCOUNT</t>
  </si>
  <si>
    <t>RET</t>
  </si>
  <si>
    <t>WKCP</t>
  </si>
  <si>
    <t>FUTA</t>
  </si>
  <si>
    <t>SUTA</t>
  </si>
  <si>
    <t>EX/LIAB</t>
  </si>
  <si>
    <t>SUMMARY BEFORE CLEARING</t>
  </si>
  <si>
    <t>SUMMARY AFTER CLEARING</t>
  </si>
  <si>
    <t>920-930</t>
  </si>
  <si>
    <t>Form 7 allocation of Expense</t>
  </si>
  <si>
    <t>Total booked during test year - accrual basis.</t>
  </si>
  <si>
    <t>Class (in)</t>
  </si>
  <si>
    <t>Class (out)</t>
  </si>
  <si>
    <t>Class (sales)</t>
  </si>
  <si>
    <t>Vehicle</t>
  </si>
  <si>
    <t>Life over 50,000</t>
  </si>
  <si>
    <t>variance</t>
  </si>
  <si>
    <t>Wage</t>
  </si>
  <si>
    <t>Payments</t>
  </si>
  <si>
    <t>Supplmntl</t>
  </si>
  <si>
    <t>Life under</t>
  </si>
  <si>
    <t>Defined benefit &amp; contribution - GREC before 1987</t>
  </si>
  <si>
    <t>Defined benefit &amp; contribution - HUEC before 1999</t>
  </si>
  <si>
    <t>Deferred comp 457(b) &amp; defined contribution</t>
  </si>
  <si>
    <t>Defined contribution - GREC 1987-1999, Kenergy 1999-present</t>
  </si>
  <si>
    <t>Medical</t>
  </si>
  <si>
    <t>Life under 50k</t>
  </si>
  <si>
    <t>Life over 50k</t>
  </si>
  <si>
    <t>LTD</t>
  </si>
  <si>
    <t>acct</t>
  </si>
  <si>
    <t>Retirement</t>
  </si>
  <si>
    <t xml:space="preserve">added to "labor by acct detail" </t>
  </si>
  <si>
    <t>column F (Journal Entries) so that amt</t>
  </si>
  <si>
    <t>cgd to 163.000 can get spread.</t>
  </si>
  <si>
    <t>Pension</t>
  </si>
  <si>
    <t>Accrued sick leave</t>
  </si>
  <si>
    <t>from health pension</t>
  </si>
  <si>
    <t>normalized overtime</t>
  </si>
  <si>
    <t>OT</t>
  </si>
  <si>
    <t>part time</t>
  </si>
  <si>
    <t>OT hrs</t>
  </si>
  <si>
    <t>round</t>
  </si>
  <si>
    <t>+ child</t>
  </si>
  <si>
    <t>+ spouse</t>
  </si>
  <si>
    <t>Sec125 Med</t>
  </si>
  <si>
    <t>Sec125 Prm</t>
  </si>
  <si>
    <t>fica</t>
  </si>
  <si>
    <t>proforma social security tax</t>
  </si>
  <si>
    <t>Medicare Wages</t>
  </si>
  <si>
    <t>SS Wages</t>
  </si>
  <si>
    <t>Proforma wages</t>
  </si>
  <si>
    <t>EMP #</t>
  </si>
  <si>
    <t>Benefit over 50,000</t>
  </si>
  <si>
    <t>Annual Taxable Benefit</t>
  </si>
  <si>
    <t>Taxable benefit per pay</t>
  </si>
  <si>
    <t>Monthly taxable benefit</t>
  </si>
  <si>
    <t>Total Annual Taxable Benefit</t>
  </si>
  <si>
    <t>Total taxable benefit per pay</t>
  </si>
  <si>
    <t>Fica/Medicare</t>
  </si>
  <si>
    <t>Hrly Rate</t>
  </si>
  <si>
    <t>Salary</t>
  </si>
  <si>
    <t>Age</t>
  </si>
  <si>
    <t>Life Ins benefit</t>
  </si>
  <si>
    <t>Rate</t>
  </si>
  <si>
    <t>Spouse life 10k/10</t>
  </si>
  <si>
    <t># Eligible Children</t>
  </si>
  <si>
    <t>life over 50,000 + sp/ch</t>
  </si>
  <si>
    <t>total full time wages</t>
  </si>
  <si>
    <t>Total proforma labor</t>
  </si>
  <si>
    <t>LABOR</t>
  </si>
  <si>
    <t>OVERHEAD</t>
  </si>
  <si>
    <t>(5)</t>
  </si>
  <si>
    <t>Supplemental wage payments (6)</t>
  </si>
  <si>
    <t xml:space="preserve">Net effect of accruals </t>
  </si>
  <si>
    <t>(Col. c Lines 16-19</t>
  </si>
  <si>
    <t>times Line 10 Col. e)</t>
  </si>
  <si>
    <t>(Col. d Lines 16-19)/Line 20)</t>
  </si>
  <si>
    <t>Proforma wages + rounding</t>
  </si>
  <si>
    <t>premiums (not taxable benefit)</t>
  </si>
  <si>
    <t>parttime</t>
  </si>
  <si>
    <t>Double Time Wages:</t>
  </si>
  <si>
    <t>WAGES &amp; SALARIES BY ACCOUNT NUMBER - JULY 2014 TO JUNE 2015</t>
  </si>
  <si>
    <t>PLUS 228.1</t>
  </si>
  <si>
    <t>HOLIDAY</t>
  </si>
  <si>
    <t>ACC LV</t>
  </si>
  <si>
    <t>7/1/14 -06/30/15</t>
  </si>
  <si>
    <t>TOTAL AFTER CLEARING</t>
  </si>
  <si>
    <t>EAP</t>
  </si>
  <si>
    <t>Expense filing fee for 457(b)</t>
  </si>
  <si>
    <t>Insurance buy-out - June/Dec 2014</t>
  </si>
  <si>
    <t>Adjust workers comp write off</t>
  </si>
  <si>
    <t>Adjust pension writeoff</t>
  </si>
  <si>
    <t>Adjust FICA for accrued leave</t>
  </si>
  <si>
    <t>OVERHEADS RELATED TO WAGES - 7/1/14 to 6/30/15</t>
  </si>
  <si>
    <t>Insurance write-off - 2nd June pay</t>
  </si>
  <si>
    <t>Grec</t>
  </si>
  <si>
    <t>Huec</t>
  </si>
  <si>
    <t>Co. Paid</t>
  </si>
  <si>
    <t>Employee Paid</t>
  </si>
  <si>
    <t>Employee</t>
  </si>
  <si>
    <t>paid</t>
  </si>
  <si>
    <t>medical</t>
  </si>
  <si>
    <t>Age at</t>
  </si>
  <si>
    <t>1/2 of Dep.</t>
  </si>
  <si>
    <t>HUEC</t>
  </si>
  <si>
    <t>GREC</t>
  </si>
  <si>
    <t>Hourly Rate 6/30/15</t>
  </si>
  <si>
    <t>Twelve mo ending 6/30/15 OT Hrs</t>
  </si>
  <si>
    <t>Twelve mo ending 6/30/15 DT Hrs</t>
  </si>
  <si>
    <t>TIMES 1/01/16</t>
  </si>
  <si>
    <t>TIMES 2,080 HRS</t>
  </si>
  <si>
    <t>hours</t>
  </si>
  <si>
    <t>Per pay period - 2015</t>
  </si>
  <si>
    <t>2015 Vehicle</t>
  </si>
  <si>
    <t/>
  </si>
  <si>
    <t xml:space="preserve">Spouse age </t>
  </si>
  <si>
    <t>Proforma OT wages</t>
  </si>
  <si>
    <t>Ave hourly rate for proforma:</t>
  </si>
  <si>
    <t>Proforma DT wages</t>
  </si>
  <si>
    <t>DT</t>
  </si>
  <si>
    <t>DB1, 4011</t>
  </si>
  <si>
    <t>DB2, 4012</t>
  </si>
  <si>
    <t>DB3, 4013</t>
  </si>
  <si>
    <t>401(k) admin</t>
  </si>
  <si>
    <t>fee</t>
  </si>
  <si>
    <t>TRINITY</t>
  </si>
  <si>
    <t>HEATHER</t>
  </si>
  <si>
    <t>BRANDY</t>
  </si>
  <si>
    <t>PAULA</t>
  </si>
  <si>
    <t>EDNA</t>
  </si>
  <si>
    <t>GLENN</t>
  </si>
  <si>
    <t>EUGENE</t>
  </si>
  <si>
    <t>MISTY</t>
  </si>
  <si>
    <t>DUSTI</t>
  </si>
  <si>
    <t>KELLIE</t>
  </si>
  <si>
    <t>REGINALD</t>
  </si>
  <si>
    <t>STACY</t>
  </si>
  <si>
    <t>CATHY</t>
  </si>
  <si>
    <t>JENNIFER</t>
  </si>
  <si>
    <t>DONNA</t>
  </si>
  <si>
    <t>KATHY</t>
  </si>
  <si>
    <t>CARRIE</t>
  </si>
  <si>
    <t>JESSICA</t>
  </si>
  <si>
    <t>TERA</t>
  </si>
  <si>
    <t>KARLA</t>
  </si>
  <si>
    <t>REBECCA</t>
  </si>
  <si>
    <t>BONNIE</t>
  </si>
  <si>
    <t>JOHN</t>
  </si>
  <si>
    <t>MARIE</t>
  </si>
  <si>
    <t>TERESA</t>
  </si>
  <si>
    <t>STACI</t>
  </si>
  <si>
    <t>CHRISTA</t>
  </si>
  <si>
    <t>SUSAN</t>
  </si>
  <si>
    <t>GREG</t>
  </si>
  <si>
    <t>DIANA</t>
  </si>
  <si>
    <t>ROGER</t>
  </si>
  <si>
    <t>JOSHUA</t>
  </si>
  <si>
    <t>LARRY</t>
  </si>
  <si>
    <t>JOSEPH</t>
  </si>
  <si>
    <t>PENELOPE</t>
  </si>
  <si>
    <t>BRIAN</t>
  </si>
  <si>
    <t>KEITH</t>
  </si>
  <si>
    <t>TRACEY</t>
  </si>
  <si>
    <t>PATRICIA</t>
  </si>
  <si>
    <t>BRITTNEY</t>
  </si>
  <si>
    <t>SHANNON</t>
  </si>
  <si>
    <t>CAROLYN</t>
  </si>
  <si>
    <t>DEVON</t>
  </si>
  <si>
    <t>GABRIELLE</t>
  </si>
  <si>
    <t>ROBERT</t>
  </si>
  <si>
    <t>DEBRA</t>
  </si>
  <si>
    <t>CRYSTAL</t>
  </si>
  <si>
    <t>BOBBY</t>
  </si>
  <si>
    <t>STEPHANIE</t>
  </si>
  <si>
    <t>CASEY</t>
  </si>
  <si>
    <t>MICHELLE</t>
  </si>
  <si>
    <t>WENDY</t>
  </si>
  <si>
    <t>BRENDA</t>
  </si>
  <si>
    <t>KERRY</t>
  </si>
  <si>
    <t>RICHARD</t>
  </si>
  <si>
    <t>MIKE</t>
  </si>
  <si>
    <t>MICHAEL</t>
  </si>
  <si>
    <t>KELLY</t>
  </si>
  <si>
    <t>AGNES</t>
  </si>
  <si>
    <t>WILLIAM</t>
  </si>
  <si>
    <t xml:space="preserve">CAROL </t>
  </si>
  <si>
    <t>MINDY</t>
  </si>
  <si>
    <t>ANGIE</t>
  </si>
  <si>
    <t>BARBARA</t>
  </si>
  <si>
    <t>STANTON</t>
  </si>
  <si>
    <t>SHERRY</t>
  </si>
  <si>
    <t>PAUL</t>
  </si>
  <si>
    <t>KIMBERLY</t>
  </si>
  <si>
    <t>SCOTT</t>
  </si>
  <si>
    <t>HEATH</t>
  </si>
  <si>
    <t>MARY</t>
  </si>
  <si>
    <t>TINA</t>
  </si>
  <si>
    <t>LINDA</t>
  </si>
  <si>
    <t>GARY</t>
  </si>
  <si>
    <t>ERIC</t>
  </si>
  <si>
    <t>ANNETTE</t>
  </si>
  <si>
    <t>DELIA</t>
  </si>
  <si>
    <t>MARLANEA</t>
  </si>
  <si>
    <t>EDITH</t>
  </si>
  <si>
    <t>SANDRA</t>
  </si>
  <si>
    <t>LESLIE</t>
  </si>
  <si>
    <t>DEBORAH</t>
  </si>
  <si>
    <t>CONNIE</t>
  </si>
  <si>
    <t>TOMMY</t>
  </si>
  <si>
    <t>LISA</t>
  </si>
  <si>
    <t>KATHI</t>
  </si>
  <si>
    <t>HALLINE</t>
  </si>
  <si>
    <t>STACEY</t>
  </si>
  <si>
    <t>JULIE</t>
  </si>
  <si>
    <t>ELAINE</t>
  </si>
  <si>
    <t>SHELLY</t>
  </si>
  <si>
    <t>ERICA</t>
  </si>
  <si>
    <t>LACY</t>
  </si>
  <si>
    <t>VICKIE</t>
  </si>
  <si>
    <t>KENDALL</t>
  </si>
  <si>
    <t>DEBBIE</t>
  </si>
  <si>
    <t>PAMELA</t>
  </si>
  <si>
    <t>ANITA</t>
  </si>
  <si>
    <t>DENNIS</t>
  </si>
  <si>
    <t>TIFFANY</t>
  </si>
  <si>
    <t>CHARNITA</t>
  </si>
  <si>
    <t xml:space="preserve">LOUIS </t>
  </si>
  <si>
    <t>MELINDA</t>
  </si>
  <si>
    <t>SAMANTHA</t>
  </si>
  <si>
    <t>WHITNEY</t>
  </si>
  <si>
    <t>Employee Assistance Program</t>
  </si>
  <si>
    <t>from OH by acct detail</t>
  </si>
  <si>
    <t>drug free discount</t>
  </si>
  <si>
    <t>Service Awd</t>
  </si>
  <si>
    <t>Misc</t>
  </si>
  <si>
    <t>Sec125 Prm Dental</t>
  </si>
  <si>
    <t>quarterly invoice</t>
  </si>
  <si>
    <t>employees</t>
  </si>
  <si>
    <t>rate/mo</t>
  </si>
  <si>
    <t>annual proforma</t>
  </si>
  <si>
    <t>Incentive</t>
  </si>
  <si>
    <t>Vacation over maximum</t>
  </si>
  <si>
    <t>bonus Amt</t>
  </si>
  <si>
    <t>adjust Amt</t>
  </si>
  <si>
    <t>discretionary bonus</t>
  </si>
  <si>
    <t>Total Amount</t>
  </si>
  <si>
    <t>AMI committee</t>
  </si>
  <si>
    <t>old accrued leave balance</t>
  </si>
  <si>
    <t>gross up taxes for gift cards</t>
  </si>
  <si>
    <t>25% difference for pay rate over max in new rate category</t>
  </si>
  <si>
    <t>Total</t>
  </si>
  <si>
    <t>Supplemental Income - Pays</t>
  </si>
  <si>
    <t>Supplemental Income - Taxable Benefits</t>
  </si>
  <si>
    <t>Greg 457(f) 2013</t>
  </si>
  <si>
    <t>Greg - retroactive pay for new base</t>
  </si>
  <si>
    <t>Payroll adjustments</t>
  </si>
  <si>
    <t>Annual premium</t>
  </si>
  <si>
    <t>safety program discount</t>
  </si>
  <si>
    <t>State surcharge</t>
  </si>
  <si>
    <t>Hawesville tax</t>
  </si>
  <si>
    <t>Henderson tax</t>
  </si>
  <si>
    <t>Marion tax</t>
  </si>
  <si>
    <t>Gen Liab</t>
  </si>
  <si>
    <t>Federated - All Risk Blanket invoice</t>
  </si>
  <si>
    <t>over 50</t>
  </si>
  <si>
    <t>under 50</t>
  </si>
  <si>
    <t>life ins</t>
  </si>
  <si>
    <t>per keyed</t>
  </si>
  <si>
    <t>annual</t>
  </si>
  <si>
    <t>difference</t>
  </si>
  <si>
    <t>prepayment</t>
  </si>
  <si>
    <t>401k</t>
  </si>
  <si>
    <t>fees</t>
  </si>
  <si>
    <t>Temporary</t>
  </si>
  <si>
    <t>Reinsurance</t>
  </si>
  <si>
    <t>Fee</t>
  </si>
  <si>
    <t>(3)  Part time proforma hours represent test year.  Rate reflects actual at 6/30/15.</t>
  </si>
  <si>
    <t>(4)  The overtime rate of $47.09 represents test year overtime hours of each employee times</t>
  </si>
  <si>
    <t xml:space="preserve">      their respective hourly rate times 1.50. The overtime dollars of $1,002,592 were divided by </t>
  </si>
  <si>
    <t xml:space="preserve">      21,292 overtime hours to arrive at $47.09.</t>
  </si>
  <si>
    <t>(5)  The double time rate of $63.15 represents test year double time hours of each employee times</t>
  </si>
  <si>
    <t xml:space="preserve">      their respective hourly rate times 2. The double time dollars of $4,294 were divided by </t>
  </si>
  <si>
    <t xml:space="preserve">      68 overtime hours to arrive at $63.15.</t>
  </si>
  <si>
    <t xml:space="preserve">(6)  Incentives, retirement gifts, and service awards. </t>
  </si>
  <si>
    <t xml:space="preserve">(7)  Accruals removed from test year per rate-making policy of using 2,080 hrs. per employee. </t>
  </si>
  <si>
    <t>(7)</t>
  </si>
  <si>
    <t>(8)</t>
  </si>
  <si>
    <t>(9)</t>
  </si>
  <si>
    <t>(10)</t>
  </si>
  <si>
    <t>(11)</t>
  </si>
  <si>
    <t>(12)</t>
  </si>
  <si>
    <t>(8)  Annual bonus based on reaching safety, performance, financial, and customer service goals.</t>
  </si>
  <si>
    <t>(9)  Performance bonuses plus 2013 457(f) payment to CEO</t>
  </si>
  <si>
    <t>(10)  Payment for vacation hours carried-over above the maximum allowable.</t>
  </si>
  <si>
    <t>(12)  Grossing up taxes for incentive gift cards, plus retroactive pay increases.</t>
  </si>
  <si>
    <t>vacation paid</t>
  </si>
  <si>
    <t>vacation accrued</t>
  </si>
  <si>
    <t>PTO accrual</t>
  </si>
  <si>
    <t>supp income</t>
  </si>
  <si>
    <t>accrued leave adj</t>
  </si>
  <si>
    <t>Earnings register</t>
  </si>
  <si>
    <t>June 2015 accrual</t>
  </si>
  <si>
    <t>June 2014 accrual</t>
  </si>
  <si>
    <t>out of balance</t>
  </si>
  <si>
    <t>net effect of accruals</t>
  </si>
  <si>
    <t>INCENTIVE</t>
  </si>
  <si>
    <t>vacation max paid</t>
  </si>
  <si>
    <t>457(b)</t>
  </si>
  <si>
    <t>Annual</t>
  </si>
  <si>
    <t>(11)  Following the salary study, some employees received lump sum amounts in lieu of a portion of their pay increase</t>
  </si>
  <si>
    <t>Lump sum in lieu of increase</t>
  </si>
  <si>
    <t>Bonus</t>
  </si>
  <si>
    <t>Deferred Compensation</t>
  </si>
  <si>
    <t>2015 - 00312 RATE APPLICATION</t>
  </si>
  <si>
    <t>2015 - 00312 rate application</t>
  </si>
  <si>
    <t>2015-00312 RATE APPLICATION</t>
  </si>
  <si>
    <t>PAYROLL OVERHEADS BY ACCOUNT DETAIL</t>
  </si>
  <si>
    <t xml:space="preserve">     causing the test year to be $91,946 less. </t>
  </si>
  <si>
    <t xml:space="preserve">(3) Pension change - Pension expense is distributed over 26 payrolls per year.  </t>
  </si>
  <si>
    <t>See pg. 7</t>
  </si>
  <si>
    <t>Line 11 col. D</t>
  </si>
  <si>
    <t>Exhibit 5A, page 6</t>
  </si>
  <si>
    <t xml:space="preserve">(1)  See Exhibit 5A, Pages 6a-6d for source documentation of the various test year data. </t>
  </si>
  <si>
    <t>(2)  See Exhibit 5A, Page 6e, line 17, col. M. 150 FT proforma employees at year end times 2,080 hrs = 312,000 hrs.</t>
  </si>
  <si>
    <t>Exhibit 5A, page 6d</t>
  </si>
  <si>
    <t>Exhibit 5A, page 7</t>
  </si>
  <si>
    <t>(1) See Exhibit 5A, pages 7d- 7ab for explanations of each overhead item.</t>
  </si>
  <si>
    <t>(2) See Exhibit 5A, pages 7a-7c</t>
  </si>
  <si>
    <t>Exhibit 5A, page 7 a</t>
  </si>
  <si>
    <t>Exhibit 5A, page 7c</t>
  </si>
  <si>
    <t>Property Loss/Damage and Excess Liability Ins.</t>
  </si>
  <si>
    <t xml:space="preserve">     Due to timing with the test year ending June 30, only 25 were distributed in the test yr</t>
  </si>
  <si>
    <t xml:space="preserve">Employee assistance program </t>
  </si>
  <si>
    <t>Secondary distribution - WC</t>
  </si>
  <si>
    <t xml:space="preserve">Secondary distribution - WC </t>
  </si>
  <si>
    <t xml:space="preserve">Allocate cash portion of insurance </t>
  </si>
  <si>
    <t>Secondary distribution - hlt ins</t>
  </si>
  <si>
    <t xml:space="preserve">Adjust medical clearing account to </t>
  </si>
  <si>
    <t xml:space="preserve">Adjust pension clearing account </t>
  </si>
  <si>
    <t xml:space="preserve">Adjust PLPD/LIAB </t>
  </si>
  <si>
    <t>Adjust PLPD/LIAB t</t>
  </si>
  <si>
    <t>Write off retiree portion</t>
  </si>
  <si>
    <t>Hlt, life</t>
  </si>
  <si>
    <t>dent.</t>
  </si>
  <si>
    <t>diab.</t>
  </si>
  <si>
    <t>Work</t>
  </si>
  <si>
    <t>Comp</t>
  </si>
  <si>
    <t>Prop.</t>
  </si>
  <si>
    <t>Loss</t>
  </si>
  <si>
    <t>Emp.</t>
  </si>
  <si>
    <t>Assist</t>
  </si>
  <si>
    <t>(13)</t>
  </si>
  <si>
    <t>To Adjustment Recap - Page 4 and 5 line 13</t>
  </si>
  <si>
    <t>To Adj. Recap - Page 4 &amp; 5 line 14</t>
  </si>
  <si>
    <t>PER Payroll/Labor   See Exh. 5A, pg 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</si>
</sst>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.0%"/>
    <numFmt numFmtId="167" formatCode="0.000"/>
    <numFmt numFmtId="168" formatCode="&quot;$&quot;#,##0"/>
    <numFmt numFmtId="169" formatCode="#,##0.0000"/>
    <numFmt numFmtId="170" formatCode="&quot;$&quot;#,##0.000"/>
    <numFmt numFmtId="171" formatCode="mm/dd/yy"/>
    <numFmt numFmtId="172" formatCode="0.000000%"/>
    <numFmt numFmtId="173" formatCode="0.0000%"/>
    <numFmt numFmtId="174" formatCode="0.00000%"/>
    <numFmt numFmtId="175" formatCode="mmmm\ d\,\ yyyy"/>
    <numFmt numFmtId="176" formatCode="&quot;$&quot;#,##0.0000"/>
    <numFmt numFmtId="177" formatCode="_(&quot;$&quot;* #,##0_);_(&quot;$&quot;* \(#,##0\);_(&quot;$&quot;* &quot;-&quot;??_);_(@_)"/>
    <numFmt numFmtId="178" formatCode="0.000%"/>
    <numFmt numFmtId="179" formatCode="_(&quot;$&quot;* #,##0.0000_);_(&quot;$&quot;* \(#,##0.0000\);_(&quot;$&quot;* &quot;-&quot;??_);_(@_)"/>
    <numFmt numFmtId="180" formatCode="_(* #,##0.000_);_(* \(#,##0.000\);_(* &quot;-&quot;??_);_(@_)"/>
    <numFmt numFmtId="181" formatCode="_(* #,##0.0_);_(* \(#,##0.0\);_(* &quot;-&quot;??_);_(@_)"/>
    <numFmt numFmtId="182" formatCode="_(* #,##0_);_(* \(#,##0\);_(* &quot;-&quot;??_);_(@_)"/>
    <numFmt numFmtId="183" formatCode="_(&quot;$&quot;* #,##0.000000_);_(&quot;$&quot;* \(#,##0.000000\);_(&quot;$&quot;* &quot;-&quot;??_);_(@_)"/>
    <numFmt numFmtId="184" formatCode="m/d/yy;@"/>
    <numFmt numFmtId="185" formatCode="#,##0.000000"/>
    <numFmt numFmtId="186" formatCode="_(* #,##0.000000000_);_(* \(#,##0.000000000\);_(* &quot;-&quot;??_);_(@_)"/>
    <numFmt numFmtId="187" formatCode="_(* #,##0.0000_);_(* \(#,##0.0000\);_(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2"/>
      <color indexed="0"/>
      <name val="Arial"/>
      <family val="2"/>
    </font>
    <font>
      <b/>
      <sz val="12"/>
      <color indexed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3FFA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7" fontId="0" fillId="0" borderId="0" xfId="0" applyNumberFormat="1"/>
    <xf numFmtId="168" fontId="0" fillId="0" borderId="0" xfId="0" applyNumberFormat="1"/>
    <xf numFmtId="168" fontId="0" fillId="0" borderId="3" xfId="0" applyNumberFormat="1" applyBorder="1"/>
    <xf numFmtId="0" fontId="0" fillId="0" borderId="0" xfId="0" applyAlignment="1">
      <alignment horizontal="centerContinuous"/>
    </xf>
    <xf numFmtId="168" fontId="0" fillId="0" borderId="0" xfId="0" applyNumberFormat="1" applyBorder="1"/>
    <xf numFmtId="10" fontId="0" fillId="0" borderId="0" xfId="0" applyNumberFormat="1"/>
    <xf numFmtId="168" fontId="0" fillId="0" borderId="2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9" fontId="0" fillId="0" borderId="0" xfId="0" applyNumberFormat="1" applyAlignment="1">
      <alignment horizontal="center"/>
    </xf>
    <xf numFmtId="171" fontId="0" fillId="0" borderId="0" xfId="0" applyNumberFormat="1"/>
    <xf numFmtId="14" fontId="0" fillId="0" borderId="0" xfId="0" applyNumberFormat="1" applyAlignment="1">
      <alignment horizontal="center"/>
    </xf>
    <xf numFmtId="3" fontId="0" fillId="0" borderId="0" xfId="0" applyNumberFormat="1" applyBorder="1"/>
    <xf numFmtId="0" fontId="4" fillId="0" borderId="0" xfId="0" applyFont="1"/>
    <xf numFmtId="0" fontId="0" fillId="0" borderId="3" xfId="0" applyBorder="1" applyAlignment="1">
      <alignment horizontal="center"/>
    </xf>
    <xf numFmtId="165" fontId="0" fillId="0" borderId="0" xfId="0" applyNumberFormat="1"/>
    <xf numFmtId="177" fontId="0" fillId="0" borderId="0" xfId="2" applyNumberFormat="1" applyFont="1"/>
    <xf numFmtId="10" fontId="0" fillId="0" borderId="0" xfId="3" applyNumberFormat="1" applyFont="1"/>
    <xf numFmtId="173" fontId="0" fillId="0" borderId="0" xfId="3" applyNumberFormat="1" applyFont="1" applyAlignment="1">
      <alignment horizontal="center"/>
    </xf>
    <xf numFmtId="177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0" fillId="0" borderId="4" xfId="0" applyBorder="1" applyAlignment="1">
      <alignment horizontal="center"/>
    </xf>
    <xf numFmtId="0" fontId="3" fillId="0" borderId="0" xfId="0" applyFont="1"/>
    <xf numFmtId="182" fontId="0" fillId="0" borderId="0" xfId="1" applyNumberFormat="1" applyFont="1"/>
    <xf numFmtId="0" fontId="3" fillId="0" borderId="0" xfId="0" applyFont="1" applyAlignment="1">
      <alignment horizontal="center"/>
    </xf>
    <xf numFmtId="182" fontId="0" fillId="0" borderId="0" xfId="1" applyNumberFormat="1" applyFont="1" applyBorder="1"/>
    <xf numFmtId="43" fontId="0" fillId="0" borderId="0" xfId="1" applyNumberFormat="1" applyFont="1"/>
    <xf numFmtId="0" fontId="0" fillId="0" borderId="0" xfId="0" applyAlignment="1">
      <alignment horizontal="right"/>
    </xf>
    <xf numFmtId="177" fontId="0" fillId="0" borderId="0" xfId="2" applyNumberFormat="1" applyFont="1" applyAlignment="1">
      <alignment horizontal="center"/>
    </xf>
    <xf numFmtId="0" fontId="2" fillId="0" borderId="0" xfId="0" applyFont="1"/>
    <xf numFmtId="43" fontId="0" fillId="0" borderId="0" xfId="1" applyFont="1"/>
    <xf numFmtId="43" fontId="3" fillId="0" borderId="0" xfId="1" applyFont="1"/>
    <xf numFmtId="182" fontId="0" fillId="0" borderId="0" xfId="0" applyNumberFormat="1" applyBorder="1"/>
    <xf numFmtId="0" fontId="3" fillId="0" borderId="0" xfId="0" applyFont="1" applyBorder="1" applyAlignment="1">
      <alignment horizontal="center"/>
    </xf>
    <xf numFmtId="0" fontId="7" fillId="0" borderId="0" xfId="0" applyFont="1"/>
    <xf numFmtId="182" fontId="0" fillId="0" borderId="3" xfId="1" applyNumberFormat="1" applyFont="1" applyBorder="1"/>
    <xf numFmtId="0" fontId="2" fillId="0" borderId="0" xfId="0" applyFont="1" applyAlignment="1">
      <alignment horizontal="right"/>
    </xf>
    <xf numFmtId="0" fontId="6" fillId="0" borderId="0" xfId="0" applyFont="1"/>
    <xf numFmtId="167" fontId="3" fillId="0" borderId="0" xfId="0" applyNumberFormat="1" applyFont="1"/>
    <xf numFmtId="182" fontId="0" fillId="0" borderId="2" xfId="1" applyNumberFormat="1" applyFont="1" applyBorder="1"/>
    <xf numFmtId="181" fontId="0" fillId="0" borderId="2" xfId="1" applyNumberFormat="1" applyFont="1" applyBorder="1"/>
    <xf numFmtId="43" fontId="0" fillId="0" borderId="2" xfId="1" applyNumberFormat="1" applyFont="1" applyBorder="1"/>
    <xf numFmtId="0" fontId="0" fillId="0" borderId="0" xfId="0" applyFill="1"/>
    <xf numFmtId="182" fontId="0" fillId="0" borderId="0" xfId="1" applyNumberFormat="1" applyFont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82" fontId="9" fillId="0" borderId="0" xfId="1" applyNumberFormat="1" applyFont="1"/>
    <xf numFmtId="185" fontId="0" fillId="0" borderId="0" xfId="0" applyNumberFormat="1" applyFill="1"/>
    <xf numFmtId="8" fontId="0" fillId="0" borderId="0" xfId="0" applyNumberFormat="1" applyFill="1"/>
    <xf numFmtId="0" fontId="3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168" fontId="0" fillId="0" borderId="2" xfId="0" applyNumberFormat="1" applyFill="1" applyBorder="1"/>
    <xf numFmtId="182" fontId="0" fillId="0" borderId="0" xfId="1" applyNumberFormat="1" applyFont="1" applyFill="1"/>
    <xf numFmtId="168" fontId="0" fillId="0" borderId="5" xfId="0" applyNumberFormat="1" applyBorder="1"/>
    <xf numFmtId="43" fontId="0" fillId="0" borderId="3" xfId="1" applyFont="1" applyBorder="1"/>
    <xf numFmtId="43" fontId="0" fillId="0" borderId="0" xfId="1" applyFont="1" applyFill="1"/>
    <xf numFmtId="182" fontId="2" fillId="0" borderId="0" xfId="1" applyNumberFormat="1" applyFont="1"/>
    <xf numFmtId="1" fontId="0" fillId="0" borderId="0" xfId="0" applyNumberFormat="1" applyAlignment="1">
      <alignment horizontal="right"/>
    </xf>
    <xf numFmtId="177" fontId="0" fillId="0" borderId="0" xfId="2" applyNumberFormat="1" applyFont="1" applyAlignment="1">
      <alignment horizontal="centerContinuous"/>
    </xf>
    <xf numFmtId="173" fontId="0" fillId="0" borderId="3" xfId="3" applyNumberFormat="1" applyFont="1" applyFill="1" applyBorder="1"/>
    <xf numFmtId="182" fontId="0" fillId="0" borderId="0" xfId="0" applyNumberFormat="1"/>
    <xf numFmtId="178" fontId="0" fillId="0" borderId="0" xfId="3" applyNumberFormat="1" applyFont="1"/>
    <xf numFmtId="182" fontId="3" fillId="0" borderId="0" xfId="1" applyNumberFormat="1" applyFont="1"/>
    <xf numFmtId="182" fontId="3" fillId="0" borderId="3" xfId="1" applyNumberFormat="1" applyFont="1" applyBorder="1"/>
    <xf numFmtId="0" fontId="9" fillId="0" borderId="0" xfId="0" applyFont="1"/>
    <xf numFmtId="182" fontId="0" fillId="0" borderId="0" xfId="1" applyNumberFormat="1" applyFont="1" applyAlignment="1">
      <alignment horizontal="centerContinuous"/>
    </xf>
    <xf numFmtId="182" fontId="0" fillId="0" borderId="0" xfId="1" applyNumberFormat="1" applyFont="1" applyFill="1" applyAlignment="1">
      <alignment horizontal="center"/>
    </xf>
    <xf numFmtId="182" fontId="0" fillId="0" borderId="0" xfId="1" applyNumberFormat="1" applyFont="1" applyFill="1" applyBorder="1"/>
    <xf numFmtId="43" fontId="3" fillId="0" borderId="3" xfId="1" applyFont="1" applyFill="1" applyBorder="1"/>
    <xf numFmtId="0" fontId="0" fillId="0" borderId="10" xfId="0" applyBorder="1"/>
    <xf numFmtId="0" fontId="0" fillId="0" borderId="14" xfId="0" applyBorder="1"/>
    <xf numFmtId="0" fontId="0" fillId="0" borderId="3" xfId="0" applyBorder="1"/>
    <xf numFmtId="43" fontId="0" fillId="0" borderId="0" xfId="0" applyNumberFormat="1"/>
    <xf numFmtId="182" fontId="0" fillId="0" borderId="5" xfId="1" applyNumberFormat="1" applyFont="1" applyBorder="1"/>
    <xf numFmtId="43" fontId="0" fillId="0" borderId="0" xfId="1" applyFont="1" applyBorder="1"/>
    <xf numFmtId="0" fontId="0" fillId="0" borderId="0" xfId="0" applyFill="1" applyBorder="1"/>
    <xf numFmtId="0" fontId="2" fillId="0" borderId="7" xfId="0" applyFont="1" applyBorder="1" applyAlignment="1">
      <alignment horizontal="centerContinuous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8" xfId="0" applyFont="1" applyBorder="1" applyAlignment="1">
      <alignment horizontal="centerContinuous"/>
    </xf>
    <xf numFmtId="0" fontId="0" fillId="0" borderId="10" xfId="0" applyBorder="1" applyAlignment="1">
      <alignment horizontal="center"/>
    </xf>
    <xf numFmtId="182" fontId="0" fillId="0" borderId="11" xfId="1" applyNumberFormat="1" applyFont="1" applyBorder="1"/>
    <xf numFmtId="182" fontId="0" fillId="0" borderId="15" xfId="1" applyNumberFormat="1" applyFont="1" applyBorder="1"/>
    <xf numFmtId="182" fontId="2" fillId="5" borderId="5" xfId="0" applyNumberFormat="1" applyFont="1" applyFill="1" applyBorder="1"/>
    <xf numFmtId="43" fontId="0" fillId="0" borderId="10" xfId="1" applyFont="1" applyBorder="1"/>
    <xf numFmtId="180" fontId="0" fillId="0" borderId="0" xfId="1" applyNumberFormat="1" applyFont="1"/>
    <xf numFmtId="43" fontId="0" fillId="0" borderId="0" xfId="1" applyFont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0" xfId="1" applyFont="1"/>
    <xf numFmtId="43" fontId="2" fillId="0" borderId="3" xfId="1" applyFont="1" applyBorder="1"/>
    <xf numFmtId="173" fontId="0" fillId="0" borderId="0" xfId="3" applyNumberFormat="1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 shrinkToFit="1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Continuous"/>
    </xf>
    <xf numFmtId="164" fontId="2" fillId="0" borderId="5" xfId="0" applyNumberFormat="1" applyFont="1" applyBorder="1" applyAlignment="1">
      <alignment horizontal="center"/>
    </xf>
    <xf numFmtId="0" fontId="0" fillId="0" borderId="11" xfId="0" applyBorder="1"/>
    <xf numFmtId="168" fontId="0" fillId="0" borderId="11" xfId="0" applyNumberFormat="1" applyBorder="1"/>
    <xf numFmtId="168" fontId="0" fillId="0" borderId="19" xfId="0" applyNumberFormat="1" applyBorder="1"/>
    <xf numFmtId="168" fontId="0" fillId="0" borderId="15" xfId="0" applyNumberFormat="1" applyBorder="1"/>
    <xf numFmtId="168" fontId="2" fillId="0" borderId="20" xfId="0" applyNumberFormat="1" applyFont="1" applyBorder="1"/>
    <xf numFmtId="168" fontId="0" fillId="0" borderId="9" xfId="0" applyNumberFormat="1" applyBorder="1"/>
    <xf numFmtId="168" fontId="1" fillId="0" borderId="5" xfId="0" applyNumberFormat="1" applyFont="1" applyBorder="1"/>
    <xf numFmtId="168" fontId="1" fillId="0" borderId="19" xfId="0" applyNumberFormat="1" applyFont="1" applyBorder="1"/>
    <xf numFmtId="168" fontId="2" fillId="0" borderId="2" xfId="0" applyNumberFormat="1" applyFont="1" applyBorder="1"/>
    <xf numFmtId="0" fontId="0" fillId="0" borderId="17" xfId="0" applyBorder="1"/>
    <xf numFmtId="168" fontId="0" fillId="0" borderId="4" xfId="0" applyNumberFormat="1" applyBorder="1"/>
    <xf numFmtId="0" fontId="0" fillId="0" borderId="11" xfId="0" quotePrefix="1" applyBorder="1" applyAlignment="1">
      <alignment horizontal="center"/>
    </xf>
    <xf numFmtId="168" fontId="2" fillId="0" borderId="21" xfId="0" applyNumberFormat="1" applyFont="1" applyBorder="1"/>
    <xf numFmtId="0" fontId="0" fillId="4" borderId="17" xfId="0" applyFill="1" applyBorder="1"/>
    <xf numFmtId="0" fontId="0" fillId="4" borderId="10" xfId="0" applyFill="1" applyBorder="1"/>
    <xf numFmtId="0" fontId="0" fillId="0" borderId="11" xfId="0" applyBorder="1" applyAlignment="1">
      <alignment horizontal="center"/>
    </xf>
    <xf numFmtId="168" fontId="0" fillId="0" borderId="22" xfId="0" applyNumberFormat="1" applyBorder="1"/>
    <xf numFmtId="0" fontId="0" fillId="4" borderId="0" xfId="0" applyFill="1" applyBorder="1"/>
    <xf numFmtId="0" fontId="1" fillId="0" borderId="0" xfId="0" applyFont="1" applyFill="1" applyBorder="1" applyAlignment="1">
      <alignment horizontal="left"/>
    </xf>
    <xf numFmtId="168" fontId="2" fillId="0" borderId="3" xfId="0" applyNumberFormat="1" applyFont="1" applyBorder="1"/>
    <xf numFmtId="168" fontId="0" fillId="0" borderId="16" xfId="0" applyNumberFormat="1" applyBorder="1"/>
    <xf numFmtId="0" fontId="2" fillId="0" borderId="16" xfId="0" applyFont="1" applyBorder="1"/>
    <xf numFmtId="0" fontId="0" fillId="0" borderId="16" xfId="0" applyBorder="1"/>
    <xf numFmtId="14" fontId="0" fillId="0" borderId="3" xfId="0" applyNumberForma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82" fontId="0" fillId="0" borderId="3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10" xfId="0" applyFont="1" applyBorder="1" applyAlignment="1">
      <alignment horizontal="centerContinuous"/>
    </xf>
    <xf numFmtId="181" fontId="0" fillId="0" borderId="0" xfId="0" applyNumberFormat="1"/>
    <xf numFmtId="43" fontId="0" fillId="0" borderId="0" xfId="1" applyFont="1" applyAlignment="1">
      <alignment horizontal="right"/>
    </xf>
    <xf numFmtId="182" fontId="0" fillId="0" borderId="0" xfId="1" applyNumberFormat="1" applyFont="1" applyFill="1" applyAlignment="1">
      <alignment horizontal="centerContinuous"/>
    </xf>
    <xf numFmtId="182" fontId="2" fillId="0" borderId="2" xfId="0" applyNumberFormat="1" applyFont="1" applyBorder="1"/>
    <xf numFmtId="0" fontId="0" fillId="0" borderId="0" xfId="0" applyAlignment="1">
      <alignment wrapText="1"/>
    </xf>
    <xf numFmtId="43" fontId="0" fillId="0" borderId="3" xfId="1" applyFont="1" applyBorder="1" applyAlignment="1">
      <alignment wrapText="1"/>
    </xf>
    <xf numFmtId="182" fontId="0" fillId="0" borderId="5" xfId="1" applyNumberFormat="1" applyFont="1" applyFill="1" applyBorder="1"/>
    <xf numFmtId="10" fontId="0" fillId="0" borderId="0" xfId="3" applyNumberFormat="1" applyFont="1" applyFill="1" applyBorder="1"/>
    <xf numFmtId="43" fontId="3" fillId="0" borderId="0" xfId="1" applyFont="1" applyFill="1"/>
    <xf numFmtId="173" fontId="3" fillId="0" borderId="0" xfId="3" applyNumberFormat="1" applyFont="1" applyFill="1"/>
    <xf numFmtId="173" fontId="3" fillId="0" borderId="3" xfId="3" applyNumberFormat="1" applyFont="1" applyFill="1" applyBorder="1"/>
    <xf numFmtId="173" fontId="3" fillId="0" borderId="0" xfId="1" applyNumberFormat="1" applyFont="1" applyFill="1" applyBorder="1"/>
    <xf numFmtId="43" fontId="0" fillId="0" borderId="5" xfId="1" applyFont="1" applyFill="1" applyBorder="1"/>
    <xf numFmtId="180" fontId="2" fillId="0" borderId="5" xfId="1" applyNumberFormat="1" applyFont="1" applyFill="1" applyBorder="1"/>
    <xf numFmtId="180" fontId="2" fillId="0" borderId="0" xfId="1" applyNumberFormat="1" applyFont="1" applyFill="1" applyBorder="1"/>
    <xf numFmtId="180" fontId="3" fillId="0" borderId="0" xfId="1" applyNumberFormat="1" applyFont="1" applyBorder="1" applyAlignment="1">
      <alignment horizontal="center"/>
    </xf>
    <xf numFmtId="180" fontId="2" fillId="0" borderId="5" xfId="1" applyNumberFormat="1" applyFont="1" applyBorder="1"/>
    <xf numFmtId="43" fontId="3" fillId="0" borderId="10" xfId="1" applyFont="1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180" fontId="0" fillId="0" borderId="11" xfId="1" applyNumberFormat="1" applyFont="1" applyBorder="1"/>
    <xf numFmtId="2" fontId="0" fillId="0" borderId="0" xfId="0" applyNumberFormat="1" applyFill="1" applyBorder="1" applyAlignment="1">
      <alignment horizontal="center"/>
    </xf>
    <xf numFmtId="180" fontId="0" fillId="0" borderId="0" xfId="1" applyNumberFormat="1" applyFont="1" applyBorder="1"/>
    <xf numFmtId="0" fontId="3" fillId="0" borderId="0" xfId="0" applyFont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180" fontId="2" fillId="0" borderId="15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80" fontId="2" fillId="0" borderId="3" xfId="1" applyNumberFormat="1" applyFont="1" applyBorder="1" applyAlignment="1">
      <alignment horizontal="center" wrapText="1"/>
    </xf>
    <xf numFmtId="180" fontId="2" fillId="0" borderId="15" xfId="1" applyNumberFormat="1" applyFont="1" applyBorder="1" applyAlignment="1">
      <alignment horizontal="center" wrapText="1"/>
    </xf>
    <xf numFmtId="182" fontId="0" fillId="0" borderId="10" xfId="1" applyNumberFormat="1" applyFont="1" applyBorder="1"/>
    <xf numFmtId="182" fontId="0" fillId="0" borderId="19" xfId="1" applyNumberFormat="1" applyFont="1" applyBorder="1"/>
    <xf numFmtId="43" fontId="0" fillId="0" borderId="19" xfId="1" applyFont="1" applyBorder="1" applyAlignment="1">
      <alignment horizontal="centerContinuous"/>
    </xf>
    <xf numFmtId="0" fontId="0" fillId="0" borderId="15" xfId="0" applyBorder="1" applyAlignment="1">
      <alignment horizontal="centerContinuous"/>
    </xf>
    <xf numFmtId="181" fontId="0" fillId="0" borderId="0" xfId="1" applyNumberFormat="1" applyFont="1" applyFill="1"/>
    <xf numFmtId="43" fontId="0" fillId="0" borderId="0" xfId="1" applyFont="1" applyFill="1" applyBorder="1"/>
    <xf numFmtId="186" fontId="0" fillId="0" borderId="0" xfId="1" applyNumberFormat="1" applyFont="1"/>
    <xf numFmtId="182" fontId="0" fillId="0" borderId="8" xfId="1" applyNumberFormat="1" applyFont="1" applyBorder="1"/>
    <xf numFmtId="182" fontId="0" fillId="0" borderId="7" xfId="1" applyNumberFormat="1" applyFont="1" applyBorder="1"/>
    <xf numFmtId="182" fontId="0" fillId="0" borderId="9" xfId="1" applyNumberFormat="1" applyFont="1" applyBorder="1"/>
    <xf numFmtId="0" fontId="0" fillId="4" borderId="14" xfId="0" applyFill="1" applyBorder="1"/>
    <xf numFmtId="10" fontId="0" fillId="0" borderId="0" xfId="3" applyNumberFormat="1" applyFont="1" applyFill="1"/>
    <xf numFmtId="182" fontId="0" fillId="0" borderId="0" xfId="1" applyNumberFormat="1" applyFont="1" applyFill="1" applyBorder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182" fontId="0" fillId="4" borderId="3" xfId="1" applyNumberFormat="1" applyFont="1" applyFill="1" applyBorder="1"/>
    <xf numFmtId="182" fontId="0" fillId="0" borderId="7" xfId="0" applyNumberFormat="1" applyBorder="1" applyAlignment="1">
      <alignment vertical="center"/>
    </xf>
    <xf numFmtId="0" fontId="0" fillId="0" borderId="7" xfId="0" applyBorder="1" applyAlignment="1"/>
    <xf numFmtId="0" fontId="10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43" fontId="11" fillId="0" borderId="0" xfId="1" applyFont="1"/>
    <xf numFmtId="43" fontId="11" fillId="0" borderId="0" xfId="0" applyNumberFormat="1" applyFont="1"/>
    <xf numFmtId="167" fontId="11" fillId="0" borderId="0" xfId="0" applyNumberFormat="1" applyFont="1"/>
    <xf numFmtId="0" fontId="11" fillId="0" borderId="3" xfId="0" applyFont="1" applyBorder="1" applyAlignment="1">
      <alignment horizontal="centerContinuous"/>
    </xf>
    <xf numFmtId="43" fontId="11" fillId="3" borderId="2" xfId="0" applyNumberFormat="1" applyFont="1" applyFill="1" applyBorder="1"/>
    <xf numFmtId="10" fontId="11" fillId="0" borderId="2" xfId="3" applyNumberFormat="1" applyFont="1" applyBorder="1" applyAlignment="1">
      <alignment horizontal="right"/>
    </xf>
    <xf numFmtId="0" fontId="10" fillId="0" borderId="0" xfId="0" quotePrefix="1" applyFont="1" applyAlignment="1">
      <alignment horizontal="center"/>
    </xf>
    <xf numFmtId="43" fontId="10" fillId="2" borderId="8" xfId="1" applyFont="1" applyFill="1" applyBorder="1" applyAlignment="1">
      <alignment horizontal="centerContinuous"/>
    </xf>
    <xf numFmtId="43" fontId="10" fillId="2" borderId="7" xfId="1" applyFont="1" applyFill="1" applyBorder="1" applyAlignment="1">
      <alignment horizontal="centerContinuous"/>
    </xf>
    <xf numFmtId="43" fontId="10" fillId="2" borderId="9" xfId="1" applyFont="1" applyFill="1" applyBorder="1" applyAlignment="1">
      <alignment horizontal="centerContinuous"/>
    </xf>
    <xf numFmtId="43" fontId="11" fillId="2" borderId="0" xfId="1" applyFont="1" applyFill="1" applyBorder="1" applyAlignment="1">
      <alignment horizontal="centerContinuous"/>
    </xf>
    <xf numFmtId="43" fontId="11" fillId="2" borderId="11" xfId="1" applyFont="1" applyFill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43" fontId="11" fillId="2" borderId="12" xfId="1" applyFont="1" applyFill="1" applyBorder="1" applyAlignment="1">
      <alignment horizontal="center"/>
    </xf>
    <xf numFmtId="43" fontId="11" fillId="2" borderId="1" xfId="1" applyFont="1" applyFill="1" applyBorder="1" applyAlignment="1">
      <alignment horizontal="center"/>
    </xf>
    <xf numFmtId="43" fontId="11" fillId="2" borderId="13" xfId="1" applyFont="1" applyFill="1" applyBorder="1" applyAlignment="1">
      <alignment horizontal="center"/>
    </xf>
    <xf numFmtId="43" fontId="11" fillId="0" borderId="0" xfId="1" applyNumberFormat="1" applyFont="1"/>
    <xf numFmtId="0" fontId="11" fillId="0" borderId="0" xfId="0" applyFont="1" applyFill="1" applyAlignment="1">
      <alignment horizontal="right"/>
    </xf>
    <xf numFmtId="0" fontId="11" fillId="0" borderId="0" xfId="0" applyFont="1" applyFill="1"/>
    <xf numFmtId="173" fontId="11" fillId="0" borderId="0" xfId="3" applyNumberFormat="1" applyFont="1"/>
    <xf numFmtId="173" fontId="11" fillId="0" borderId="5" xfId="1" applyNumberFormat="1" applyFont="1" applyBorder="1"/>
    <xf numFmtId="0" fontId="11" fillId="0" borderId="3" xfId="0" applyFont="1" applyBorder="1" applyAlignment="1">
      <alignment horizontal="center"/>
    </xf>
    <xf numFmtId="173" fontId="11" fillId="0" borderId="0" xfId="3" applyNumberFormat="1" applyFont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182" fontId="9" fillId="6" borderId="0" xfId="1" applyNumberFormat="1" applyFont="1" applyFill="1"/>
    <xf numFmtId="0" fontId="1" fillId="0" borderId="0" xfId="0" applyFont="1" applyFill="1" applyBorder="1"/>
    <xf numFmtId="0" fontId="0" fillId="0" borderId="7" xfId="0" applyNumberFormat="1" applyBorder="1"/>
    <xf numFmtId="0" fontId="0" fillId="0" borderId="8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3" fontId="0" fillId="0" borderId="10" xfId="1" applyFont="1" applyFill="1" applyBorder="1"/>
    <xf numFmtId="43" fontId="0" fillId="0" borderId="11" xfId="1" applyFont="1" applyFill="1" applyBorder="1"/>
    <xf numFmtId="43" fontId="0" fillId="0" borderId="17" xfId="1" applyFont="1" applyFill="1" applyBorder="1"/>
    <xf numFmtId="43" fontId="0" fillId="0" borderId="11" xfId="1" applyFont="1" applyBorder="1"/>
    <xf numFmtId="43" fontId="0" fillId="0" borderId="17" xfId="1" applyFont="1" applyBorder="1"/>
    <xf numFmtId="43" fontId="0" fillId="0" borderId="19" xfId="1" applyFont="1" applyBorder="1"/>
    <xf numFmtId="43" fontId="0" fillId="0" borderId="5" xfId="1" applyFont="1" applyBorder="1"/>
    <xf numFmtId="43" fontId="0" fillId="0" borderId="15" xfId="1" applyFont="1" applyBorder="1"/>
    <xf numFmtId="43" fontId="0" fillId="0" borderId="4" xfId="1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182" fontId="14" fillId="0" borderId="0" xfId="1" applyNumberFormat="1" applyFont="1"/>
    <xf numFmtId="164" fontId="14" fillId="0" borderId="1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164" fontId="14" fillId="0" borderId="11" xfId="0" applyNumberFormat="1" applyFont="1" applyFill="1" applyBorder="1"/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164" fontId="14" fillId="0" borderId="11" xfId="0" applyNumberFormat="1" applyFont="1" applyBorder="1" applyAlignment="1">
      <alignment horizontal="centerContinuous"/>
    </xf>
    <xf numFmtId="10" fontId="14" fillId="0" borderId="0" xfId="0" applyNumberFormat="1" applyFont="1" applyFill="1" applyAlignment="1">
      <alignment horizontal="center"/>
    </xf>
    <xf numFmtId="0" fontId="14" fillId="0" borderId="0" xfId="0" applyFont="1" applyBorder="1" applyAlignment="1">
      <alignment horizontal="center"/>
    </xf>
    <xf numFmtId="9" fontId="14" fillId="0" borderId="11" xfId="0" applyNumberFormat="1" applyFont="1" applyBorder="1" applyAlignment="1">
      <alignment horizontal="center"/>
    </xf>
    <xf numFmtId="0" fontId="0" fillId="0" borderId="0" xfId="2" applyNumberFormat="1" applyFont="1"/>
    <xf numFmtId="0" fontId="0" fillId="6" borderId="0" xfId="0" applyFill="1"/>
    <xf numFmtId="3" fontId="0" fillId="0" borderId="5" xfId="0" applyNumberFormat="1" applyBorder="1"/>
    <xf numFmtId="164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3" fontId="1" fillId="0" borderId="5" xfId="1" applyFont="1" applyFill="1" applyBorder="1"/>
    <xf numFmtId="43" fontId="1" fillId="0" borderId="0" xfId="1" applyFont="1" applyFill="1"/>
    <xf numFmtId="182" fontId="3" fillId="0" borderId="5" xfId="1" applyNumberFormat="1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3" fontId="0" fillId="0" borderId="0" xfId="0" applyNumberFormat="1"/>
    <xf numFmtId="0" fontId="1" fillId="0" borderId="19" xfId="0" applyFon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177" fontId="0" fillId="0" borderId="9" xfId="0" applyNumberFormat="1" applyBorder="1"/>
    <xf numFmtId="0" fontId="1" fillId="0" borderId="11" xfId="0" applyFont="1" applyBorder="1" applyAlignment="1">
      <alignment horizontal="left"/>
    </xf>
    <xf numFmtId="177" fontId="0" fillId="0" borderId="11" xfId="0" applyNumberFormat="1" applyBorder="1"/>
    <xf numFmtId="177" fontId="0" fillId="0" borderId="16" xfId="0" applyNumberFormat="1" applyBorder="1"/>
    <xf numFmtId="43" fontId="3" fillId="0" borderId="0" xfId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82" fontId="3" fillId="0" borderId="0" xfId="1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43" fontId="3" fillId="0" borderId="3" xfId="1" applyFont="1" applyBorder="1" applyAlignment="1">
      <alignment horizontal="center" wrapText="1"/>
    </xf>
    <xf numFmtId="43" fontId="3" fillId="0" borderId="5" xfId="1" applyFont="1" applyBorder="1"/>
    <xf numFmtId="187" fontId="0" fillId="0" borderId="0" xfId="1" applyNumberFormat="1" applyFont="1"/>
    <xf numFmtId="0" fontId="3" fillId="0" borderId="1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80" fontId="2" fillId="0" borderId="15" xfId="1" applyNumberFormat="1" applyFont="1" applyFill="1" applyBorder="1" applyAlignment="1">
      <alignment horizontal="center" wrapText="1"/>
    </xf>
    <xf numFmtId="180" fontId="2" fillId="0" borderId="5" xfId="1" applyNumberFormat="1" applyFont="1" applyBorder="1" applyAlignment="1">
      <alignment horizontal="center" wrapText="1"/>
    </xf>
    <xf numFmtId="0" fontId="0" fillId="0" borderId="0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182" fontId="2" fillId="0" borderId="7" xfId="1" applyNumberFormat="1" applyFont="1" applyBorder="1"/>
    <xf numFmtId="43" fontId="2" fillId="0" borderId="0" xfId="1" applyFont="1" applyBorder="1"/>
    <xf numFmtId="180" fontId="9" fillId="0" borderId="0" xfId="1" applyNumberFormat="1" applyFont="1" applyFill="1" applyAlignment="1">
      <alignment horizontal="right"/>
    </xf>
    <xf numFmtId="180" fontId="1" fillId="0" borderId="0" xfId="1" applyNumberFormat="1" applyFont="1" applyFill="1"/>
    <xf numFmtId="43" fontId="1" fillId="0" borderId="0" xfId="1" applyFont="1"/>
    <xf numFmtId="43" fontId="1" fillId="0" borderId="0" xfId="0" applyNumberFormat="1" applyFont="1"/>
    <xf numFmtId="0" fontId="15" fillId="0" borderId="0" xfId="0" applyNumberFormat="1" applyFont="1" applyFill="1" applyBorder="1" applyAlignment="1" applyProtection="1">
      <protection locked="0"/>
    </xf>
    <xf numFmtId="49" fontId="2" fillId="0" borderId="3" xfId="0" applyNumberFormat="1" applyFont="1" applyFill="1" applyBorder="1" applyAlignment="1" applyProtection="1">
      <alignment horizontal="center" wrapText="1"/>
    </xf>
    <xf numFmtId="43" fontId="1" fillId="0" borderId="0" xfId="1" applyFont="1" applyProtection="1">
      <protection locked="0"/>
    </xf>
    <xf numFmtId="43" fontId="1" fillId="11" borderId="0" xfId="1" applyFont="1" applyFill="1" applyProtection="1">
      <protection locked="0"/>
    </xf>
    <xf numFmtId="43" fontId="1" fillId="12" borderId="0" xfId="1" applyFont="1" applyFill="1" applyProtection="1">
      <protection locked="0"/>
    </xf>
    <xf numFmtId="43" fontId="1" fillId="9" borderId="0" xfId="1" applyFont="1" applyFill="1" applyProtection="1">
      <protection locked="0"/>
    </xf>
    <xf numFmtId="43" fontId="1" fillId="0" borderId="0" xfId="1" applyFont="1" applyFill="1" applyProtection="1">
      <protection locked="0"/>
    </xf>
    <xf numFmtId="0" fontId="15" fillId="11" borderId="0" xfId="0" applyNumberFormat="1" applyFont="1" applyFill="1" applyBorder="1" applyAlignment="1" applyProtection="1">
      <protection locked="0"/>
    </xf>
    <xf numFmtId="43" fontId="15" fillId="13" borderId="0" xfId="0" applyNumberFormat="1" applyFont="1" applyFill="1" applyBorder="1" applyAlignment="1" applyProtection="1">
      <protection locked="0"/>
    </xf>
    <xf numFmtId="43" fontId="1" fillId="10" borderId="0" xfId="1" applyFont="1" applyFill="1" applyProtection="1">
      <protection locked="0"/>
    </xf>
    <xf numFmtId="43" fontId="1" fillId="13" borderId="0" xfId="1" applyFont="1" applyFill="1" applyProtection="1">
      <protection locked="0"/>
    </xf>
    <xf numFmtId="43" fontId="1" fillId="6" borderId="0" xfId="1" applyFont="1" applyFill="1" applyProtection="1">
      <protection locked="0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43" fontId="15" fillId="0" borderId="0" xfId="1" applyFont="1" applyProtection="1"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17" fontId="15" fillId="0" borderId="0" xfId="0" applyNumberFormat="1" applyFont="1" applyFill="1" applyBorder="1" applyAlignment="1" applyProtection="1">
      <alignment horizontal="right"/>
      <protection locked="0"/>
    </xf>
    <xf numFmtId="43" fontId="15" fillId="12" borderId="0" xfId="1" applyFont="1" applyFill="1" applyProtection="1">
      <protection locked="0"/>
    </xf>
    <xf numFmtId="43" fontId="15" fillId="11" borderId="0" xfId="1" applyFont="1" applyFill="1" applyProtection="1">
      <protection locked="0"/>
    </xf>
    <xf numFmtId="43" fontId="15" fillId="10" borderId="0" xfId="1" applyFont="1" applyFill="1" applyProtection="1">
      <protection locked="0"/>
    </xf>
    <xf numFmtId="43" fontId="15" fillId="9" borderId="0" xfId="1" applyFont="1" applyFill="1" applyProtection="1">
      <protection locked="0"/>
    </xf>
    <xf numFmtId="43" fontId="15" fillId="6" borderId="0" xfId="1" applyFont="1" applyFill="1" applyProtection="1">
      <protection locked="0"/>
    </xf>
    <xf numFmtId="43" fontId="15" fillId="13" borderId="0" xfId="1" applyFont="1" applyFill="1" applyProtection="1">
      <protection locked="0"/>
    </xf>
    <xf numFmtId="17" fontId="15" fillId="0" borderId="0" xfId="0" applyNumberFormat="1" applyFont="1" applyFill="1" applyBorder="1" applyAlignment="1" applyProtection="1">
      <protection locked="0"/>
    </xf>
    <xf numFmtId="43" fontId="15" fillId="0" borderId="3" xfId="1" applyFont="1" applyBorder="1" applyProtection="1">
      <protection locked="0"/>
    </xf>
    <xf numFmtId="0" fontId="2" fillId="0" borderId="0" xfId="0" applyFont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80" fontId="2" fillId="0" borderId="3" xfId="1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180" fontId="10" fillId="0" borderId="0" xfId="1" applyNumberFormat="1" applyFont="1" applyFill="1" applyAlignment="1">
      <alignment horizontal="centerContinuous"/>
    </xf>
    <xf numFmtId="0" fontId="17" fillId="0" borderId="0" xfId="0" applyNumberFormat="1" applyFont="1" applyFill="1" applyBorder="1" applyAlignment="1" applyProtection="1">
      <alignment horizontal="centerContinuous"/>
      <protection locked="0"/>
    </xf>
    <xf numFmtId="0" fontId="17" fillId="0" borderId="0" xfId="0" applyNumberFormat="1" applyFont="1" applyFill="1" applyBorder="1" applyAlignment="1" applyProtection="1">
      <protection locked="0"/>
    </xf>
    <xf numFmtId="43" fontId="1" fillId="0" borderId="5" xfId="0" applyNumberFormat="1" applyFont="1" applyBorder="1"/>
    <xf numFmtId="43" fontId="2" fillId="0" borderId="5" xfId="0" applyNumberFormat="1" applyFont="1" applyBorder="1"/>
    <xf numFmtId="17" fontId="15" fillId="0" borderId="0" xfId="0" applyNumberFormat="1" applyFont="1" applyFill="1" applyBorder="1" applyAlignment="1" applyProtection="1">
      <alignment horizontal="center"/>
      <protection locked="0"/>
    </xf>
    <xf numFmtId="173" fontId="0" fillId="0" borderId="0" xfId="3" applyNumberFormat="1" applyFont="1"/>
    <xf numFmtId="173" fontId="0" fillId="0" borderId="0" xfId="0" applyNumberFormat="1"/>
    <xf numFmtId="0" fontId="0" fillId="0" borderId="17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4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168" fontId="0" fillId="0" borderId="18" xfId="0" applyNumberFormat="1" applyFill="1" applyBorder="1"/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1" fillId="0" borderId="0" xfId="0" applyFont="1" applyAlignment="1">
      <alignment horizontal="centerContinuous"/>
    </xf>
    <xf numFmtId="43" fontId="0" fillId="0" borderId="0" xfId="1" applyNumberFormat="1" applyFont="1" applyBorder="1"/>
    <xf numFmtId="44" fontId="0" fillId="0" borderId="0" xfId="0" applyNumberFormat="1"/>
    <xf numFmtId="173" fontId="11" fillId="0" borderId="0" xfId="0" applyNumberFormat="1" applyFont="1"/>
    <xf numFmtId="43" fontId="0" fillId="14" borderId="0" xfId="1" applyFont="1" applyFill="1"/>
    <xf numFmtId="0" fontId="18" fillId="0" borderId="0" xfId="0" applyFont="1" applyFill="1" applyBorder="1" applyAlignment="1">
      <alignment horizontal="centerContinuous"/>
    </xf>
    <xf numFmtId="43" fontId="10" fillId="0" borderId="0" xfId="1" applyFont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168" fontId="0" fillId="0" borderId="0" xfId="0" applyNumberFormat="1"/>
    <xf numFmtId="182" fontId="0" fillId="0" borderId="0" xfId="0" applyNumberFormat="1"/>
    <xf numFmtId="177" fontId="0" fillId="0" borderId="0" xfId="2" applyNumberFormat="1" applyFont="1" applyFill="1" applyBorder="1"/>
    <xf numFmtId="0" fontId="10" fillId="0" borderId="0" xfId="0" applyFont="1" applyAlignment="1">
      <alignment horizontal="centerContinuous"/>
    </xf>
    <xf numFmtId="4" fontId="11" fillId="0" borderId="0" xfId="0" applyNumberFormat="1" applyFont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43" fontId="11" fillId="0" borderId="0" xfId="1" applyFont="1" applyFill="1" applyBorder="1" applyAlignment="1">
      <alignment horizontal="centerContinuous"/>
    </xf>
    <xf numFmtId="0" fontId="11" fillId="0" borderId="0" xfId="0" applyFont="1" applyAlignment="1">
      <alignment horizontal="centerContinuous"/>
    </xf>
    <xf numFmtId="43" fontId="11" fillId="0" borderId="0" xfId="1" applyFont="1" applyAlignment="1">
      <alignment horizontal="centerContinuous"/>
    </xf>
    <xf numFmtId="0" fontId="11" fillId="0" borderId="0" xfId="0" applyFont="1"/>
    <xf numFmtId="0" fontId="10" fillId="0" borderId="0" xfId="0" quotePrefix="1" applyFont="1" applyAlignment="1">
      <alignment horizontal="centerContinuous"/>
    </xf>
    <xf numFmtId="4" fontId="11" fillId="0" borderId="0" xfId="0" applyNumberFormat="1" applyFont="1"/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/>
    </xf>
    <xf numFmtId="43" fontId="11" fillId="0" borderId="0" xfId="1" applyFont="1" applyFill="1" applyBorder="1"/>
    <xf numFmtId="43" fontId="10" fillId="0" borderId="0" xfId="1" applyFont="1" applyAlignment="1">
      <alignment horizontal="center"/>
    </xf>
    <xf numFmtId="4" fontId="12" fillId="0" borderId="8" xfId="0" applyNumberFormat="1" applyFont="1" applyBorder="1" applyAlignment="1">
      <alignment horizontal="centerContinuous"/>
    </xf>
    <xf numFmtId="4" fontId="12" fillId="0" borderId="7" xfId="0" applyNumberFormat="1" applyFont="1" applyBorder="1" applyAlignment="1">
      <alignment horizontal="centerContinuous"/>
    </xf>
    <xf numFmtId="4" fontId="12" fillId="0" borderId="9" xfId="0" applyNumberFormat="1" applyFont="1" applyBorder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/>
    <xf numFmtId="4" fontId="13" fillId="0" borderId="10" xfId="0" applyNumberFormat="1" applyFont="1" applyBorder="1"/>
    <xf numFmtId="4" fontId="13" fillId="0" borderId="0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4" fontId="13" fillId="0" borderId="12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43" fontId="11" fillId="0" borderId="0" xfId="1" applyFont="1"/>
    <xf numFmtId="43" fontId="11" fillId="0" borderId="0" xfId="0" applyNumberFormat="1" applyFont="1"/>
    <xf numFmtId="0" fontId="11" fillId="3" borderId="0" xfId="0" applyFont="1" applyFill="1" applyAlignment="1">
      <alignment horizontal="right"/>
    </xf>
    <xf numFmtId="167" fontId="11" fillId="0" borderId="0" xfId="0" applyNumberFormat="1" applyFont="1" applyAlignment="1">
      <alignment horizontal="left"/>
    </xf>
    <xf numFmtId="43" fontId="11" fillId="0" borderId="6" xfId="1" applyFont="1" applyBorder="1"/>
    <xf numFmtId="167" fontId="11" fillId="0" borderId="0" xfId="0" applyNumberFormat="1" applyFont="1"/>
    <xf numFmtId="43" fontId="11" fillId="0" borderId="3" xfId="1" applyFont="1" applyBorder="1"/>
    <xf numFmtId="43" fontId="11" fillId="0" borderId="2" xfId="1" applyFont="1" applyBorder="1"/>
    <xf numFmtId="43" fontId="10" fillId="7" borderId="0" xfId="1" applyFont="1" applyFill="1" applyAlignment="1">
      <alignment horizontal="center"/>
    </xf>
    <xf numFmtId="0" fontId="11" fillId="7" borderId="0" xfId="0" applyFont="1" applyFill="1"/>
    <xf numFmtId="43" fontId="11" fillId="7" borderId="6" xfId="1" applyFont="1" applyFill="1" applyBorder="1"/>
    <xf numFmtId="174" fontId="11" fillId="0" borderId="0" xfId="3" applyNumberFormat="1" applyFont="1" applyAlignment="1">
      <alignment horizontal="center"/>
    </xf>
    <xf numFmtId="0" fontId="11" fillId="0" borderId="3" xfId="0" applyFont="1" applyBorder="1" applyAlignment="1">
      <alignment horizontal="centerContinuous"/>
    </xf>
    <xf numFmtId="10" fontId="11" fillId="0" borderId="0" xfId="3" applyNumberFormat="1" applyFont="1" applyAlignment="1">
      <alignment horizontal="right"/>
    </xf>
    <xf numFmtId="43" fontId="11" fillId="3" borderId="2" xfId="0" applyNumberFormat="1" applyFont="1" applyFill="1" applyBorder="1"/>
    <xf numFmtId="10" fontId="11" fillId="0" borderId="2" xfId="3" applyNumberFormat="1" applyFont="1" applyBorder="1" applyAlignment="1">
      <alignment horizontal="right"/>
    </xf>
    <xf numFmtId="43" fontId="11" fillId="6" borderId="3" xfId="1" applyFont="1" applyFill="1" applyBorder="1"/>
    <xf numFmtId="43" fontId="0" fillId="14" borderId="0" xfId="1" applyFont="1" applyFill="1"/>
    <xf numFmtId="4" fontId="11" fillId="0" borderId="0" xfId="0" applyNumberFormat="1" applyFont="1" applyAlignment="1">
      <alignment horizontal="center"/>
    </xf>
    <xf numFmtId="43" fontId="11" fillId="0" borderId="0" xfId="1" applyFont="1" applyAlignment="1">
      <alignment horizontal="center"/>
    </xf>
    <xf numFmtId="17" fontId="11" fillId="0" borderId="0" xfId="0" quotePrefix="1" applyNumberFormat="1" applyFont="1" applyAlignment="1">
      <alignment horizontal="center"/>
    </xf>
    <xf numFmtId="4" fontId="11" fillId="0" borderId="0" xfId="0" applyNumberFormat="1" applyFont="1" applyAlignment="1">
      <alignment horizontal="right"/>
    </xf>
    <xf numFmtId="43" fontId="11" fillId="8" borderId="0" xfId="1" applyFont="1" applyFill="1"/>
    <xf numFmtId="43" fontId="11" fillId="8" borderId="6" xfId="1" applyFont="1" applyFill="1" applyBorder="1"/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left"/>
    </xf>
    <xf numFmtId="176" fontId="14" fillId="0" borderId="17" xfId="0" applyNumberFormat="1" applyFont="1" applyFill="1" applyBorder="1"/>
    <xf numFmtId="43" fontId="0" fillId="0" borderId="0" xfId="1" applyNumberFormat="1" applyFont="1" applyFill="1"/>
    <xf numFmtId="169" fontId="0" fillId="14" borderId="0" xfId="0" applyNumberFormat="1" applyFill="1"/>
    <xf numFmtId="0" fontId="0" fillId="14" borderId="0" xfId="0" applyFill="1"/>
    <xf numFmtId="10" fontId="0" fillId="14" borderId="0" xfId="3" applyNumberFormat="1" applyFont="1" applyFill="1"/>
    <xf numFmtId="43" fontId="0" fillId="4" borderId="10" xfId="1" applyFont="1" applyFill="1" applyBorder="1"/>
    <xf numFmtId="182" fontId="0" fillId="14" borderId="0" xfId="0" applyNumberFormat="1" applyFill="1"/>
    <xf numFmtId="182" fontId="11" fillId="0" borderId="0" xfId="0" applyNumberFormat="1" applyFont="1"/>
    <xf numFmtId="182" fontId="11" fillId="0" borderId="0" xfId="3" applyNumberFormat="1" applyFont="1"/>
    <xf numFmtId="182" fontId="11" fillId="0" borderId="0" xfId="1" applyNumberFormat="1" applyFont="1"/>
    <xf numFmtId="182" fontId="11" fillId="0" borderId="6" xfId="0" applyNumberFormat="1" applyFont="1" applyBorder="1"/>
    <xf numFmtId="182" fontId="11" fillId="0" borderId="6" xfId="3" applyNumberFormat="1" applyFont="1" applyBorder="1"/>
    <xf numFmtId="182" fontId="11" fillId="0" borderId="0" xfId="1" applyNumberFormat="1" applyFont="1" applyFill="1"/>
    <xf numFmtId="182" fontId="11" fillId="0" borderId="2" xfId="0" applyNumberFormat="1" applyFont="1" applyBorder="1"/>
    <xf numFmtId="182" fontId="11" fillId="0" borderId="2" xfId="3" applyNumberFormat="1" applyFont="1" applyBorder="1"/>
    <xf numFmtId="43" fontId="11" fillId="0" borderId="0" xfId="1" applyFont="1" applyBorder="1"/>
    <xf numFmtId="182" fontId="11" fillId="0" borderId="0" xfId="0" applyNumberFormat="1" applyFont="1" applyBorder="1"/>
    <xf numFmtId="182" fontId="11" fillId="0" borderId="0" xfId="3" applyNumberFormat="1" applyFont="1" applyBorder="1"/>
    <xf numFmtId="43" fontId="11" fillId="3" borderId="0" xfId="0" applyNumberFormat="1" applyFont="1" applyFill="1" applyBorder="1"/>
    <xf numFmtId="10" fontId="11" fillId="0" borderId="0" xfId="3" applyNumberFormat="1" applyFont="1" applyBorder="1" applyAlignment="1">
      <alignment horizontal="right"/>
    </xf>
    <xf numFmtId="0" fontId="11" fillId="0" borderId="0" xfId="0" quotePrefix="1" applyFont="1" applyAlignment="1">
      <alignment horizontal="center"/>
    </xf>
    <xf numFmtId="175" fontId="11" fillId="0" borderId="0" xfId="0" applyNumberFormat="1" applyFont="1"/>
    <xf numFmtId="3" fontId="11" fillId="0" borderId="0" xfId="0" quotePrefix="1" applyNumberFormat="1" applyFont="1"/>
    <xf numFmtId="170" fontId="11" fillId="0" borderId="0" xfId="0" applyNumberFormat="1" applyFont="1"/>
    <xf numFmtId="168" fontId="11" fillId="0" borderId="0" xfId="0" quotePrefix="1" applyNumberFormat="1" applyFont="1" applyAlignment="1">
      <alignment horizontal="center"/>
    </xf>
    <xf numFmtId="0" fontId="11" fillId="0" borderId="0" xfId="0" quotePrefix="1" applyFont="1"/>
    <xf numFmtId="183" fontId="11" fillId="0" borderId="0" xfId="2" applyNumberFormat="1" applyFont="1"/>
    <xf numFmtId="177" fontId="11" fillId="0" borderId="0" xfId="2" applyNumberFormat="1" applyFont="1" applyFill="1"/>
    <xf numFmtId="44" fontId="11" fillId="0" borderId="0" xfId="2" applyNumberFormat="1" applyFont="1"/>
    <xf numFmtId="177" fontId="11" fillId="0" borderId="0" xfId="2" applyNumberFormat="1" applyFont="1"/>
    <xf numFmtId="177" fontId="11" fillId="0" borderId="0" xfId="0" applyNumberFormat="1" applyFont="1"/>
    <xf numFmtId="179" fontId="11" fillId="0" borderId="0" xfId="2" applyNumberFormat="1" applyFont="1"/>
    <xf numFmtId="182" fontId="11" fillId="0" borderId="0" xfId="1" quotePrefix="1" applyNumberFormat="1" applyFont="1" applyAlignment="1">
      <alignment horizontal="centerContinuous"/>
    </xf>
    <xf numFmtId="181" fontId="11" fillId="0" borderId="3" xfId="1" applyNumberFormat="1" applyFont="1" applyFill="1" applyBorder="1"/>
    <xf numFmtId="177" fontId="11" fillId="0" borderId="3" xfId="2" applyNumberFormat="1" applyFont="1" applyFill="1" applyBorder="1"/>
    <xf numFmtId="182" fontId="11" fillId="0" borderId="0" xfId="1" applyNumberFormat="1" applyFont="1" applyFill="1" applyBorder="1"/>
    <xf numFmtId="175" fontId="11" fillId="0" borderId="0" xfId="0" applyNumberFormat="1" applyFont="1" applyAlignment="1">
      <alignment horizontal="center"/>
    </xf>
    <xf numFmtId="175" fontId="11" fillId="0" borderId="0" xfId="0" quotePrefix="1" applyNumberFormat="1" applyFont="1" applyAlignment="1">
      <alignment horizontal="center"/>
    </xf>
    <xf numFmtId="44" fontId="11" fillId="0" borderId="0" xfId="2" applyNumberFormat="1" applyFont="1" applyFill="1"/>
    <xf numFmtId="177" fontId="11" fillId="0" borderId="3" xfId="0" applyNumberFormat="1" applyFont="1" applyBorder="1"/>
    <xf numFmtId="182" fontId="11" fillId="0" borderId="5" xfId="0" applyNumberFormat="1" applyFont="1" applyBorder="1"/>
    <xf numFmtId="177" fontId="11" fillId="0" borderId="5" xfId="2" applyNumberFormat="1" applyFont="1" applyBorder="1" applyAlignment="1">
      <alignment horizontal="right"/>
    </xf>
    <xf numFmtId="177" fontId="11" fillId="0" borderId="0" xfId="2" applyNumberFormat="1" applyFont="1" applyBorder="1" applyAlignment="1">
      <alignment horizontal="right"/>
    </xf>
    <xf numFmtId="182" fontId="11" fillId="0" borderId="3" xfId="1" applyNumberFormat="1" applyFont="1" applyFill="1" applyBorder="1"/>
    <xf numFmtId="177" fontId="11" fillId="0" borderId="0" xfId="2" applyNumberFormat="1" applyFont="1" applyBorder="1"/>
    <xf numFmtId="177" fontId="11" fillId="0" borderId="0" xfId="2" applyNumberFormat="1" applyFont="1" applyFill="1" applyBorder="1"/>
    <xf numFmtId="177" fontId="11" fillId="0" borderId="0" xfId="0" applyNumberFormat="1" applyFont="1" applyBorder="1"/>
    <xf numFmtId="182" fontId="11" fillId="0" borderId="0" xfId="1" applyNumberFormat="1" applyFont="1" applyBorder="1"/>
    <xf numFmtId="177" fontId="11" fillId="0" borderId="6" xfId="2" applyNumberFormat="1" applyFont="1" applyBorder="1"/>
    <xf numFmtId="182" fontId="11" fillId="0" borderId="6" xfId="1" applyNumberFormat="1" applyFont="1" applyBorder="1"/>
    <xf numFmtId="177" fontId="11" fillId="0" borderId="2" xfId="2" applyNumberFormat="1" applyFont="1" applyBorder="1"/>
    <xf numFmtId="177" fontId="11" fillId="0" borderId="2" xfId="0" applyNumberFormat="1" applyFont="1" applyBorder="1"/>
    <xf numFmtId="177" fontId="11" fillId="0" borderId="0" xfId="0" quotePrefix="1" applyNumberFormat="1" applyFont="1" applyAlignment="1">
      <alignment horizontal="center"/>
    </xf>
    <xf numFmtId="172" fontId="11" fillId="0" borderId="0" xfId="3" applyNumberFormat="1" applyFont="1"/>
    <xf numFmtId="172" fontId="11" fillId="0" borderId="2" xfId="3" applyNumberFormat="1" applyFont="1" applyBorder="1"/>
    <xf numFmtId="0" fontId="11" fillId="15" borderId="0" xfId="0" applyFont="1" applyFill="1"/>
    <xf numFmtId="182" fontId="11" fillId="0" borderId="0" xfId="0" applyNumberFormat="1" applyFont="1" applyFill="1" applyBorder="1"/>
    <xf numFmtId="173" fontId="11" fillId="0" borderId="0" xfId="3" applyNumberFormat="1" applyFont="1" applyFill="1" applyBorder="1" applyAlignment="1">
      <alignment horizontal="right"/>
    </xf>
    <xf numFmtId="42" fontId="11" fillId="0" borderId="2" xfId="0" applyNumberFormat="1" applyFont="1" applyBorder="1"/>
    <xf numFmtId="173" fontId="11" fillId="0" borderId="2" xfId="3" applyNumberFormat="1" applyFont="1" applyFill="1" applyBorder="1" applyAlignment="1">
      <alignment horizontal="right"/>
    </xf>
    <xf numFmtId="0" fontId="11" fillId="0" borderId="0" xfId="0" quotePrefix="1" applyFont="1" applyAlignment="1">
      <alignment horizontal="left"/>
    </xf>
    <xf numFmtId="182" fontId="11" fillId="0" borderId="0" xfId="1" applyNumberFormat="1" applyFont="1" applyAlignment="1">
      <alignment horizontal="centerContinuous"/>
    </xf>
    <xf numFmtId="182" fontId="11" fillId="0" borderId="0" xfId="1" applyNumberFormat="1" applyFont="1" applyAlignment="1">
      <alignment horizontal="center"/>
    </xf>
    <xf numFmtId="182" fontId="11" fillId="0" borderId="0" xfId="1" quotePrefix="1" applyNumberFormat="1" applyFont="1" applyAlignment="1">
      <alignment horizontal="center"/>
    </xf>
    <xf numFmtId="182" fontId="10" fillId="0" borderId="0" xfId="1" applyNumberFormat="1" applyFont="1" applyAlignment="1">
      <alignment horizontal="center"/>
    </xf>
    <xf numFmtId="0" fontId="10" fillId="0" borderId="0" xfId="0" applyFont="1" applyBorder="1"/>
    <xf numFmtId="182" fontId="10" fillId="0" borderId="1" xfId="1" applyNumberFormat="1" applyFont="1" applyBorder="1" applyAlignment="1">
      <alignment horizontal="center"/>
    </xf>
    <xf numFmtId="43" fontId="10" fillId="0" borderId="0" xfId="1" applyFont="1" applyBorder="1" applyAlignment="1">
      <alignment horizontal="center"/>
    </xf>
    <xf numFmtId="174" fontId="11" fillId="0" borderId="0" xfId="3" applyNumberFormat="1" applyFont="1"/>
    <xf numFmtId="182" fontId="11" fillId="0" borderId="2" xfId="1" applyNumberFormat="1" applyFont="1" applyBorder="1"/>
    <xf numFmtId="178" fontId="11" fillId="0" borderId="2" xfId="3" applyNumberFormat="1" applyFont="1" applyBorder="1"/>
    <xf numFmtId="174" fontId="11" fillId="0" borderId="0" xfId="1" applyNumberFormat="1" applyFont="1"/>
    <xf numFmtId="182" fontId="11" fillId="0" borderId="3" xfId="1" applyNumberFormat="1" applyFont="1" applyBorder="1"/>
    <xf numFmtId="174" fontId="11" fillId="0" borderId="0" xfId="1" applyNumberFormat="1" applyFont="1" applyBorder="1"/>
    <xf numFmtId="174" fontId="11" fillId="0" borderId="2" xfId="3" applyNumberFormat="1" applyFont="1" applyBorder="1"/>
    <xf numFmtId="167" fontId="11" fillId="0" borderId="0" xfId="0" applyNumberFormat="1" applyFont="1" applyAlignment="1">
      <alignment horizontal="centerContinuous"/>
    </xf>
    <xf numFmtId="177" fontId="11" fillId="0" borderId="0" xfId="2" quotePrefix="1" applyNumberFormat="1" applyFont="1"/>
    <xf numFmtId="10" fontId="11" fillId="0" borderId="0" xfId="0" applyNumberFormat="1" applyFont="1"/>
    <xf numFmtId="0" fontId="11" fillId="0" borderId="0" xfId="0" applyFont="1" applyBorder="1"/>
    <xf numFmtId="0" fontId="11" fillId="0" borderId="0" xfId="0" quotePrefix="1" applyFont="1" applyBorder="1"/>
    <xf numFmtId="0" fontId="11" fillId="0" borderId="0" xfId="0" quotePrefix="1" applyFont="1" applyAlignment="1">
      <alignment horizontal="right"/>
    </xf>
    <xf numFmtId="0" fontId="11" fillId="0" borderId="0" xfId="0" quotePrefix="1" applyFont="1" applyAlignment="1">
      <alignment horizontal="centerContinuous"/>
    </xf>
    <xf numFmtId="174" fontId="11" fillId="0" borderId="0" xfId="0" applyNumberFormat="1" applyFont="1"/>
    <xf numFmtId="174" fontId="11" fillId="0" borderId="2" xfId="0" applyNumberFormat="1" applyFont="1" applyBorder="1"/>
    <xf numFmtId="182" fontId="11" fillId="0" borderId="0" xfId="0" applyNumberFormat="1" applyFont="1" applyBorder="1" applyAlignment="1">
      <alignment horizontal="center"/>
    </xf>
    <xf numFmtId="10" fontId="11" fillId="0" borderId="0" xfId="3" applyNumberFormat="1" applyFont="1"/>
    <xf numFmtId="42" fontId="11" fillId="0" borderId="0" xfId="0" applyNumberFormat="1" applyFont="1" applyBorder="1"/>
    <xf numFmtId="10" fontId="11" fillId="0" borderId="2" xfId="3" applyNumberFormat="1" applyFont="1" applyBorder="1"/>
    <xf numFmtId="42" fontId="11" fillId="0" borderId="0" xfId="0" applyNumberFormat="1" applyFont="1"/>
    <xf numFmtId="0" fontId="11" fillId="0" borderId="0" xfId="0" applyFont="1" applyBorder="1" applyAlignment="1">
      <alignment horizontal="center"/>
    </xf>
    <xf numFmtId="184" fontId="1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177" fontId="11" fillId="0" borderId="2" xfId="2" applyNumberFormat="1" applyFont="1" applyFill="1" applyBorder="1"/>
    <xf numFmtId="182" fontId="11" fillId="0" borderId="0" xfId="0" applyNumberFormat="1" applyFont="1" applyFill="1"/>
    <xf numFmtId="177" fontId="11" fillId="0" borderId="0" xfId="2" applyNumberFormat="1" applyFont="1" applyFill="1" applyBorder="1" applyAlignment="1">
      <alignment horizontal="centerContinuous"/>
    </xf>
    <xf numFmtId="0" fontId="11" fillId="2" borderId="10" xfId="0" applyFont="1" applyFill="1" applyBorder="1" applyAlignment="1">
      <alignment horizontal="centerContinuous"/>
    </xf>
    <xf numFmtId="0" fontId="11" fillId="2" borderId="10" xfId="0" applyFont="1" applyFill="1" applyBorder="1" applyAlignment="1">
      <alignment horizontal="left"/>
    </xf>
    <xf numFmtId="42" fontId="11" fillId="0" borderId="0" xfId="0" quotePrefix="1" applyNumberFormat="1" applyFont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3" fontId="0" fillId="0" borderId="0" xfId="0" applyNumberFormat="1" applyFill="1" applyBorder="1" applyAlignment="1">
      <alignment horizontal="center" wrapText="1"/>
    </xf>
    <xf numFmtId="43" fontId="2" fillId="0" borderId="0" xfId="1" applyFont="1" applyBorder="1" applyAlignment="1">
      <alignment wrapText="1"/>
    </xf>
    <xf numFmtId="3" fontId="0" fillId="0" borderId="0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99FFCC"/>
      <color rgb="FF53FF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</xdr:row>
      <xdr:rowOff>85725</xdr:rowOff>
    </xdr:from>
    <xdr:to>
      <xdr:col>4</xdr:col>
      <xdr:colOff>333375</xdr:colOff>
      <xdr:row>2</xdr:row>
      <xdr:rowOff>114300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3219450" y="2476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=@ROUND(D11/$D$15,20)" TargetMode="External"/><Relationship Id="rId1" Type="http://schemas.openxmlformats.org/officeDocument/2006/relationships/hyperlink" Target="mailto:=@ROUND(D11/$D$15,20)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workbookViewId="0">
      <selection activeCell="O38" sqref="O38"/>
    </sheetView>
  </sheetViews>
  <sheetFormatPr defaultRowHeight="13.2" x14ac:dyDescent="0.25"/>
  <cols>
    <col min="1" max="1" width="9" bestFit="1" customWidth="1"/>
    <col min="2" max="2" width="11.5546875" bestFit="1" customWidth="1"/>
    <col min="3" max="3" width="22.109375" bestFit="1" customWidth="1"/>
    <col min="4" max="4" width="19.33203125" customWidth="1"/>
    <col min="5" max="5" width="15" bestFit="1" customWidth="1"/>
    <col min="6" max="6" width="10.5546875" bestFit="1" customWidth="1"/>
    <col min="7" max="7" width="12.33203125" bestFit="1" customWidth="1"/>
    <col min="8" max="8" width="4.6640625" customWidth="1"/>
    <col min="9" max="9" width="19.33203125" customWidth="1"/>
    <col min="10" max="10" width="17.6640625" customWidth="1"/>
    <col min="11" max="11" width="15.5546875" bestFit="1" customWidth="1"/>
    <col min="12" max="12" width="12.33203125" customWidth="1"/>
    <col min="13" max="13" width="12.88671875" bestFit="1" customWidth="1"/>
    <col min="14" max="14" width="7.5546875" bestFit="1" customWidth="1"/>
    <col min="15" max="15" width="8.33203125" bestFit="1" customWidth="1"/>
  </cols>
  <sheetData>
    <row r="1" spans="1:15" ht="15.6" x14ac:dyDescent="0.3">
      <c r="A1" s="352" t="s">
        <v>81</v>
      </c>
      <c r="B1" s="352"/>
      <c r="C1" s="352"/>
      <c r="D1" s="352"/>
      <c r="E1" s="352"/>
      <c r="F1" s="352"/>
      <c r="G1" s="352"/>
      <c r="H1" s="352"/>
      <c r="I1" s="352"/>
      <c r="J1" s="352"/>
      <c r="K1" s="356"/>
      <c r="L1" s="358"/>
    </row>
    <row r="2" spans="1:15" ht="15.6" x14ac:dyDescent="0.3">
      <c r="A2" s="352" t="s">
        <v>508</v>
      </c>
      <c r="B2" s="352"/>
      <c r="C2" s="352"/>
      <c r="D2" s="352"/>
      <c r="E2" s="352"/>
      <c r="F2" s="352"/>
      <c r="G2" s="352"/>
      <c r="H2" s="352"/>
      <c r="I2" s="352"/>
      <c r="J2" s="352"/>
      <c r="K2" s="356"/>
      <c r="L2" s="358"/>
    </row>
    <row r="3" spans="1:15" ht="15.6" x14ac:dyDescent="0.3">
      <c r="A3" s="352" t="s">
        <v>82</v>
      </c>
      <c r="B3" s="352"/>
      <c r="C3" s="352"/>
      <c r="D3" s="352"/>
      <c r="E3" s="352"/>
      <c r="F3" s="352"/>
      <c r="G3" s="352"/>
      <c r="H3" s="352"/>
      <c r="I3" s="352"/>
      <c r="J3" s="352"/>
      <c r="K3" s="356"/>
      <c r="L3" s="358"/>
    </row>
    <row r="4" spans="1:15" ht="15" x14ac:dyDescent="0.25">
      <c r="A4" s="356"/>
      <c r="B4" s="356"/>
      <c r="C4" s="356"/>
      <c r="D4" s="356"/>
      <c r="E4" s="356"/>
      <c r="F4" s="356"/>
      <c r="G4" s="356"/>
      <c r="H4" s="356"/>
      <c r="I4" s="356"/>
      <c r="J4" s="356"/>
      <c r="K4" s="358"/>
      <c r="L4" s="358"/>
      <c r="N4" s="1"/>
    </row>
    <row r="5" spans="1:15" ht="15" x14ac:dyDescent="0.25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8"/>
      <c r="L5" s="358"/>
      <c r="N5" s="1"/>
    </row>
    <row r="6" spans="1:15" ht="15" x14ac:dyDescent="0.25">
      <c r="A6" s="382" t="s">
        <v>10</v>
      </c>
      <c r="B6" s="382" t="s">
        <v>11</v>
      </c>
      <c r="C6" s="382" t="s">
        <v>12</v>
      </c>
      <c r="D6" s="382" t="s">
        <v>13</v>
      </c>
      <c r="E6" s="382" t="s">
        <v>14</v>
      </c>
      <c r="F6" s="382" t="s">
        <v>15</v>
      </c>
      <c r="G6" s="382" t="s">
        <v>16</v>
      </c>
      <c r="H6" s="382" t="s">
        <v>67</v>
      </c>
      <c r="I6" s="382" t="s">
        <v>143</v>
      </c>
      <c r="J6" s="382" t="s">
        <v>144</v>
      </c>
      <c r="K6" s="382" t="s">
        <v>145</v>
      </c>
      <c r="L6" s="358"/>
    </row>
    <row r="7" spans="1:15" ht="15" x14ac:dyDescent="0.25">
      <c r="A7" s="382" t="s">
        <v>9</v>
      </c>
      <c r="B7" s="358"/>
      <c r="C7" s="358"/>
      <c r="D7" s="358"/>
      <c r="E7" s="429" t="s">
        <v>138</v>
      </c>
      <c r="F7" s="358"/>
      <c r="G7" s="358"/>
      <c r="H7" s="358"/>
      <c r="I7" s="358"/>
      <c r="J7" s="429" t="s">
        <v>139</v>
      </c>
      <c r="K7" s="358"/>
      <c r="L7" s="358"/>
    </row>
    <row r="8" spans="1:15" ht="15" x14ac:dyDescent="0.25">
      <c r="A8" s="382">
        <v>1</v>
      </c>
      <c r="B8" s="358" t="s">
        <v>155</v>
      </c>
      <c r="C8" s="358"/>
      <c r="D8" s="358"/>
      <c r="E8" s="382" t="s">
        <v>136</v>
      </c>
      <c r="F8" s="382"/>
      <c r="G8" s="430"/>
      <c r="H8" s="430"/>
      <c r="I8" s="358"/>
      <c r="J8" s="382" t="s">
        <v>137</v>
      </c>
      <c r="K8" s="358" t="s">
        <v>142</v>
      </c>
      <c r="L8" s="358"/>
    </row>
    <row r="9" spans="1:15" ht="15" x14ac:dyDescent="0.25">
      <c r="A9" s="382">
        <f>A8+1</f>
        <v>2</v>
      </c>
      <c r="B9" s="358" t="s">
        <v>132</v>
      </c>
      <c r="C9" s="358"/>
      <c r="D9" s="431" t="s">
        <v>164</v>
      </c>
      <c r="E9" s="382"/>
      <c r="F9" s="382"/>
      <c r="G9" s="358"/>
      <c r="H9" s="358"/>
      <c r="I9" s="432"/>
      <c r="J9" s="433" t="s">
        <v>159</v>
      </c>
      <c r="K9" s="434" t="s">
        <v>165</v>
      </c>
      <c r="L9" s="358"/>
    </row>
    <row r="10" spans="1:15" ht="15" x14ac:dyDescent="0.25">
      <c r="A10" s="382">
        <f t="shared" ref="A10:A53" si="0">A9+1</f>
        <v>3</v>
      </c>
      <c r="B10" s="421">
        <v>307350.75</v>
      </c>
      <c r="C10" s="358" t="s">
        <v>133</v>
      </c>
      <c r="D10" s="435">
        <f>(E10/B10)</f>
        <v>33.216392736962575</v>
      </c>
      <c r="E10" s="436">
        <v>10209083.220000001</v>
      </c>
      <c r="F10" s="421">
        <f>+fulltime!A155*2080</f>
        <v>312000</v>
      </c>
      <c r="G10" s="382" t="s">
        <v>133</v>
      </c>
      <c r="H10" s="429" t="s">
        <v>139</v>
      </c>
      <c r="I10" s="437">
        <f>ROUND(fulltime!D162,2)</f>
        <v>33.700000000000003</v>
      </c>
      <c r="J10" s="438">
        <f>ROUND(F10*I10,0)</f>
        <v>10514400</v>
      </c>
      <c r="K10" s="439">
        <f>J10-E10</f>
        <v>305316.77999999933</v>
      </c>
      <c r="L10" s="358"/>
    </row>
    <row r="11" spans="1:15" ht="15" x14ac:dyDescent="0.25">
      <c r="A11" s="382">
        <f t="shared" si="0"/>
        <v>4</v>
      </c>
      <c r="B11" s="418"/>
      <c r="C11" s="358"/>
      <c r="D11" s="440"/>
      <c r="E11" s="438"/>
      <c r="F11" s="441"/>
      <c r="G11" s="356"/>
      <c r="H11" s="429"/>
      <c r="I11" s="440"/>
      <c r="J11" s="438"/>
      <c r="K11" s="358"/>
      <c r="L11" s="358"/>
    </row>
    <row r="12" spans="1:15" ht="15" x14ac:dyDescent="0.25">
      <c r="A12" s="382">
        <f t="shared" si="0"/>
        <v>5</v>
      </c>
      <c r="B12" s="416" t="s">
        <v>134</v>
      </c>
      <c r="C12" s="358"/>
      <c r="D12" s="440"/>
      <c r="E12" s="438"/>
      <c r="F12" s="438"/>
      <c r="G12" s="358"/>
      <c r="H12" s="358"/>
      <c r="I12" s="440"/>
      <c r="J12" s="438"/>
      <c r="K12" s="358"/>
      <c r="L12" s="358"/>
    </row>
    <row r="13" spans="1:15" ht="15" x14ac:dyDescent="0.25">
      <c r="A13" s="382">
        <f t="shared" si="0"/>
        <v>6</v>
      </c>
      <c r="B13" s="442">
        <v>227.5</v>
      </c>
      <c r="C13" s="358" t="s">
        <v>133</v>
      </c>
      <c r="D13" s="435">
        <f>ROUND(E13/B13,6)</f>
        <v>7.2501100000000003</v>
      </c>
      <c r="E13" s="443">
        <v>1649.4</v>
      </c>
      <c r="F13" s="444">
        <f>ROUND(+parttime!F11,0)</f>
        <v>228</v>
      </c>
      <c r="G13" s="445" t="s">
        <v>133</v>
      </c>
      <c r="H13" s="446" t="s">
        <v>140</v>
      </c>
      <c r="I13" s="447">
        <f>ROUND(+parttime!H14,2)</f>
        <v>7.25</v>
      </c>
      <c r="J13" s="438">
        <f>ROUND(F13*I13,0)</f>
        <v>1653</v>
      </c>
      <c r="K13" s="448">
        <f>J13-E13</f>
        <v>3.5999999999999091</v>
      </c>
      <c r="L13" s="358"/>
      <c r="N13">
        <f>227.5*7.25</f>
        <v>1649.375</v>
      </c>
      <c r="O13">
        <f>228*7.25</f>
        <v>1653</v>
      </c>
    </row>
    <row r="14" spans="1:15" ht="15" x14ac:dyDescent="0.25">
      <c r="A14" s="382">
        <f t="shared" si="0"/>
        <v>7</v>
      </c>
      <c r="B14" s="449">
        <f>B10+B13</f>
        <v>307578.25</v>
      </c>
      <c r="C14" s="358" t="s">
        <v>135</v>
      </c>
      <c r="D14" s="440"/>
      <c r="E14" s="450">
        <f>SUM(E10:E13)</f>
        <v>10210732.620000001</v>
      </c>
      <c r="F14" s="451"/>
      <c r="G14" s="382"/>
      <c r="H14" s="358"/>
      <c r="I14" s="440"/>
      <c r="J14" s="450">
        <f>SUM(J10:J13)</f>
        <v>10516053</v>
      </c>
      <c r="K14" s="450">
        <f>SUM(K10:K13)</f>
        <v>305320.37999999931</v>
      </c>
      <c r="L14" s="358"/>
    </row>
    <row r="15" spans="1:15" ht="15" x14ac:dyDescent="0.25">
      <c r="A15" s="382">
        <f t="shared" si="0"/>
        <v>8</v>
      </c>
      <c r="B15" s="416" t="s">
        <v>8</v>
      </c>
      <c r="C15" s="358"/>
      <c r="D15" s="440"/>
      <c r="E15" s="438"/>
      <c r="F15" s="438"/>
      <c r="G15" s="382"/>
      <c r="H15" s="358"/>
      <c r="I15" s="440"/>
      <c r="J15" s="438"/>
      <c r="K15" s="358"/>
      <c r="L15" s="358"/>
    </row>
    <row r="16" spans="1:15" ht="15" x14ac:dyDescent="0.25">
      <c r="A16" s="382">
        <f t="shared" si="0"/>
        <v>9</v>
      </c>
      <c r="B16" s="452">
        <v>21438.57</v>
      </c>
      <c r="C16" s="358" t="s">
        <v>133</v>
      </c>
      <c r="D16" s="435">
        <f>ROUND(E16/B16,6)</f>
        <v>45.601908000000002</v>
      </c>
      <c r="E16" s="443">
        <v>977639.7</v>
      </c>
      <c r="F16" s="444">
        <f>+B16</f>
        <v>21438.57</v>
      </c>
      <c r="G16" s="382" t="s">
        <v>133</v>
      </c>
      <c r="H16" s="429" t="s">
        <v>141</v>
      </c>
      <c r="I16" s="437">
        <f>ROUND(fulltime!G162,2)</f>
        <v>47.09</v>
      </c>
      <c r="J16" s="438">
        <f>ROUND(F16*I16,0)</f>
        <v>1009542</v>
      </c>
      <c r="K16" s="439">
        <f>J16-E16</f>
        <v>31902.300000000047</v>
      </c>
      <c r="L16" s="358"/>
    </row>
    <row r="17" spans="1:13" ht="15" x14ac:dyDescent="0.25">
      <c r="A17" s="382">
        <f t="shared" si="0"/>
        <v>10</v>
      </c>
      <c r="B17" s="416" t="s">
        <v>275</v>
      </c>
      <c r="C17" s="358"/>
      <c r="D17" s="440"/>
      <c r="E17" s="438"/>
      <c r="F17" s="438"/>
      <c r="G17" s="382"/>
      <c r="H17" s="358"/>
      <c r="I17" s="440"/>
      <c r="J17" s="438"/>
      <c r="K17" s="358"/>
      <c r="L17" s="358"/>
    </row>
    <row r="18" spans="1:13" ht="15" x14ac:dyDescent="0.25">
      <c r="A18" s="382">
        <f t="shared" si="0"/>
        <v>11</v>
      </c>
      <c r="B18" s="452">
        <v>68</v>
      </c>
      <c r="C18" s="358" t="s">
        <v>133</v>
      </c>
      <c r="D18" s="435">
        <f>ROUND(E18/B18,6)</f>
        <v>61.929558999999998</v>
      </c>
      <c r="E18" s="443">
        <v>4211.21</v>
      </c>
      <c r="F18" s="444">
        <f>+B18</f>
        <v>68</v>
      </c>
      <c r="G18" s="382" t="s">
        <v>133</v>
      </c>
      <c r="H18" s="429" t="s">
        <v>266</v>
      </c>
      <c r="I18" s="447">
        <f>ROUND(fulltime!I162,2)</f>
        <v>63.15</v>
      </c>
      <c r="J18" s="438">
        <f>ROUND(F18*I18,0)</f>
        <v>4294</v>
      </c>
      <c r="K18" s="439">
        <f>J18-E18</f>
        <v>82.789999999999964</v>
      </c>
      <c r="L18" s="358"/>
    </row>
    <row r="19" spans="1:13" ht="15" x14ac:dyDescent="0.25">
      <c r="A19" s="382">
        <f t="shared" si="0"/>
        <v>12</v>
      </c>
      <c r="B19" s="418"/>
      <c r="C19" s="358"/>
      <c r="D19" s="358"/>
      <c r="E19" s="453"/>
      <c r="F19" s="382"/>
      <c r="G19" s="382"/>
      <c r="H19" s="429"/>
      <c r="I19" s="437"/>
      <c r="J19" s="437"/>
      <c r="K19" s="437"/>
      <c r="L19" s="437"/>
    </row>
    <row r="20" spans="1:13" ht="15" x14ac:dyDescent="0.25">
      <c r="A20" s="382">
        <f t="shared" si="0"/>
        <v>13</v>
      </c>
      <c r="B20" s="416"/>
      <c r="C20" s="358" t="s">
        <v>163</v>
      </c>
      <c r="D20" s="358"/>
      <c r="E20" s="453">
        <f>E14+E16+E18</f>
        <v>11192583.530000001</v>
      </c>
      <c r="F20" s="358"/>
      <c r="G20" s="358"/>
      <c r="H20" s="358"/>
      <c r="I20" s="358"/>
      <c r="J20" s="358"/>
      <c r="K20" s="358"/>
      <c r="L20" s="358"/>
    </row>
    <row r="21" spans="1:13" ht="15" x14ac:dyDescent="0.25">
      <c r="A21" s="382">
        <f t="shared" si="0"/>
        <v>14</v>
      </c>
      <c r="B21" s="416"/>
      <c r="C21" s="358" t="s">
        <v>267</v>
      </c>
      <c r="D21" s="358"/>
      <c r="E21" s="454">
        <f>ROUND(+'supmntl inc'!F173,0)</f>
        <v>16562</v>
      </c>
      <c r="F21" s="358"/>
      <c r="G21" s="358"/>
      <c r="H21" s="429" t="s">
        <v>180</v>
      </c>
      <c r="I21" s="358"/>
      <c r="J21" s="438">
        <v>0</v>
      </c>
      <c r="K21" s="455">
        <f>J21-E21</f>
        <v>-16562</v>
      </c>
      <c r="L21" s="358"/>
    </row>
    <row r="22" spans="1:13" ht="15" x14ac:dyDescent="0.25">
      <c r="A22" s="382">
        <f t="shared" si="0"/>
        <v>15</v>
      </c>
      <c r="B22" s="418">
        <v>593.4</v>
      </c>
      <c r="C22" s="358" t="s">
        <v>230</v>
      </c>
      <c r="D22" s="358"/>
      <c r="E22" s="454">
        <f>+'labor by acct detail'!F102</f>
        <v>20323.599999999999</v>
      </c>
      <c r="F22" s="358"/>
      <c r="G22" s="358"/>
      <c r="H22" s="429" t="s">
        <v>480</v>
      </c>
      <c r="I22" s="358"/>
      <c r="J22" s="438">
        <v>0</v>
      </c>
      <c r="K22" s="455">
        <f>J22-E22</f>
        <v>-20323.599999999999</v>
      </c>
      <c r="L22" s="358"/>
    </row>
    <row r="23" spans="1:13" ht="15" x14ac:dyDescent="0.25">
      <c r="A23" s="382">
        <f t="shared" si="0"/>
        <v>16</v>
      </c>
      <c r="B23" s="418"/>
      <c r="C23" s="358" t="s">
        <v>435</v>
      </c>
      <c r="D23" s="358"/>
      <c r="E23" s="454">
        <f>+'labor by acct detail'!D102</f>
        <v>58520.529999999992</v>
      </c>
      <c r="F23" s="358"/>
      <c r="G23" s="358"/>
      <c r="H23" s="429" t="s">
        <v>481</v>
      </c>
      <c r="I23" s="358"/>
      <c r="J23" s="438">
        <f>+E23</f>
        <v>58520.529999999992</v>
      </c>
      <c r="K23" s="455">
        <f t="shared" ref="K23:K28" si="1">J23-E23</f>
        <v>0</v>
      </c>
      <c r="L23" s="358"/>
    </row>
    <row r="24" spans="1:13" ht="15" x14ac:dyDescent="0.25">
      <c r="A24" s="382">
        <f t="shared" si="0"/>
        <v>17</v>
      </c>
      <c r="B24" s="418"/>
      <c r="C24" s="358" t="s">
        <v>506</v>
      </c>
      <c r="D24" s="358"/>
      <c r="E24" s="454">
        <f>+'supmntl inc'!I178-'supmntl inc'!I166</f>
        <v>5683.4499999999989</v>
      </c>
      <c r="F24" s="358"/>
      <c r="G24" s="358"/>
      <c r="H24" s="429" t="s">
        <v>482</v>
      </c>
      <c r="I24" s="358"/>
      <c r="J24" s="438">
        <v>0</v>
      </c>
      <c r="K24" s="455">
        <f t="shared" si="1"/>
        <v>-5683.4499999999989</v>
      </c>
      <c r="L24" s="358"/>
    </row>
    <row r="25" spans="1:13" ht="15" x14ac:dyDescent="0.25">
      <c r="A25" s="382">
        <f t="shared" si="0"/>
        <v>18</v>
      </c>
      <c r="B25" s="418"/>
      <c r="C25" s="358" t="s">
        <v>507</v>
      </c>
      <c r="D25" s="358"/>
      <c r="E25" s="454">
        <f>'supmntl inc'!I166</f>
        <v>14171.6</v>
      </c>
      <c r="F25" s="358"/>
      <c r="G25" s="358"/>
      <c r="H25" s="429" t="s">
        <v>482</v>
      </c>
      <c r="I25" s="358"/>
      <c r="J25" s="438">
        <f>+'supmntl inc'!I166</f>
        <v>14171.6</v>
      </c>
      <c r="K25" s="455">
        <f t="shared" si="1"/>
        <v>0</v>
      </c>
      <c r="L25" s="358"/>
    </row>
    <row r="26" spans="1:13" ht="15" x14ac:dyDescent="0.25">
      <c r="A26" s="382">
        <f t="shared" si="0"/>
        <v>19</v>
      </c>
      <c r="B26" s="418"/>
      <c r="C26" s="358" t="s">
        <v>436</v>
      </c>
      <c r="D26" s="358"/>
      <c r="E26" s="454">
        <f>-'labor by acct detail'!B107</f>
        <v>38752.43</v>
      </c>
      <c r="F26" s="358"/>
      <c r="G26" s="358"/>
      <c r="H26" s="429" t="s">
        <v>483</v>
      </c>
      <c r="I26" s="358"/>
      <c r="J26" s="438">
        <v>0</v>
      </c>
      <c r="K26" s="455">
        <f t="shared" si="1"/>
        <v>-38752.43</v>
      </c>
      <c r="L26" s="358"/>
    </row>
    <row r="27" spans="1:13" ht="15" x14ac:dyDescent="0.25">
      <c r="A27" s="382">
        <f t="shared" si="0"/>
        <v>20</v>
      </c>
      <c r="B27" s="418"/>
      <c r="C27" s="358" t="s">
        <v>505</v>
      </c>
      <c r="D27" s="358"/>
      <c r="E27" s="454">
        <f>+'supmntl inc'!K178</f>
        <v>5605.91</v>
      </c>
      <c r="F27" s="358"/>
      <c r="G27" s="358"/>
      <c r="H27" s="429" t="s">
        <v>484</v>
      </c>
      <c r="I27" s="358"/>
      <c r="J27" s="438">
        <f>+E27</f>
        <v>5605.91</v>
      </c>
      <c r="K27" s="455">
        <f t="shared" si="1"/>
        <v>0</v>
      </c>
      <c r="L27" s="358"/>
    </row>
    <row r="28" spans="1:13" ht="15" x14ac:dyDescent="0.25">
      <c r="A28" s="382">
        <f t="shared" si="0"/>
        <v>21</v>
      </c>
      <c r="B28" s="418"/>
      <c r="C28" s="358" t="s">
        <v>450</v>
      </c>
      <c r="D28" s="358"/>
      <c r="E28" s="454">
        <f>+'supmntl inc'!J178</f>
        <v>12203.689999999999</v>
      </c>
      <c r="F28" s="358"/>
      <c r="G28" s="358"/>
      <c r="H28" s="429" t="s">
        <v>485</v>
      </c>
      <c r="I28" s="358"/>
      <c r="J28" s="438">
        <v>0</v>
      </c>
      <c r="K28" s="455">
        <f t="shared" si="1"/>
        <v>-12203.689999999999</v>
      </c>
      <c r="L28" s="358"/>
    </row>
    <row r="29" spans="1:13" ht="15" x14ac:dyDescent="0.25">
      <c r="A29" s="382">
        <f t="shared" si="0"/>
        <v>22</v>
      </c>
      <c r="B29" s="452"/>
      <c r="C29" s="358" t="s">
        <v>268</v>
      </c>
      <c r="D29" s="358"/>
      <c r="E29" s="443">
        <f>+'labor by acct detail'!D124</f>
        <v>33652.909999999873</v>
      </c>
      <c r="F29" s="456"/>
      <c r="G29" s="358"/>
      <c r="H29" s="429" t="s">
        <v>480</v>
      </c>
      <c r="I29" s="358"/>
      <c r="J29" s="453">
        <v>0</v>
      </c>
      <c r="K29" s="455">
        <f>J29-E29</f>
        <v>-33652.909999999873</v>
      </c>
      <c r="L29" s="358"/>
    </row>
    <row r="30" spans="1:13" ht="15.6" thickBot="1" x14ac:dyDescent="0.3">
      <c r="A30" s="382">
        <f t="shared" si="0"/>
        <v>23</v>
      </c>
      <c r="B30" s="422">
        <f>B14+B16+B18+SUM(B22:B29)</f>
        <v>329678.22000000003</v>
      </c>
      <c r="C30" s="358" t="s">
        <v>156</v>
      </c>
      <c r="D30" s="358"/>
      <c r="E30" s="457">
        <f>SUM(E20:E29)</f>
        <v>11398059.649999999</v>
      </c>
      <c r="F30" s="458">
        <f>F10+F13+F16</f>
        <v>333666.57</v>
      </c>
      <c r="G30" s="356" t="s">
        <v>158</v>
      </c>
      <c r="H30" s="356"/>
      <c r="I30" s="356"/>
      <c r="J30" s="459">
        <f>SUM(J14:J29)</f>
        <v>11608187.039999999</v>
      </c>
      <c r="K30" s="460">
        <f>J30-E30</f>
        <v>210127.3900000006</v>
      </c>
      <c r="L30" s="358"/>
      <c r="M30" s="28">
        <f>SUM(K14:K29)</f>
        <v>210127.38999999949</v>
      </c>
    </row>
    <row r="31" spans="1:13" ht="15.6" thickTop="1" x14ac:dyDescent="0.25">
      <c r="A31" s="382">
        <f t="shared" si="0"/>
        <v>24</v>
      </c>
      <c r="B31" s="358"/>
      <c r="C31" s="358"/>
      <c r="D31" s="429" t="s">
        <v>138</v>
      </c>
      <c r="E31" s="461" t="s">
        <v>138</v>
      </c>
      <c r="F31" s="358"/>
      <c r="G31" s="358"/>
      <c r="H31" s="358"/>
      <c r="I31" s="358"/>
      <c r="J31" s="434" t="s">
        <v>166</v>
      </c>
      <c r="K31" s="358"/>
      <c r="L31" s="358"/>
    </row>
    <row r="32" spans="1:13" ht="15" x14ac:dyDescent="0.25">
      <c r="A32" s="382">
        <f t="shared" si="0"/>
        <v>25</v>
      </c>
      <c r="B32" s="358"/>
      <c r="C32" s="358" t="s">
        <v>18</v>
      </c>
      <c r="D32" s="462">
        <f>+'labor by acct detail'!S105</f>
        <v>0.32261544332420744</v>
      </c>
      <c r="E32" s="436">
        <f>ROUND(+$E$30*D32,0)</f>
        <v>3677190</v>
      </c>
      <c r="F32" s="438"/>
      <c r="G32" s="358"/>
      <c r="H32" s="358"/>
      <c r="I32" s="358"/>
      <c r="J32" s="438">
        <f>ROUND($J$30*D32,0)</f>
        <v>3744980</v>
      </c>
      <c r="K32" s="439">
        <f>J32-E32</f>
        <v>67790</v>
      </c>
      <c r="L32" s="358"/>
    </row>
    <row r="33" spans="1:12" ht="15" x14ac:dyDescent="0.25">
      <c r="A33" s="382">
        <f t="shared" si="0"/>
        <v>26</v>
      </c>
      <c r="B33" s="358"/>
      <c r="C33" s="358" t="s">
        <v>19</v>
      </c>
      <c r="D33" s="462">
        <f>+'labor by acct detail'!S106</f>
        <v>4.374446265954262E-4</v>
      </c>
      <c r="E33" s="436">
        <f>ROUND(+$E$30*D33,0)</f>
        <v>4986</v>
      </c>
      <c r="F33" s="438"/>
      <c r="G33" s="358"/>
      <c r="H33" s="358"/>
      <c r="I33" s="358"/>
      <c r="J33" s="438">
        <f>ROUND($J$30*D33,0)</f>
        <v>5078</v>
      </c>
      <c r="K33" s="439">
        <f>J33-E33</f>
        <v>92</v>
      </c>
      <c r="L33" s="358"/>
    </row>
    <row r="34" spans="1:12" ht="15" x14ac:dyDescent="0.25">
      <c r="A34" s="382">
        <f t="shared" si="0"/>
        <v>27</v>
      </c>
      <c r="B34" s="358"/>
      <c r="C34" s="358" t="s">
        <v>115</v>
      </c>
      <c r="D34" s="462">
        <f>+'labor by acct detail'!S108</f>
        <v>8.0021514047561447E-5</v>
      </c>
      <c r="E34" s="436">
        <f>+E30-E32-E33-E35</f>
        <v>912.64999999850988</v>
      </c>
      <c r="F34" s="438"/>
      <c r="G34" s="358"/>
      <c r="H34" s="358"/>
      <c r="I34" s="358"/>
      <c r="J34" s="438">
        <f>ROUND($J$30*D34,0)</f>
        <v>929</v>
      </c>
      <c r="K34" s="439">
        <f>J34-E34</f>
        <v>16.350000001490116</v>
      </c>
      <c r="L34" s="358"/>
    </row>
    <row r="35" spans="1:12" ht="15" x14ac:dyDescent="0.25">
      <c r="A35" s="382">
        <f t="shared" si="0"/>
        <v>28</v>
      </c>
      <c r="B35" s="358"/>
      <c r="C35" s="358" t="s">
        <v>70</v>
      </c>
      <c r="D35" s="462">
        <f>+'labor by acct detail'!S109</f>
        <v>0.6768670905351496</v>
      </c>
      <c r="E35" s="436">
        <f>ROUND(+$E$30*D35,0)</f>
        <v>7714971</v>
      </c>
      <c r="F35" s="438"/>
      <c r="G35" s="358"/>
      <c r="H35" s="358"/>
      <c r="I35" s="358"/>
      <c r="J35" s="438">
        <f>ROUND($J$30*D35,0)</f>
        <v>7857200</v>
      </c>
      <c r="K35" s="439">
        <f>J35-E35</f>
        <v>142229</v>
      </c>
      <c r="L35" s="434" t="s">
        <v>546</v>
      </c>
    </row>
    <row r="36" spans="1:12" ht="15.6" thickBot="1" x14ac:dyDescent="0.3">
      <c r="A36" s="382">
        <f t="shared" si="0"/>
        <v>29</v>
      </c>
      <c r="B36" s="358"/>
      <c r="C36" s="358"/>
      <c r="D36" s="463">
        <f>SUM(D32:D35)</f>
        <v>1</v>
      </c>
      <c r="E36" s="459">
        <f>SUM(E32:E35)</f>
        <v>11398059.649999999</v>
      </c>
      <c r="F36" s="438"/>
      <c r="G36" s="358"/>
      <c r="H36" s="358"/>
      <c r="I36" s="358"/>
      <c r="J36" s="460">
        <f>SUM(J32:J35)</f>
        <v>11608187</v>
      </c>
      <c r="K36" s="460">
        <f>SUM(K32:K35)</f>
        <v>210127.35000000149</v>
      </c>
      <c r="L36" s="358"/>
    </row>
    <row r="37" spans="1:12" ht="15.6" thickTop="1" x14ac:dyDescent="0.25">
      <c r="A37" s="382">
        <f t="shared" si="0"/>
        <v>30</v>
      </c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</row>
    <row r="38" spans="1:12" ht="15" x14ac:dyDescent="0.25">
      <c r="A38" s="382">
        <f t="shared" si="0"/>
        <v>31</v>
      </c>
      <c r="B38" s="434" t="s">
        <v>517</v>
      </c>
      <c r="C38" s="358"/>
      <c r="D38" s="358"/>
      <c r="E38" s="358"/>
      <c r="F38" s="358"/>
      <c r="G38" s="358"/>
      <c r="H38" s="358"/>
      <c r="I38" s="358"/>
      <c r="J38" s="395" t="s">
        <v>547</v>
      </c>
      <c r="K38" s="395"/>
      <c r="L38" s="395"/>
    </row>
    <row r="39" spans="1:12" ht="15" x14ac:dyDescent="0.25">
      <c r="A39" s="382">
        <f t="shared" si="0"/>
        <v>32</v>
      </c>
      <c r="B39" s="434" t="s">
        <v>518</v>
      </c>
      <c r="C39" s="464"/>
      <c r="D39" s="464"/>
      <c r="E39" s="358"/>
      <c r="F39" s="358"/>
      <c r="G39" s="358"/>
      <c r="H39" s="358"/>
      <c r="I39" s="358"/>
      <c r="J39" s="465">
        <f>+ROUND($K$35*L39,2)</f>
        <v>26260.54</v>
      </c>
      <c r="K39" s="382" t="s">
        <v>112</v>
      </c>
      <c r="L39" s="466">
        <f>+'labor by acct detail'!W104</f>
        <v>0.18463562203384509</v>
      </c>
    </row>
    <row r="40" spans="1:12" ht="15" x14ac:dyDescent="0.25">
      <c r="A40" s="382">
        <f t="shared" si="0"/>
        <v>33</v>
      </c>
      <c r="B40" s="434" t="s">
        <v>471</v>
      </c>
      <c r="C40" s="358"/>
      <c r="D40" s="358"/>
      <c r="E40" s="358"/>
      <c r="F40" s="358"/>
      <c r="G40" s="358"/>
      <c r="H40" s="358"/>
      <c r="I40" s="358"/>
      <c r="J40" s="465">
        <f t="shared" ref="J40:J44" si="2">+ROUND($K$35*L40,2)</f>
        <v>40855.769999999997</v>
      </c>
      <c r="K40" s="382" t="s">
        <v>113</v>
      </c>
      <c r="L40" s="466">
        <f>+'labor by acct detail'!W105</f>
        <v>0.28725342430813244</v>
      </c>
    </row>
    <row r="41" spans="1:12" ht="15" x14ac:dyDescent="0.25">
      <c r="A41" s="382">
        <f t="shared" si="0"/>
        <v>34</v>
      </c>
      <c r="B41" s="434" t="s">
        <v>472</v>
      </c>
      <c r="C41" s="358"/>
      <c r="D41" s="358"/>
      <c r="E41" s="358"/>
      <c r="F41" s="358"/>
      <c r="G41" s="358"/>
      <c r="H41" s="358"/>
      <c r="I41" s="358"/>
      <c r="J41" s="465">
        <f t="shared" si="2"/>
        <v>38064.720000000001</v>
      </c>
      <c r="K41" s="382" t="s">
        <v>176</v>
      </c>
      <c r="L41" s="466">
        <f>+'labor by acct detail'!W106</f>
        <v>0.2676298304243665</v>
      </c>
    </row>
    <row r="42" spans="1:12" ht="15" x14ac:dyDescent="0.25">
      <c r="A42" s="382">
        <f t="shared" si="0"/>
        <v>35</v>
      </c>
      <c r="B42" s="358" t="s">
        <v>473</v>
      </c>
      <c r="C42" s="358"/>
      <c r="D42" s="358"/>
      <c r="E42" s="358"/>
      <c r="F42" s="358"/>
      <c r="G42" s="358"/>
      <c r="H42" s="358"/>
      <c r="I42" s="358"/>
      <c r="J42" s="465">
        <f t="shared" si="2"/>
        <v>1760.51</v>
      </c>
      <c r="K42" s="382" t="s">
        <v>177</v>
      </c>
      <c r="L42" s="466">
        <f>+'labor by acct detail'!W107</f>
        <v>1.2378016914595889E-2</v>
      </c>
    </row>
    <row r="43" spans="1:12" ht="15" x14ac:dyDescent="0.25">
      <c r="A43" s="382">
        <f t="shared" si="0"/>
        <v>36</v>
      </c>
      <c r="B43" s="358" t="s">
        <v>474</v>
      </c>
      <c r="C43" s="358"/>
      <c r="D43" s="358"/>
      <c r="E43" s="358"/>
      <c r="F43" s="358"/>
      <c r="G43" s="358"/>
      <c r="H43" s="358"/>
      <c r="I43" s="358"/>
      <c r="J43" s="465">
        <f t="shared" si="2"/>
        <v>1023.83</v>
      </c>
      <c r="K43" s="382" t="s">
        <v>178</v>
      </c>
      <c r="L43" s="466">
        <f>+'labor by acct detail'!W108</f>
        <v>7.1984322801954366E-3</v>
      </c>
    </row>
    <row r="44" spans="1:12" ht="15" x14ac:dyDescent="0.25">
      <c r="A44" s="382">
        <f t="shared" si="0"/>
        <v>37</v>
      </c>
      <c r="B44" s="434" t="s">
        <v>475</v>
      </c>
      <c r="C44" s="358"/>
      <c r="D44" s="358"/>
      <c r="E44" s="358"/>
      <c r="F44" s="358"/>
      <c r="G44" s="358"/>
      <c r="H44" s="358"/>
      <c r="I44" s="358"/>
      <c r="J44" s="465">
        <f t="shared" si="2"/>
        <v>34263.629999999997</v>
      </c>
      <c r="K44" s="382" t="s">
        <v>114</v>
      </c>
      <c r="L44" s="466">
        <f>+'labor by acct detail'!W109</f>
        <v>0.24090467403886465</v>
      </c>
    </row>
    <row r="45" spans="1:12" ht="15.6" thickBot="1" x14ac:dyDescent="0.3">
      <c r="A45" s="382">
        <f t="shared" si="0"/>
        <v>38</v>
      </c>
      <c r="B45" s="358" t="s">
        <v>476</v>
      </c>
      <c r="C45" s="358"/>
      <c r="D45" s="358"/>
      <c r="E45" s="358"/>
      <c r="F45" s="358"/>
      <c r="G45" s="358"/>
      <c r="H45" s="358"/>
      <c r="I45" s="358"/>
      <c r="J45" s="467">
        <f>SUM(J39:J44)</f>
        <v>142229</v>
      </c>
      <c r="K45" s="358"/>
      <c r="L45" s="468">
        <f>SUM(L39:L44)</f>
        <v>1</v>
      </c>
    </row>
    <row r="46" spans="1:12" ht="15.6" thickTop="1" x14ac:dyDescent="0.25">
      <c r="A46" s="382">
        <f t="shared" si="0"/>
        <v>39</v>
      </c>
      <c r="B46" s="358" t="s">
        <v>477</v>
      </c>
      <c r="C46" s="358"/>
      <c r="D46" s="358"/>
      <c r="E46" s="358"/>
      <c r="F46" s="358"/>
      <c r="G46" s="358"/>
      <c r="H46" s="358"/>
      <c r="I46" s="358"/>
      <c r="J46" s="429" t="s">
        <v>546</v>
      </c>
      <c r="K46" s="358"/>
      <c r="L46" s="358"/>
    </row>
    <row r="47" spans="1:12" ht="15" x14ac:dyDescent="0.25">
      <c r="A47" s="382">
        <f t="shared" si="0"/>
        <v>40</v>
      </c>
      <c r="B47" s="434" t="s">
        <v>478</v>
      </c>
      <c r="C47" s="358"/>
      <c r="D47" s="358"/>
      <c r="E47" s="358"/>
      <c r="F47" s="358"/>
      <c r="G47" s="358"/>
      <c r="H47" s="358"/>
      <c r="I47" s="358"/>
      <c r="J47" s="358"/>
      <c r="K47" s="358"/>
      <c r="L47" s="358"/>
    </row>
    <row r="48" spans="1:12" ht="15" x14ac:dyDescent="0.25">
      <c r="A48" s="382">
        <f t="shared" si="0"/>
        <v>41</v>
      </c>
      <c r="B48" s="434" t="s">
        <v>479</v>
      </c>
      <c r="C48" s="358"/>
      <c r="D48" s="358"/>
      <c r="E48" s="358"/>
      <c r="F48" s="358"/>
      <c r="G48" s="358"/>
      <c r="H48" s="358"/>
      <c r="I48" s="358"/>
      <c r="J48" s="358"/>
      <c r="K48" s="358"/>
      <c r="L48" s="358"/>
    </row>
    <row r="49" spans="1:13" ht="15" x14ac:dyDescent="0.25">
      <c r="A49" s="382">
        <f t="shared" si="0"/>
        <v>42</v>
      </c>
      <c r="B49" s="469" t="s">
        <v>486</v>
      </c>
      <c r="C49" s="358"/>
      <c r="D49" s="358"/>
      <c r="E49" s="358"/>
      <c r="F49" s="358"/>
      <c r="G49" s="358"/>
      <c r="H49" s="358"/>
      <c r="I49" s="358"/>
      <c r="J49" s="358"/>
      <c r="K49" s="358"/>
      <c r="L49" s="358"/>
    </row>
    <row r="50" spans="1:13" ht="15" x14ac:dyDescent="0.25">
      <c r="A50" s="382">
        <f t="shared" si="0"/>
        <v>43</v>
      </c>
      <c r="B50" s="469" t="s">
        <v>487</v>
      </c>
      <c r="C50" s="358"/>
      <c r="D50" s="358"/>
      <c r="E50" s="358"/>
      <c r="F50" s="358"/>
      <c r="G50" s="358"/>
      <c r="H50" s="358"/>
      <c r="I50" s="358"/>
      <c r="J50" s="358"/>
      <c r="K50" s="358"/>
      <c r="L50" s="358"/>
    </row>
    <row r="51" spans="1:13" ht="15" x14ac:dyDescent="0.25">
      <c r="A51" s="382">
        <f t="shared" si="0"/>
        <v>44</v>
      </c>
      <c r="B51" s="469" t="s">
        <v>488</v>
      </c>
      <c r="C51" s="358"/>
      <c r="D51" s="358"/>
      <c r="E51" s="358"/>
      <c r="F51" s="358"/>
      <c r="G51" s="358"/>
      <c r="H51" s="358"/>
      <c r="I51" s="358"/>
      <c r="J51" s="358"/>
      <c r="K51" s="358"/>
      <c r="L51" s="358"/>
    </row>
    <row r="52" spans="1:13" ht="15" x14ac:dyDescent="0.25">
      <c r="A52" s="382">
        <f t="shared" si="0"/>
        <v>45</v>
      </c>
      <c r="B52" s="469" t="s">
        <v>504</v>
      </c>
      <c r="C52" s="358"/>
      <c r="D52" s="358"/>
      <c r="E52" s="358"/>
      <c r="F52" s="358"/>
      <c r="G52" s="358"/>
      <c r="H52" s="358"/>
      <c r="I52" s="358"/>
      <c r="J52" s="358"/>
      <c r="K52" s="358"/>
      <c r="L52" s="358"/>
    </row>
    <row r="53" spans="1:13" ht="15" x14ac:dyDescent="0.25">
      <c r="A53" s="382">
        <f t="shared" si="0"/>
        <v>46</v>
      </c>
      <c r="B53" s="469" t="s">
        <v>489</v>
      </c>
      <c r="C53" s="358"/>
      <c r="D53" s="358"/>
      <c r="E53" s="358"/>
      <c r="F53" s="358"/>
      <c r="G53" s="358"/>
      <c r="H53" s="358"/>
      <c r="I53" s="358"/>
      <c r="J53" s="358"/>
      <c r="K53" s="358"/>
      <c r="L53" s="358"/>
    </row>
    <row r="54" spans="1:13" ht="15" x14ac:dyDescent="0.25">
      <c r="A54" s="358"/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</row>
    <row r="55" spans="1:13" ht="15" x14ac:dyDescent="0.25">
      <c r="A55" s="358"/>
      <c r="B55" s="358"/>
      <c r="C55" s="358"/>
      <c r="D55" s="358"/>
      <c r="E55" s="358"/>
      <c r="F55" s="358"/>
      <c r="G55" s="358"/>
      <c r="H55" s="358"/>
      <c r="I55" s="358"/>
      <c r="J55" s="358"/>
      <c r="K55" s="358"/>
      <c r="L55" s="358"/>
    </row>
    <row r="56" spans="1:13" ht="15" x14ac:dyDescent="0.25">
      <c r="A56" s="356" t="s">
        <v>516</v>
      </c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12"/>
    </row>
  </sheetData>
  <phoneticPr fontId="0" type="noConversion"/>
  <pageMargins left="0.5" right="0" top="0.53" bottom="0.6" header="0.5" footer="0.5"/>
  <pageSetup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R173"/>
  <sheetViews>
    <sheetView topLeftCell="K1" workbookViewId="0">
      <pane xSplit="1" ySplit="5" topLeftCell="L6" activePane="bottomRight" state="frozen"/>
      <selection activeCell="K1" sqref="K1"/>
      <selection pane="topRight" activeCell="L1" sqref="L1"/>
      <selection pane="bottomLeft" activeCell="K6" sqref="K6"/>
      <selection pane="bottomRight" activeCell="K6" sqref="K6:K155"/>
    </sheetView>
  </sheetViews>
  <sheetFormatPr defaultRowHeight="13.2" x14ac:dyDescent="0.25"/>
  <cols>
    <col min="1" max="10" width="9.109375" hidden="1" customWidth="1"/>
    <col min="11" max="11" width="18.88671875" bestFit="1" customWidth="1"/>
    <col min="12" max="12" width="4" bestFit="1" customWidth="1"/>
    <col min="13" max="13" width="9.88671875" customWidth="1"/>
    <col min="14" max="14" width="14.44140625" customWidth="1"/>
    <col min="15" max="15" width="8.33203125" bestFit="1" customWidth="1"/>
    <col min="16" max="16" width="5.109375" style="33" bestFit="1" customWidth="1"/>
    <col min="17" max="17" width="10.6640625" customWidth="1"/>
    <col min="18" max="19" width="9.33203125" customWidth="1"/>
    <col min="20" max="20" width="10.33203125" customWidth="1"/>
    <col min="21" max="21" width="11.33203125" customWidth="1"/>
    <col min="22" max="22" width="10.33203125" customWidth="1"/>
    <col min="23" max="24" width="10.6640625" customWidth="1"/>
    <col min="25" max="25" width="13.88671875" customWidth="1"/>
    <col min="26" max="28" width="9.33203125" customWidth="1"/>
    <col min="29" max="29" width="8.5546875" customWidth="1"/>
    <col min="30" max="30" width="8" customWidth="1"/>
    <col min="31" max="31" width="9.33203125" customWidth="1"/>
    <col min="32" max="32" width="10.33203125" customWidth="1"/>
    <col min="33" max="34" width="10.33203125" bestFit="1" customWidth="1"/>
    <col min="35" max="36" width="9.33203125" bestFit="1" customWidth="1"/>
    <col min="37" max="37" width="10.33203125" bestFit="1" customWidth="1"/>
    <col min="38" max="38" width="11.33203125" bestFit="1" customWidth="1"/>
    <col min="39" max="39" width="10.33203125" bestFit="1" customWidth="1"/>
    <col min="40" max="40" width="7.88671875" bestFit="1" customWidth="1"/>
    <col min="41" max="41" width="2.44140625" customWidth="1"/>
    <col min="42" max="44" width="10.33203125" bestFit="1" customWidth="1"/>
  </cols>
  <sheetData>
    <row r="1" spans="1:44" s="237" customFormat="1" x14ac:dyDescent="0.25">
      <c r="A1" s="236"/>
      <c r="B1" s="236"/>
      <c r="C1" s="236"/>
      <c r="D1" s="236"/>
      <c r="E1" s="236"/>
      <c r="F1" s="236"/>
      <c r="H1" s="236"/>
      <c r="I1" s="236"/>
      <c r="J1" s="236"/>
      <c r="P1" s="238"/>
      <c r="Q1" s="239">
        <v>1262.01</v>
      </c>
      <c r="R1" s="240">
        <v>371.25</v>
      </c>
      <c r="S1" s="240">
        <v>800.02</v>
      </c>
      <c r="T1" s="240">
        <v>931.64</v>
      </c>
      <c r="U1" s="240"/>
      <c r="V1" s="241"/>
      <c r="W1" s="242">
        <v>32.9</v>
      </c>
      <c r="X1" s="242">
        <v>37.700000000000003</v>
      </c>
      <c r="Y1" s="243">
        <v>37.700000000000003</v>
      </c>
      <c r="Z1" s="244" t="s">
        <v>273</v>
      </c>
      <c r="AA1" s="244"/>
      <c r="AB1" s="244"/>
      <c r="AC1" s="245"/>
      <c r="AD1" s="246"/>
      <c r="AE1" s="409">
        <v>6.5199999999999994E-2</v>
      </c>
      <c r="AF1" s="247">
        <v>0.20030000000000001</v>
      </c>
      <c r="AG1" s="247">
        <v>0.20030000000000001</v>
      </c>
      <c r="AH1" s="247">
        <v>0.1787</v>
      </c>
      <c r="AI1" s="248" t="s">
        <v>62</v>
      </c>
      <c r="AJ1" s="248" t="s">
        <v>62</v>
      </c>
      <c r="AK1" s="236" t="s">
        <v>62</v>
      </c>
      <c r="AL1" s="236"/>
      <c r="AM1" s="236"/>
      <c r="AN1" s="249"/>
    </row>
    <row r="2" spans="1:44" x14ac:dyDescent="0.25">
      <c r="A2" s="1"/>
      <c r="B2" s="1"/>
      <c r="C2" s="1"/>
      <c r="D2" s="1"/>
      <c r="E2" s="1"/>
      <c r="F2" s="1"/>
      <c r="H2" s="1"/>
      <c r="I2" s="1"/>
      <c r="J2" s="1"/>
      <c r="Q2" s="138"/>
      <c r="R2" s="12"/>
      <c r="S2" s="12"/>
      <c r="T2" s="12"/>
      <c r="U2" s="12"/>
      <c r="V2" s="12"/>
      <c r="W2" s="81"/>
      <c r="X2" s="7"/>
      <c r="Y2" s="120" t="s">
        <v>119</v>
      </c>
      <c r="Z2" s="59">
        <v>2.2599999999999999E-4</v>
      </c>
      <c r="AD2" s="109"/>
      <c r="AE2" s="118"/>
      <c r="AI2" s="8" t="s">
        <v>58</v>
      </c>
      <c r="AJ2" s="8" t="s">
        <v>58</v>
      </c>
      <c r="AK2" s="1" t="s">
        <v>58</v>
      </c>
      <c r="AL2" s="1" t="s">
        <v>503</v>
      </c>
      <c r="AM2" s="1"/>
      <c r="AN2" s="336"/>
    </row>
    <row r="3" spans="1:44" x14ac:dyDescent="0.25">
      <c r="A3" s="1"/>
      <c r="B3" s="1"/>
      <c r="C3" s="1"/>
      <c r="D3" s="1"/>
      <c r="E3" s="1"/>
      <c r="F3" s="1"/>
      <c r="H3" s="1"/>
      <c r="I3" s="1"/>
      <c r="J3" s="1"/>
      <c r="M3" s="55" t="s">
        <v>80</v>
      </c>
      <c r="N3" s="55" t="s">
        <v>29</v>
      </c>
      <c r="O3" s="55"/>
      <c r="P3" s="78"/>
      <c r="Q3" s="92"/>
      <c r="R3" s="8"/>
      <c r="S3" s="8" t="s">
        <v>48</v>
      </c>
      <c r="T3" s="8" t="s">
        <v>48</v>
      </c>
      <c r="U3" s="8" t="s">
        <v>468</v>
      </c>
      <c r="V3" s="214" t="s">
        <v>294</v>
      </c>
      <c r="W3" s="1" t="s">
        <v>292</v>
      </c>
      <c r="X3" s="1" t="s">
        <v>292</v>
      </c>
      <c r="Y3" s="124" t="s">
        <v>298</v>
      </c>
      <c r="Z3" s="60">
        <v>0.22</v>
      </c>
      <c r="AA3" s="7"/>
      <c r="AB3" s="7"/>
      <c r="AC3">
        <v>10000</v>
      </c>
      <c r="AD3" s="109">
        <v>10000</v>
      </c>
      <c r="AE3" s="118"/>
      <c r="AF3" s="1" t="s">
        <v>56</v>
      </c>
      <c r="AG3" s="1" t="s">
        <v>56</v>
      </c>
      <c r="AH3" s="224" t="s">
        <v>56</v>
      </c>
      <c r="AI3" s="8" t="s">
        <v>59</v>
      </c>
      <c r="AJ3" s="8" t="s">
        <v>59</v>
      </c>
      <c r="AK3" s="1" t="s">
        <v>59</v>
      </c>
      <c r="AL3" s="1" t="s">
        <v>229</v>
      </c>
      <c r="AM3" s="1" t="s">
        <v>503</v>
      </c>
      <c r="AN3" s="336"/>
    </row>
    <row r="4" spans="1:44" x14ac:dyDescent="0.25">
      <c r="A4" s="218" t="s">
        <v>297</v>
      </c>
      <c r="B4" s="217"/>
      <c r="C4" s="217"/>
      <c r="D4" s="217"/>
      <c r="E4" s="217"/>
      <c r="F4" s="217"/>
      <c r="G4" s="7"/>
      <c r="H4" s="8" t="s">
        <v>64</v>
      </c>
      <c r="I4" s="8" t="s">
        <v>64</v>
      </c>
      <c r="J4" s="8"/>
      <c r="K4" s="7"/>
      <c r="L4" s="7"/>
      <c r="M4" s="57" t="s">
        <v>66</v>
      </c>
      <c r="N4" s="57" t="s">
        <v>66</v>
      </c>
      <c r="O4" s="182" t="s">
        <v>153</v>
      </c>
      <c r="P4" s="77"/>
      <c r="Q4" s="92" t="s">
        <v>47</v>
      </c>
      <c r="R4" s="8" t="s">
        <v>48</v>
      </c>
      <c r="S4" s="136" t="s">
        <v>237</v>
      </c>
      <c r="T4" s="136" t="s">
        <v>238</v>
      </c>
      <c r="U4" s="136" t="s">
        <v>469</v>
      </c>
      <c r="V4" s="215" t="s">
        <v>295</v>
      </c>
      <c r="W4" s="92" t="s">
        <v>49</v>
      </c>
      <c r="X4" s="8" t="s">
        <v>49</v>
      </c>
      <c r="Y4" s="124" t="s">
        <v>293</v>
      </c>
      <c r="Z4" s="8" t="s">
        <v>52</v>
      </c>
      <c r="AA4" s="8" t="s">
        <v>215</v>
      </c>
      <c r="AB4" s="8" t="s">
        <v>120</v>
      </c>
      <c r="AC4" s="8" t="s">
        <v>116</v>
      </c>
      <c r="AD4" s="8" t="s">
        <v>117</v>
      </c>
      <c r="AE4" s="330" t="s">
        <v>54</v>
      </c>
      <c r="AF4" s="8" t="s">
        <v>57</v>
      </c>
      <c r="AG4" s="8" t="s">
        <v>57</v>
      </c>
      <c r="AH4" s="226" t="s">
        <v>57</v>
      </c>
      <c r="AI4" s="8" t="s">
        <v>61</v>
      </c>
      <c r="AJ4" s="8" t="s">
        <v>61</v>
      </c>
      <c r="AK4" s="8" t="s">
        <v>61</v>
      </c>
      <c r="AL4" s="8" t="s">
        <v>465</v>
      </c>
      <c r="AM4" s="8" t="s">
        <v>466</v>
      </c>
      <c r="AN4" s="336" t="s">
        <v>502</v>
      </c>
    </row>
    <row r="5" spans="1:44" x14ac:dyDescent="0.25">
      <c r="A5" s="23">
        <v>2002</v>
      </c>
      <c r="B5" s="23">
        <v>2003</v>
      </c>
      <c r="C5" s="23">
        <v>2004</v>
      </c>
      <c r="D5" s="23">
        <v>2008</v>
      </c>
      <c r="E5" s="23">
        <v>2011</v>
      </c>
      <c r="F5" s="23">
        <v>2015</v>
      </c>
      <c r="G5" s="23" t="s">
        <v>63</v>
      </c>
      <c r="H5" s="23" t="s">
        <v>290</v>
      </c>
      <c r="I5" s="23" t="s">
        <v>291</v>
      </c>
      <c r="J5" s="23" t="s">
        <v>60</v>
      </c>
      <c r="K5" s="23" t="s">
        <v>4</v>
      </c>
      <c r="L5" s="23" t="s">
        <v>5</v>
      </c>
      <c r="M5" s="132">
        <v>42185</v>
      </c>
      <c r="N5" s="132">
        <v>42185</v>
      </c>
      <c r="O5" s="132"/>
      <c r="P5" s="219"/>
      <c r="Q5" s="137" t="s">
        <v>46</v>
      </c>
      <c r="R5" s="23" t="s">
        <v>46</v>
      </c>
      <c r="S5" s="23" t="s">
        <v>46</v>
      </c>
      <c r="T5" s="23" t="s">
        <v>46</v>
      </c>
      <c r="U5" s="23" t="s">
        <v>470</v>
      </c>
      <c r="V5" s="216" t="s">
        <v>296</v>
      </c>
      <c r="W5" s="137" t="s">
        <v>50</v>
      </c>
      <c r="X5" s="23" t="s">
        <v>51</v>
      </c>
      <c r="Y5" s="135" t="s">
        <v>49</v>
      </c>
      <c r="Z5" s="23" t="s">
        <v>53</v>
      </c>
      <c r="AA5" s="133">
        <v>50000</v>
      </c>
      <c r="AB5" s="134">
        <v>50000</v>
      </c>
      <c r="AC5" s="23" t="s">
        <v>53</v>
      </c>
      <c r="AD5" s="23" t="s">
        <v>53</v>
      </c>
      <c r="AE5" s="331" t="s">
        <v>55</v>
      </c>
      <c r="AF5" s="225" t="s">
        <v>299</v>
      </c>
      <c r="AG5" s="225" t="s">
        <v>300</v>
      </c>
      <c r="AH5" s="23" t="s">
        <v>2</v>
      </c>
      <c r="AI5" s="225" t="s">
        <v>299</v>
      </c>
      <c r="AJ5" s="225" t="s">
        <v>300</v>
      </c>
      <c r="AK5" s="23" t="s">
        <v>2</v>
      </c>
      <c r="AL5" s="23" t="s">
        <v>128</v>
      </c>
      <c r="AM5" s="23" t="s">
        <v>467</v>
      </c>
      <c r="AN5" s="337" t="s">
        <v>2</v>
      </c>
      <c r="AP5" s="57" t="s">
        <v>299</v>
      </c>
      <c r="AQ5" s="57" t="s">
        <v>300</v>
      </c>
      <c r="AR5" s="57" t="s">
        <v>2</v>
      </c>
    </row>
    <row r="6" spans="1:44" x14ac:dyDescent="0.25">
      <c r="A6" s="1"/>
      <c r="B6" s="1"/>
      <c r="C6" s="1"/>
      <c r="D6" s="1">
        <v>33</v>
      </c>
      <c r="E6" s="1">
        <v>36</v>
      </c>
      <c r="F6" s="1">
        <v>40</v>
      </c>
      <c r="G6" s="19">
        <v>40203</v>
      </c>
      <c r="H6" s="1"/>
      <c r="I6" s="1"/>
      <c r="J6" s="1" t="s">
        <v>65</v>
      </c>
      <c r="L6" s="1">
        <v>648</v>
      </c>
      <c r="M6" s="40">
        <v>36.479999999999997</v>
      </c>
      <c r="N6" s="40">
        <f>M6*2080</f>
        <v>75878.399999999994</v>
      </c>
      <c r="O6" s="26">
        <f t="shared" ref="O6:O37" si="0">+N6/$N$159</f>
        <v>7.2159891127181793E-3</v>
      </c>
      <c r="P6" s="33">
        <f>+$P$5*O6</f>
        <v>0</v>
      </c>
      <c r="Q6" s="227">
        <v>1262.01</v>
      </c>
      <c r="R6" s="175"/>
      <c r="S6" s="175"/>
      <c r="T6" s="175"/>
      <c r="U6" s="175"/>
      <c r="V6" s="228">
        <v>140.22</v>
      </c>
      <c r="W6" s="227">
        <v>32.9</v>
      </c>
      <c r="X6" s="175">
        <v>37.700000000000003</v>
      </c>
      <c r="Y6" s="228">
        <v>37.700000000000003</v>
      </c>
      <c r="Z6" s="67">
        <f t="shared" ref="Z6:Z37" si="1">ROUND((N6+P6)*3*$Z$2,2)</f>
        <v>51.45</v>
      </c>
      <c r="AA6" s="40">
        <f t="shared" ref="AA6:AA37" si="2">+Z6-AB6</f>
        <v>11.300000000000004</v>
      </c>
      <c r="AB6" s="40">
        <f t="shared" ref="AB6:AB37" si="3">ROUND((((N6+P6)*3)-$AB$5)*$Z$2,2)</f>
        <v>40.15</v>
      </c>
      <c r="AC6" s="67">
        <v>0.9</v>
      </c>
      <c r="AD6" s="67">
        <v>1</v>
      </c>
      <c r="AE6" s="229">
        <f>ROUND((P6+N6)*$AE$1/100,2)</f>
        <v>49.47</v>
      </c>
      <c r="AF6" s="67"/>
      <c r="AG6" s="67"/>
      <c r="AH6" s="67">
        <f>ROUND((P6+N6)*$AH$1/12,2)</f>
        <v>1129.96</v>
      </c>
      <c r="AI6" s="67"/>
      <c r="AJ6" s="175"/>
      <c r="AK6" s="67">
        <f>ROUND(((N6+P6)/12)*0.03,2)</f>
        <v>189.7</v>
      </c>
      <c r="AL6" s="67">
        <v>929.47</v>
      </c>
      <c r="AM6" s="67">
        <v>299.19</v>
      </c>
      <c r="AN6" s="230"/>
      <c r="AO6" s="72"/>
      <c r="AP6" s="350">
        <f>+IF(AI6&gt;0,N6,0)</f>
        <v>0</v>
      </c>
      <c r="AQ6" s="350">
        <f>+IF(AJ6&gt;0,N6,0)</f>
        <v>0</v>
      </c>
      <c r="AR6" s="350">
        <f>+IF(AK6&gt;0,N6,0)</f>
        <v>75878.399999999994</v>
      </c>
    </row>
    <row r="7" spans="1:44" x14ac:dyDescent="0.25">
      <c r="A7" s="1"/>
      <c r="B7" s="1"/>
      <c r="C7" s="1"/>
      <c r="D7" s="1"/>
      <c r="E7" s="1"/>
      <c r="F7" s="1">
        <v>30</v>
      </c>
      <c r="G7" s="19">
        <v>42086</v>
      </c>
      <c r="H7" s="1"/>
      <c r="I7" s="1"/>
      <c r="J7" s="1" t="s">
        <v>65</v>
      </c>
      <c r="L7" s="1">
        <v>682</v>
      </c>
      <c r="M7" s="40">
        <v>25.26</v>
      </c>
      <c r="N7" s="40">
        <f t="shared" ref="N7:N70" si="4">M7*2080</f>
        <v>52540.800000000003</v>
      </c>
      <c r="O7" s="26">
        <f t="shared" si="0"/>
        <v>4.9965977244315028E-3</v>
      </c>
      <c r="P7" s="33">
        <f t="shared" ref="P7:P70" si="5">+$P$5*O7</f>
        <v>0</v>
      </c>
      <c r="Q7" s="227">
        <v>1262.01</v>
      </c>
      <c r="R7" s="175"/>
      <c r="S7" s="175"/>
      <c r="T7" s="175"/>
      <c r="U7" s="175"/>
      <c r="V7" s="228">
        <v>140.22</v>
      </c>
      <c r="W7" s="227">
        <v>32.9</v>
      </c>
      <c r="X7" s="175">
        <v>37.700000000000003</v>
      </c>
      <c r="Y7" s="228">
        <v>37.700000000000003</v>
      </c>
      <c r="Z7" s="67">
        <f t="shared" si="1"/>
        <v>35.619999999999997</v>
      </c>
      <c r="AA7" s="40">
        <f t="shared" si="2"/>
        <v>11.299999999999997</v>
      </c>
      <c r="AB7" s="40">
        <f t="shared" si="3"/>
        <v>24.32</v>
      </c>
      <c r="AC7" s="67">
        <v>0.6</v>
      </c>
      <c r="AD7" s="67">
        <v>1</v>
      </c>
      <c r="AE7" s="229">
        <f t="shared" ref="AE7:AE70" si="6">ROUND((P7+N7)*$AE$1/100,2)</f>
        <v>34.26</v>
      </c>
      <c r="AF7" s="67"/>
      <c r="AG7" s="67"/>
      <c r="AH7" s="67">
        <f t="shared" ref="AH7:AH9" si="7">ROUND((P7+N7)*$AH$1/12,2)</f>
        <v>782.42</v>
      </c>
      <c r="AI7" s="67"/>
      <c r="AJ7" s="175"/>
      <c r="AK7" s="67">
        <f t="shared" ref="AK7:AK9" si="8">ROUND(((N7+P7)/12)*0.03,2)</f>
        <v>131.35</v>
      </c>
      <c r="AL7" s="67">
        <v>929.47</v>
      </c>
      <c r="AM7" s="67">
        <v>299.19</v>
      </c>
      <c r="AN7" s="230"/>
      <c r="AO7" s="72"/>
      <c r="AP7" s="350">
        <f t="shared" ref="AP7:AP70" si="9">+IF(AI7&gt;0,N7,0)</f>
        <v>0</v>
      </c>
      <c r="AQ7" s="350">
        <f t="shared" ref="AQ7:AQ70" si="10">+IF(AJ7&gt;0,N7,0)</f>
        <v>0</v>
      </c>
      <c r="AR7" s="350">
        <f t="shared" ref="AR7:AR70" si="11">+IF(AK7&gt;0,N7,0)</f>
        <v>52540.800000000003</v>
      </c>
    </row>
    <row r="8" spans="1:44" x14ac:dyDescent="0.25">
      <c r="A8" s="1"/>
      <c r="B8" s="1"/>
      <c r="C8" s="1"/>
      <c r="D8" s="1">
        <v>38</v>
      </c>
      <c r="E8" s="1">
        <v>41</v>
      </c>
      <c r="F8" s="1">
        <v>45</v>
      </c>
      <c r="G8" s="19">
        <v>39489</v>
      </c>
      <c r="H8" s="1"/>
      <c r="I8" s="1"/>
      <c r="J8" s="1" t="s">
        <v>65</v>
      </c>
      <c r="L8" s="1">
        <v>635</v>
      </c>
      <c r="M8" s="40">
        <v>32.659999999999997</v>
      </c>
      <c r="N8" s="40">
        <f t="shared" si="4"/>
        <v>67932.799999999988</v>
      </c>
      <c r="O8" s="26">
        <f t="shared" si="0"/>
        <v>6.4603674457613955E-3</v>
      </c>
      <c r="P8" s="33">
        <f t="shared" si="5"/>
        <v>0</v>
      </c>
      <c r="Q8" s="227">
        <v>1262.01</v>
      </c>
      <c r="R8" s="175"/>
      <c r="S8" s="175"/>
      <c r="T8" s="175"/>
      <c r="U8" s="175"/>
      <c r="V8" s="228">
        <v>140.22</v>
      </c>
      <c r="W8" s="227">
        <v>32.9</v>
      </c>
      <c r="X8" s="175">
        <v>37.700000000000003</v>
      </c>
      <c r="Y8" s="228">
        <v>37.700000000000003</v>
      </c>
      <c r="Z8" s="67">
        <f t="shared" si="1"/>
        <v>46.06</v>
      </c>
      <c r="AA8" s="40">
        <f t="shared" si="2"/>
        <v>11.300000000000004</v>
      </c>
      <c r="AB8" s="40">
        <f t="shared" si="3"/>
        <v>34.76</v>
      </c>
      <c r="AC8" s="67">
        <v>1</v>
      </c>
      <c r="AD8" s="67">
        <v>1</v>
      </c>
      <c r="AE8" s="229">
        <f t="shared" si="6"/>
        <v>44.29</v>
      </c>
      <c r="AF8" s="67"/>
      <c r="AG8" s="67"/>
      <c r="AH8" s="67">
        <f t="shared" si="7"/>
        <v>1011.63</v>
      </c>
      <c r="AI8" s="67"/>
      <c r="AJ8" s="175"/>
      <c r="AK8" s="67">
        <f t="shared" si="8"/>
        <v>169.83</v>
      </c>
      <c r="AL8" s="67">
        <v>929.47</v>
      </c>
      <c r="AM8" s="67">
        <v>299.19</v>
      </c>
      <c r="AN8" s="230"/>
      <c r="AO8" s="72"/>
      <c r="AP8" s="350">
        <f t="shared" si="9"/>
        <v>0</v>
      </c>
      <c r="AQ8" s="350">
        <f t="shared" si="10"/>
        <v>0</v>
      </c>
      <c r="AR8" s="350">
        <f t="shared" si="11"/>
        <v>67932.799999999988</v>
      </c>
    </row>
    <row r="9" spans="1:44" x14ac:dyDescent="0.25">
      <c r="A9" s="1">
        <v>36</v>
      </c>
      <c r="B9" s="1">
        <v>37</v>
      </c>
      <c r="C9" s="1">
        <v>38</v>
      </c>
      <c r="D9" s="1">
        <v>42</v>
      </c>
      <c r="E9" s="1">
        <v>45</v>
      </c>
      <c r="F9" s="1">
        <v>49</v>
      </c>
      <c r="G9" s="19">
        <v>35842</v>
      </c>
      <c r="H9" s="1" t="s">
        <v>65</v>
      </c>
      <c r="I9" s="1"/>
      <c r="J9" s="1"/>
      <c r="L9" s="1">
        <v>475</v>
      </c>
      <c r="M9" s="40">
        <v>42.18</v>
      </c>
      <c r="N9" s="40">
        <f t="shared" si="4"/>
        <v>87734.399999999994</v>
      </c>
      <c r="O9" s="26">
        <f t="shared" si="0"/>
        <v>8.3434874115803949E-3</v>
      </c>
      <c r="P9" s="33">
        <f t="shared" si="5"/>
        <v>0</v>
      </c>
      <c r="Q9" s="227">
        <v>1262.01</v>
      </c>
      <c r="R9" s="175"/>
      <c r="S9" s="175"/>
      <c r="T9" s="175"/>
      <c r="U9" s="175"/>
      <c r="V9" s="228">
        <v>140.22</v>
      </c>
      <c r="W9" s="227">
        <v>32.9</v>
      </c>
      <c r="X9" s="175">
        <v>37.700000000000003</v>
      </c>
      <c r="Y9" s="228">
        <v>37.700000000000003</v>
      </c>
      <c r="Z9" s="67">
        <f>ROUND((N9+P9)*3*$Z$2,2)</f>
        <v>59.48</v>
      </c>
      <c r="AA9" s="40">
        <f t="shared" si="2"/>
        <v>11.299999999999997</v>
      </c>
      <c r="AB9" s="40">
        <f>ROUND((((N9+P9)*3)-$AB$5)*$Z$2,2)</f>
        <v>48.18</v>
      </c>
      <c r="AC9" s="67">
        <v>1.5</v>
      </c>
      <c r="AD9" s="67">
        <v>1</v>
      </c>
      <c r="AE9" s="229">
        <f t="shared" si="6"/>
        <v>57.2</v>
      </c>
      <c r="AF9" s="67"/>
      <c r="AG9" s="67"/>
      <c r="AH9" s="67">
        <f t="shared" si="7"/>
        <v>1306.51</v>
      </c>
      <c r="AI9" s="67"/>
      <c r="AJ9" s="175"/>
      <c r="AK9" s="67">
        <f t="shared" si="8"/>
        <v>219.34</v>
      </c>
      <c r="AL9" s="67">
        <v>929.47</v>
      </c>
      <c r="AM9" s="67">
        <v>299.19</v>
      </c>
      <c r="AN9" s="230"/>
      <c r="AO9" s="72"/>
      <c r="AP9" s="350">
        <f t="shared" si="9"/>
        <v>0</v>
      </c>
      <c r="AQ9" s="350">
        <f t="shared" si="10"/>
        <v>0</v>
      </c>
      <c r="AR9" s="350">
        <f t="shared" si="11"/>
        <v>87734.399999999994</v>
      </c>
    </row>
    <row r="10" spans="1:44" x14ac:dyDescent="0.25">
      <c r="A10" s="1">
        <v>31</v>
      </c>
      <c r="B10" s="1">
        <v>32</v>
      </c>
      <c r="C10" s="1">
        <v>33</v>
      </c>
      <c r="D10" s="1">
        <v>37</v>
      </c>
      <c r="E10" s="1">
        <v>40</v>
      </c>
      <c r="F10" s="1">
        <v>44</v>
      </c>
      <c r="G10" s="19">
        <v>33574</v>
      </c>
      <c r="H10" s="1"/>
      <c r="I10" s="1" t="s">
        <v>65</v>
      </c>
      <c r="J10" s="1"/>
      <c r="L10" s="1">
        <v>228</v>
      </c>
      <c r="M10" s="40">
        <v>54.24</v>
      </c>
      <c r="N10" s="40">
        <f t="shared" si="4"/>
        <v>112819.2</v>
      </c>
      <c r="O10" s="26">
        <f t="shared" si="0"/>
        <v>1.0729036443909925E-2</v>
      </c>
      <c r="P10" s="33">
        <f t="shared" si="5"/>
        <v>0</v>
      </c>
      <c r="Q10" s="227"/>
      <c r="R10" s="175"/>
      <c r="S10" s="175">
        <v>800.02</v>
      </c>
      <c r="T10" s="175"/>
      <c r="U10" s="175"/>
      <c r="V10" s="228">
        <v>88.89</v>
      </c>
      <c r="W10" s="227">
        <v>32.9</v>
      </c>
      <c r="X10" s="175">
        <v>37.700000000000003</v>
      </c>
      <c r="Y10" s="228">
        <v>37.700000000000003</v>
      </c>
      <c r="Z10" s="67">
        <f t="shared" si="1"/>
        <v>76.489999999999995</v>
      </c>
      <c r="AA10" s="40">
        <f t="shared" si="2"/>
        <v>11.299999999999997</v>
      </c>
      <c r="AB10" s="40">
        <f t="shared" si="3"/>
        <v>65.19</v>
      </c>
      <c r="AC10" s="67">
        <v>0</v>
      </c>
      <c r="AD10" s="67">
        <v>1</v>
      </c>
      <c r="AE10" s="229">
        <f t="shared" si="6"/>
        <v>73.56</v>
      </c>
      <c r="AF10" s="67">
        <f>ROUND((P10+N10)*$AF$1/12,2)</f>
        <v>1883.14</v>
      </c>
      <c r="AG10" s="67"/>
      <c r="AH10" s="67"/>
      <c r="AI10" s="67">
        <f>ROUND(((P10+N10)/12)*0.03,2)</f>
        <v>282.05</v>
      </c>
      <c r="AJ10" s="175"/>
      <c r="AK10" s="67"/>
      <c r="AL10" s="67">
        <v>929.47</v>
      </c>
      <c r="AM10" s="67">
        <v>299.19</v>
      </c>
      <c r="AN10" s="230"/>
      <c r="AO10" s="72"/>
      <c r="AP10" s="350">
        <f t="shared" si="9"/>
        <v>112819.2</v>
      </c>
      <c r="AQ10" s="350">
        <f t="shared" si="10"/>
        <v>0</v>
      </c>
      <c r="AR10" s="350">
        <f t="shared" si="11"/>
        <v>0</v>
      </c>
    </row>
    <row r="11" spans="1:44" x14ac:dyDescent="0.25">
      <c r="A11" s="1">
        <v>44</v>
      </c>
      <c r="B11" s="1">
        <v>45</v>
      </c>
      <c r="C11" s="1">
        <v>46</v>
      </c>
      <c r="D11" s="1">
        <v>50</v>
      </c>
      <c r="E11" s="1">
        <v>53</v>
      </c>
      <c r="F11" s="1">
        <v>57</v>
      </c>
      <c r="G11" s="19">
        <v>33140</v>
      </c>
      <c r="H11" s="1" t="s">
        <v>65</v>
      </c>
      <c r="I11" s="1"/>
      <c r="J11" s="1"/>
      <c r="L11" s="1">
        <v>410</v>
      </c>
      <c r="M11" s="40">
        <v>31.93</v>
      </c>
      <c r="N11" s="40">
        <f t="shared" si="4"/>
        <v>66414.399999999994</v>
      </c>
      <c r="O11" s="26">
        <f t="shared" si="0"/>
        <v>6.3159685408193935E-3</v>
      </c>
      <c r="P11" s="33">
        <f t="shared" si="5"/>
        <v>0</v>
      </c>
      <c r="Q11" s="227">
        <v>1262.01</v>
      </c>
      <c r="R11" s="175"/>
      <c r="S11" s="175"/>
      <c r="T11" s="175"/>
      <c r="U11" s="175"/>
      <c r="V11" s="228">
        <v>140.22</v>
      </c>
      <c r="W11" s="227">
        <v>32.9</v>
      </c>
      <c r="X11" s="175">
        <v>37.700000000000003</v>
      </c>
      <c r="Y11" s="228">
        <v>37.700000000000003</v>
      </c>
      <c r="Z11" s="67">
        <f t="shared" si="1"/>
        <v>45.03</v>
      </c>
      <c r="AA11" s="40">
        <f t="shared" si="2"/>
        <v>11.300000000000004</v>
      </c>
      <c r="AB11" s="40">
        <f t="shared" si="3"/>
        <v>33.729999999999997</v>
      </c>
      <c r="AC11" s="67">
        <v>4.3</v>
      </c>
      <c r="AD11" s="67">
        <v>1</v>
      </c>
      <c r="AE11" s="229">
        <f t="shared" si="6"/>
        <v>43.3</v>
      </c>
      <c r="AF11" s="67"/>
      <c r="AG11" s="67"/>
      <c r="AH11" s="67">
        <f t="shared" ref="AH11:AH16" si="12">ROUND((P11+N11)*$AH$1/12,2)</f>
        <v>989.02</v>
      </c>
      <c r="AI11" s="67"/>
      <c r="AJ11" s="175"/>
      <c r="AK11" s="67">
        <f t="shared" ref="AK11:AK16" si="13">ROUND(((N11+P11)/12)*0.03,2)</f>
        <v>166.04</v>
      </c>
      <c r="AL11" s="67">
        <v>929.47</v>
      </c>
      <c r="AM11" s="67">
        <v>299.19</v>
      </c>
      <c r="AN11" s="230"/>
      <c r="AO11" s="72"/>
      <c r="AP11" s="350">
        <f t="shared" si="9"/>
        <v>0</v>
      </c>
      <c r="AQ11" s="350">
        <f t="shared" si="10"/>
        <v>0</v>
      </c>
      <c r="AR11" s="350">
        <f t="shared" si="11"/>
        <v>66414.399999999994</v>
      </c>
    </row>
    <row r="12" spans="1:44" x14ac:dyDescent="0.25">
      <c r="A12" s="1"/>
      <c r="B12" s="1"/>
      <c r="C12" s="1"/>
      <c r="D12" s="1">
        <v>25</v>
      </c>
      <c r="E12" s="1">
        <v>28</v>
      </c>
      <c r="F12" s="1">
        <v>32</v>
      </c>
      <c r="G12" s="19">
        <v>40049</v>
      </c>
      <c r="H12" s="1"/>
      <c r="I12" s="1"/>
      <c r="J12" s="1"/>
      <c r="L12" s="1">
        <v>647</v>
      </c>
      <c r="M12" s="40">
        <v>21.75</v>
      </c>
      <c r="N12" s="40">
        <f t="shared" si="4"/>
        <v>45240</v>
      </c>
      <c r="O12" s="26">
        <f t="shared" si="0"/>
        <v>4.3022961403952967E-3</v>
      </c>
      <c r="P12" s="33">
        <f t="shared" si="5"/>
        <v>0</v>
      </c>
      <c r="Q12" s="227">
        <v>1262.01</v>
      </c>
      <c r="R12" s="175"/>
      <c r="S12" s="175"/>
      <c r="T12" s="175"/>
      <c r="U12" s="175"/>
      <c r="V12" s="228">
        <v>140.22</v>
      </c>
      <c r="W12" s="227">
        <v>32.9</v>
      </c>
      <c r="X12" s="175">
        <v>37.700000000000003</v>
      </c>
      <c r="Y12" s="228">
        <v>37.700000000000003</v>
      </c>
      <c r="Z12" s="67">
        <f t="shared" si="1"/>
        <v>30.67</v>
      </c>
      <c r="AA12" s="40">
        <f t="shared" si="2"/>
        <v>11.3</v>
      </c>
      <c r="AB12" s="40">
        <f t="shared" si="3"/>
        <v>19.37</v>
      </c>
      <c r="AC12" s="67">
        <v>0.8</v>
      </c>
      <c r="AD12" s="67">
        <v>1</v>
      </c>
      <c r="AE12" s="229">
        <f t="shared" si="6"/>
        <v>29.5</v>
      </c>
      <c r="AF12" s="67"/>
      <c r="AG12" s="67"/>
      <c r="AH12" s="67">
        <f t="shared" si="12"/>
        <v>673.7</v>
      </c>
      <c r="AI12" s="67"/>
      <c r="AJ12" s="175"/>
      <c r="AK12" s="67">
        <f t="shared" si="13"/>
        <v>113.1</v>
      </c>
      <c r="AL12" s="67">
        <v>929.47</v>
      </c>
      <c r="AM12" s="67">
        <v>299.19</v>
      </c>
      <c r="AN12" s="230"/>
      <c r="AO12" s="72"/>
      <c r="AP12" s="350">
        <f t="shared" si="9"/>
        <v>0</v>
      </c>
      <c r="AQ12" s="350">
        <f t="shared" si="10"/>
        <v>0</v>
      </c>
      <c r="AR12" s="350">
        <f t="shared" si="11"/>
        <v>45240</v>
      </c>
    </row>
    <row r="13" spans="1:44" x14ac:dyDescent="0.25">
      <c r="A13" s="1"/>
      <c r="B13" s="1"/>
      <c r="C13" s="1"/>
      <c r="D13" s="1">
        <v>54</v>
      </c>
      <c r="E13" s="1">
        <v>57</v>
      </c>
      <c r="F13" s="1">
        <v>61</v>
      </c>
      <c r="G13" s="19">
        <v>40049</v>
      </c>
      <c r="H13" s="1"/>
      <c r="I13" s="1"/>
      <c r="J13" s="1" t="s">
        <v>65</v>
      </c>
      <c r="L13" s="1">
        <v>645</v>
      </c>
      <c r="M13" s="40">
        <v>39.06</v>
      </c>
      <c r="N13" s="40">
        <f t="shared" si="4"/>
        <v>81244.800000000003</v>
      </c>
      <c r="O13" s="26">
        <f t="shared" si="0"/>
        <v>7.7263304479926569E-3</v>
      </c>
      <c r="P13" s="33">
        <f t="shared" si="5"/>
        <v>0</v>
      </c>
      <c r="Q13" s="227"/>
      <c r="R13" s="175">
        <v>371.25</v>
      </c>
      <c r="S13" s="175"/>
      <c r="T13" s="175"/>
      <c r="U13" s="175"/>
      <c r="V13" s="228">
        <v>41.25</v>
      </c>
      <c r="W13" s="227">
        <v>32.9</v>
      </c>
      <c r="X13" s="175"/>
      <c r="Y13" s="228"/>
      <c r="Z13" s="67">
        <f t="shared" si="1"/>
        <v>55.08</v>
      </c>
      <c r="AA13" s="40">
        <f t="shared" si="2"/>
        <v>11.299999999999997</v>
      </c>
      <c r="AB13" s="40">
        <f t="shared" si="3"/>
        <v>43.78</v>
      </c>
      <c r="AC13" s="67"/>
      <c r="AD13" s="67"/>
      <c r="AE13" s="229">
        <f t="shared" si="6"/>
        <v>52.97</v>
      </c>
      <c r="AF13" s="67"/>
      <c r="AG13" s="67"/>
      <c r="AH13" s="67">
        <f t="shared" si="12"/>
        <v>1209.8699999999999</v>
      </c>
      <c r="AI13" s="67"/>
      <c r="AJ13" s="175"/>
      <c r="AK13" s="67">
        <f t="shared" si="13"/>
        <v>203.11</v>
      </c>
      <c r="AL13" s="67">
        <v>929.47</v>
      </c>
      <c r="AM13" s="67">
        <v>299.19</v>
      </c>
      <c r="AN13" s="230"/>
      <c r="AO13" s="72"/>
      <c r="AP13" s="350">
        <f t="shared" si="9"/>
        <v>0</v>
      </c>
      <c r="AQ13" s="350">
        <f t="shared" si="10"/>
        <v>0</v>
      </c>
      <c r="AR13" s="350">
        <f t="shared" si="11"/>
        <v>81244.800000000003</v>
      </c>
    </row>
    <row r="14" spans="1:44" x14ac:dyDescent="0.25">
      <c r="A14" s="1">
        <v>40</v>
      </c>
      <c r="B14" s="1">
        <v>41</v>
      </c>
      <c r="C14" s="1">
        <v>42</v>
      </c>
      <c r="D14" s="1">
        <v>46</v>
      </c>
      <c r="E14" s="1">
        <v>49</v>
      </c>
      <c r="F14" s="1">
        <v>53</v>
      </c>
      <c r="G14" s="19">
        <v>36619</v>
      </c>
      <c r="H14" s="1"/>
      <c r="I14" s="1"/>
      <c r="J14" s="1" t="s">
        <v>65</v>
      </c>
      <c r="L14" s="1">
        <v>518</v>
      </c>
      <c r="M14" s="40">
        <v>25.92</v>
      </c>
      <c r="N14" s="40">
        <f t="shared" si="4"/>
        <v>53913.600000000006</v>
      </c>
      <c r="O14" s="26">
        <f t="shared" si="0"/>
        <v>5.1271501590366021E-3</v>
      </c>
      <c r="P14" s="33">
        <f t="shared" si="5"/>
        <v>0</v>
      </c>
      <c r="Q14" s="227"/>
      <c r="R14" s="175"/>
      <c r="S14" s="175"/>
      <c r="T14" s="175">
        <v>931.64</v>
      </c>
      <c r="U14" s="175"/>
      <c r="V14" s="228">
        <v>103.52</v>
      </c>
      <c r="W14" s="227">
        <v>32.9</v>
      </c>
      <c r="X14" s="175">
        <v>37.700000000000003</v>
      </c>
      <c r="Y14" s="228">
        <v>37.700000000000003</v>
      </c>
      <c r="Z14" s="67">
        <f t="shared" si="1"/>
        <v>36.549999999999997</v>
      </c>
      <c r="AA14" s="40">
        <f t="shared" si="2"/>
        <v>11.299999999999997</v>
      </c>
      <c r="AB14" s="40">
        <f t="shared" si="3"/>
        <v>25.25</v>
      </c>
      <c r="AC14" s="67">
        <v>2.2999999999999998</v>
      </c>
      <c r="AD14" s="67"/>
      <c r="AE14" s="229">
        <f t="shared" si="6"/>
        <v>35.15</v>
      </c>
      <c r="AF14" s="67"/>
      <c r="AG14" s="67"/>
      <c r="AH14" s="67">
        <f t="shared" si="12"/>
        <v>802.86</v>
      </c>
      <c r="AI14" s="67"/>
      <c r="AJ14" s="175"/>
      <c r="AK14" s="67">
        <f t="shared" si="13"/>
        <v>134.78</v>
      </c>
      <c r="AL14" s="67">
        <v>929.47</v>
      </c>
      <c r="AM14" s="67">
        <v>299.19</v>
      </c>
      <c r="AN14" s="230"/>
      <c r="AO14" s="72"/>
      <c r="AP14" s="350">
        <f t="shared" si="9"/>
        <v>0</v>
      </c>
      <c r="AQ14" s="350">
        <f t="shared" si="10"/>
        <v>0</v>
      </c>
      <c r="AR14" s="350">
        <f t="shared" si="11"/>
        <v>53913.600000000006</v>
      </c>
    </row>
    <row r="15" spans="1:44" x14ac:dyDescent="0.25">
      <c r="A15" s="1">
        <v>30</v>
      </c>
      <c r="B15" s="1">
        <v>31</v>
      </c>
      <c r="C15" s="1">
        <v>32</v>
      </c>
      <c r="D15" s="1">
        <v>36</v>
      </c>
      <c r="E15" s="1">
        <v>39</v>
      </c>
      <c r="F15" s="1">
        <v>43</v>
      </c>
      <c r="G15" s="19">
        <v>36871</v>
      </c>
      <c r="H15" s="1"/>
      <c r="I15" s="1"/>
      <c r="J15" s="1" t="s">
        <v>65</v>
      </c>
      <c r="L15" s="1">
        <v>535</v>
      </c>
      <c r="M15" s="40">
        <v>32.08</v>
      </c>
      <c r="N15" s="40">
        <f t="shared" si="4"/>
        <v>66726.399999999994</v>
      </c>
      <c r="O15" s="26">
        <f t="shared" si="0"/>
        <v>6.3456395486841885E-3</v>
      </c>
      <c r="P15" s="33">
        <f t="shared" si="5"/>
        <v>0</v>
      </c>
      <c r="Q15" s="227">
        <v>1262.01</v>
      </c>
      <c r="R15" s="175"/>
      <c r="S15" s="175"/>
      <c r="T15" s="175"/>
      <c r="U15" s="175"/>
      <c r="V15" s="228">
        <v>140.22</v>
      </c>
      <c r="W15" s="227">
        <v>32.9</v>
      </c>
      <c r="X15" s="175">
        <v>37.700000000000003</v>
      </c>
      <c r="Y15" s="228">
        <v>37.700000000000003</v>
      </c>
      <c r="Z15" s="67">
        <f t="shared" si="1"/>
        <v>45.24</v>
      </c>
      <c r="AA15" s="40">
        <f t="shared" si="2"/>
        <v>11.300000000000004</v>
      </c>
      <c r="AB15" s="40">
        <f t="shared" si="3"/>
        <v>33.94</v>
      </c>
      <c r="AC15" s="67">
        <v>1</v>
      </c>
      <c r="AD15" s="67">
        <v>1</v>
      </c>
      <c r="AE15" s="229">
        <f t="shared" si="6"/>
        <v>43.51</v>
      </c>
      <c r="AF15" s="67"/>
      <c r="AG15" s="67"/>
      <c r="AH15" s="67">
        <f t="shared" si="12"/>
        <v>993.67</v>
      </c>
      <c r="AI15" s="67"/>
      <c r="AJ15" s="175"/>
      <c r="AK15" s="67">
        <f t="shared" si="13"/>
        <v>166.82</v>
      </c>
      <c r="AL15" s="67">
        <v>929.47</v>
      </c>
      <c r="AM15" s="67">
        <v>299.19</v>
      </c>
      <c r="AN15" s="230"/>
      <c r="AO15" s="72"/>
      <c r="AP15" s="350">
        <f t="shared" si="9"/>
        <v>0</v>
      </c>
      <c r="AQ15" s="350">
        <f t="shared" si="10"/>
        <v>0</v>
      </c>
      <c r="AR15" s="350">
        <f t="shared" si="11"/>
        <v>66726.399999999994</v>
      </c>
    </row>
    <row r="16" spans="1:44" x14ac:dyDescent="0.25">
      <c r="A16" s="1"/>
      <c r="B16" s="1"/>
      <c r="C16" s="1"/>
      <c r="D16" s="1">
        <v>43</v>
      </c>
      <c r="E16" s="1">
        <v>46</v>
      </c>
      <c r="F16" s="1">
        <v>50</v>
      </c>
      <c r="G16" s="19">
        <v>40287</v>
      </c>
      <c r="H16" s="1"/>
      <c r="I16" s="1"/>
      <c r="J16" s="1" t="s">
        <v>65</v>
      </c>
      <c r="L16" s="1">
        <v>649</v>
      </c>
      <c r="M16" s="40">
        <v>32.659999999999997</v>
      </c>
      <c r="N16" s="40">
        <f t="shared" si="4"/>
        <v>67932.799999999988</v>
      </c>
      <c r="O16" s="26">
        <f t="shared" si="0"/>
        <v>6.4603674457613955E-3</v>
      </c>
      <c r="P16" s="33">
        <f t="shared" si="5"/>
        <v>0</v>
      </c>
      <c r="Q16" s="227">
        <v>1262.01</v>
      </c>
      <c r="R16" s="175"/>
      <c r="S16" s="175"/>
      <c r="T16" s="175"/>
      <c r="U16" s="175"/>
      <c r="V16" s="228">
        <v>140.22</v>
      </c>
      <c r="W16" s="227">
        <v>32.9</v>
      </c>
      <c r="X16" s="175">
        <v>37.700000000000003</v>
      </c>
      <c r="Y16" s="228">
        <v>37.700000000000003</v>
      </c>
      <c r="Z16" s="67">
        <f t="shared" si="1"/>
        <v>46.06</v>
      </c>
      <c r="AA16" s="40">
        <f t="shared" si="2"/>
        <v>11.300000000000004</v>
      </c>
      <c r="AB16" s="40">
        <f t="shared" si="3"/>
        <v>34.76</v>
      </c>
      <c r="AC16" s="67">
        <v>1.5</v>
      </c>
      <c r="AD16" s="67">
        <v>1</v>
      </c>
      <c r="AE16" s="229">
        <f t="shared" si="6"/>
        <v>44.29</v>
      </c>
      <c r="AF16" s="67"/>
      <c r="AG16" s="67"/>
      <c r="AH16" s="67">
        <f t="shared" si="12"/>
        <v>1011.63</v>
      </c>
      <c r="AI16" s="67"/>
      <c r="AJ16" s="175"/>
      <c r="AK16" s="67">
        <f t="shared" si="13"/>
        <v>169.83</v>
      </c>
      <c r="AL16" s="67">
        <v>929.47</v>
      </c>
      <c r="AM16" s="67">
        <v>299.19</v>
      </c>
      <c r="AN16" s="230"/>
      <c r="AO16" s="72"/>
      <c r="AP16" s="350">
        <f t="shared" si="9"/>
        <v>0</v>
      </c>
      <c r="AQ16" s="350">
        <f t="shared" si="10"/>
        <v>0</v>
      </c>
      <c r="AR16" s="350">
        <f t="shared" si="11"/>
        <v>67932.799999999988</v>
      </c>
    </row>
    <row r="17" spans="1:44" x14ac:dyDescent="0.25">
      <c r="A17" s="1">
        <v>40</v>
      </c>
      <c r="B17" s="1">
        <v>41</v>
      </c>
      <c r="C17" s="1">
        <v>42</v>
      </c>
      <c r="D17" s="1">
        <v>46</v>
      </c>
      <c r="E17" s="1">
        <v>49</v>
      </c>
      <c r="F17" s="1">
        <v>53</v>
      </c>
      <c r="G17" s="19">
        <v>30753</v>
      </c>
      <c r="H17" s="1" t="s">
        <v>65</v>
      </c>
      <c r="I17" s="1"/>
      <c r="J17" s="1"/>
      <c r="L17" s="1">
        <v>301</v>
      </c>
      <c r="M17" s="40">
        <v>37.130000000000003</v>
      </c>
      <c r="N17" s="40">
        <f t="shared" si="4"/>
        <v>77230.400000000009</v>
      </c>
      <c r="O17" s="26">
        <f t="shared" si="0"/>
        <v>7.3445634801322934E-3</v>
      </c>
      <c r="P17" s="33">
        <f t="shared" si="5"/>
        <v>0</v>
      </c>
      <c r="Q17" s="227"/>
      <c r="R17" s="175"/>
      <c r="S17" s="175"/>
      <c r="T17" s="175">
        <v>931.64</v>
      </c>
      <c r="U17" s="175"/>
      <c r="V17" s="228">
        <v>103.52</v>
      </c>
      <c r="W17" s="227">
        <v>32.9</v>
      </c>
      <c r="X17" s="175">
        <v>37.700000000000003</v>
      </c>
      <c r="Y17" s="228">
        <v>37.700000000000003</v>
      </c>
      <c r="Z17" s="67">
        <f t="shared" si="1"/>
        <v>52.36</v>
      </c>
      <c r="AA17" s="40">
        <f t="shared" si="2"/>
        <v>11.299999999999997</v>
      </c>
      <c r="AB17" s="40">
        <f t="shared" si="3"/>
        <v>41.06</v>
      </c>
      <c r="AC17" s="67">
        <v>2.2999999999999998</v>
      </c>
      <c r="AD17" s="67"/>
      <c r="AE17" s="229">
        <f t="shared" si="6"/>
        <v>50.35</v>
      </c>
      <c r="AF17" s="67"/>
      <c r="AG17" s="67">
        <f>ROUND((P17+N17)*$AG$1/12,2)</f>
        <v>1289.0999999999999</v>
      </c>
      <c r="AH17" s="67"/>
      <c r="AI17" s="67"/>
      <c r="AJ17" s="67">
        <f>ROUND(((P17+N17)/12)*0.03,2)</f>
        <v>193.08</v>
      </c>
      <c r="AK17" s="67"/>
      <c r="AL17" s="67">
        <v>929.47</v>
      </c>
      <c r="AM17" s="67">
        <v>299.19</v>
      </c>
      <c r="AN17" s="230"/>
      <c r="AO17" s="72"/>
      <c r="AP17" s="350">
        <f t="shared" si="9"/>
        <v>0</v>
      </c>
      <c r="AQ17" s="350">
        <f t="shared" si="10"/>
        <v>77230.400000000009</v>
      </c>
      <c r="AR17" s="350">
        <f t="shared" si="11"/>
        <v>0</v>
      </c>
    </row>
    <row r="18" spans="1:44" x14ac:dyDescent="0.25">
      <c r="A18" s="1"/>
      <c r="B18" s="1"/>
      <c r="C18" s="1"/>
      <c r="D18" s="1">
        <v>46</v>
      </c>
      <c r="E18" s="1">
        <v>49</v>
      </c>
      <c r="F18" s="1">
        <v>53</v>
      </c>
      <c r="G18" s="19">
        <v>39405</v>
      </c>
      <c r="H18" s="1"/>
      <c r="I18" s="1"/>
      <c r="J18" s="1" t="s">
        <v>65</v>
      </c>
      <c r="L18" s="1">
        <v>634</v>
      </c>
      <c r="M18" s="40">
        <v>20.74</v>
      </c>
      <c r="N18" s="40">
        <f t="shared" si="4"/>
        <v>43139.199999999997</v>
      </c>
      <c r="O18" s="26">
        <f t="shared" si="0"/>
        <v>4.1025113541056759E-3</v>
      </c>
      <c r="P18" s="33">
        <f t="shared" si="5"/>
        <v>0</v>
      </c>
      <c r="Q18" s="227">
        <v>1262.01</v>
      </c>
      <c r="R18" s="175"/>
      <c r="S18" s="175"/>
      <c r="T18" s="175"/>
      <c r="U18" s="175"/>
      <c r="V18" s="228">
        <v>140.22</v>
      </c>
      <c r="W18" s="227">
        <v>32.9</v>
      </c>
      <c r="X18" s="175">
        <v>37.700000000000003</v>
      </c>
      <c r="Y18" s="228">
        <v>37.700000000000003</v>
      </c>
      <c r="Z18" s="67">
        <f t="shared" si="1"/>
        <v>29.25</v>
      </c>
      <c r="AA18" s="40">
        <f t="shared" si="2"/>
        <v>11.3</v>
      </c>
      <c r="AB18" s="40">
        <f t="shared" si="3"/>
        <v>17.95</v>
      </c>
      <c r="AC18" s="67">
        <v>2.2999999999999998</v>
      </c>
      <c r="AD18" s="67">
        <v>1</v>
      </c>
      <c r="AE18" s="229">
        <f t="shared" si="6"/>
        <v>28.13</v>
      </c>
      <c r="AF18" s="67"/>
      <c r="AG18" s="67"/>
      <c r="AH18" s="67">
        <f t="shared" ref="AH18:AH21" si="14">ROUND((P18+N18)*$AH$1/12,2)</f>
        <v>642.41</v>
      </c>
      <c r="AI18" s="67"/>
      <c r="AJ18" s="175"/>
      <c r="AK18" s="67">
        <f t="shared" ref="AK18:AK21" si="15">ROUND(((N18+P18)/12)*0.03,2)</f>
        <v>107.85</v>
      </c>
      <c r="AL18" s="67">
        <v>929.47</v>
      </c>
      <c r="AM18" s="67">
        <v>299.19</v>
      </c>
      <c r="AN18" s="230"/>
      <c r="AO18" s="72"/>
      <c r="AP18" s="350">
        <f t="shared" si="9"/>
        <v>0</v>
      </c>
      <c r="AQ18" s="350">
        <f t="shared" si="10"/>
        <v>0</v>
      </c>
      <c r="AR18" s="350">
        <f t="shared" si="11"/>
        <v>43139.199999999997</v>
      </c>
    </row>
    <row r="19" spans="1:44" x14ac:dyDescent="0.25">
      <c r="A19" s="1">
        <v>30</v>
      </c>
      <c r="B19" s="1">
        <v>31</v>
      </c>
      <c r="C19" s="1">
        <v>32</v>
      </c>
      <c r="D19" s="1">
        <v>36</v>
      </c>
      <c r="E19" s="1">
        <v>39</v>
      </c>
      <c r="F19" s="1">
        <v>43</v>
      </c>
      <c r="G19" s="19">
        <v>37312</v>
      </c>
      <c r="H19" s="1"/>
      <c r="I19" s="1"/>
      <c r="J19" s="1" t="s">
        <v>65</v>
      </c>
      <c r="L19" s="1">
        <v>556</v>
      </c>
      <c r="M19" s="40">
        <v>36.86</v>
      </c>
      <c r="N19" s="40">
        <f t="shared" si="4"/>
        <v>76668.800000000003</v>
      </c>
      <c r="O19" s="26">
        <f t="shared" si="0"/>
        <v>7.2911556659756615E-3</v>
      </c>
      <c r="P19" s="33">
        <f t="shared" si="5"/>
        <v>0</v>
      </c>
      <c r="Q19" s="227">
        <v>1262.01</v>
      </c>
      <c r="R19" s="175"/>
      <c r="S19" s="175"/>
      <c r="T19" s="175"/>
      <c r="U19" s="175"/>
      <c r="V19" s="228">
        <v>140.22</v>
      </c>
      <c r="W19" s="227">
        <v>32.9</v>
      </c>
      <c r="X19" s="175">
        <v>37.700000000000003</v>
      </c>
      <c r="Y19" s="228">
        <v>37.700000000000003</v>
      </c>
      <c r="Z19" s="67">
        <f t="shared" si="1"/>
        <v>51.98</v>
      </c>
      <c r="AA19" s="40">
        <f t="shared" si="2"/>
        <v>11.299999999999997</v>
      </c>
      <c r="AB19" s="40">
        <f t="shared" si="3"/>
        <v>40.68</v>
      </c>
      <c r="AC19" s="67">
        <v>1</v>
      </c>
      <c r="AD19" s="67">
        <v>1</v>
      </c>
      <c r="AE19" s="229">
        <f t="shared" si="6"/>
        <v>49.99</v>
      </c>
      <c r="AF19" s="67"/>
      <c r="AG19" s="67"/>
      <c r="AH19" s="67">
        <f t="shared" si="14"/>
        <v>1141.73</v>
      </c>
      <c r="AI19" s="67"/>
      <c r="AJ19" s="175"/>
      <c r="AK19" s="67">
        <f t="shared" si="15"/>
        <v>191.67</v>
      </c>
      <c r="AL19" s="67">
        <v>929.47</v>
      </c>
      <c r="AM19" s="67">
        <v>299.19</v>
      </c>
      <c r="AN19" s="230"/>
      <c r="AO19" s="72"/>
      <c r="AP19" s="350">
        <f t="shared" si="9"/>
        <v>0</v>
      </c>
      <c r="AQ19" s="350">
        <f t="shared" si="10"/>
        <v>0</v>
      </c>
      <c r="AR19" s="350">
        <f t="shared" si="11"/>
        <v>76668.800000000003</v>
      </c>
    </row>
    <row r="20" spans="1:44" x14ac:dyDescent="0.25">
      <c r="A20" s="1"/>
      <c r="B20" s="1"/>
      <c r="C20" s="1"/>
      <c r="D20" s="1">
        <v>26</v>
      </c>
      <c r="E20" s="1">
        <v>29</v>
      </c>
      <c r="F20" s="1">
        <v>33</v>
      </c>
      <c r="G20" s="19">
        <v>39580</v>
      </c>
      <c r="H20" s="1"/>
      <c r="I20" s="1"/>
      <c r="J20" s="1" t="s">
        <v>65</v>
      </c>
      <c r="L20" s="1">
        <v>637</v>
      </c>
      <c r="M20" s="40">
        <v>37.31</v>
      </c>
      <c r="N20" s="40">
        <f t="shared" si="4"/>
        <v>77604.800000000003</v>
      </c>
      <c r="O20" s="26">
        <f t="shared" si="0"/>
        <v>7.3801686895700472E-3</v>
      </c>
      <c r="P20" s="33">
        <f t="shared" si="5"/>
        <v>0</v>
      </c>
      <c r="Q20" s="227">
        <v>1262.01</v>
      </c>
      <c r="R20" s="175"/>
      <c r="S20" s="175"/>
      <c r="T20" s="175"/>
      <c r="U20" s="175"/>
      <c r="V20" s="228">
        <v>140.22</v>
      </c>
      <c r="W20" s="227">
        <v>32.9</v>
      </c>
      <c r="X20" s="175">
        <v>37.700000000000003</v>
      </c>
      <c r="Y20" s="228">
        <v>37.700000000000003</v>
      </c>
      <c r="Z20" s="67">
        <f t="shared" si="1"/>
        <v>52.62</v>
      </c>
      <c r="AA20" s="40">
        <f t="shared" si="2"/>
        <v>11.299999999999997</v>
      </c>
      <c r="AB20" s="40">
        <f t="shared" si="3"/>
        <v>41.32</v>
      </c>
      <c r="AC20" s="67">
        <v>0.8</v>
      </c>
      <c r="AD20" s="67">
        <v>1</v>
      </c>
      <c r="AE20" s="229">
        <f t="shared" si="6"/>
        <v>50.6</v>
      </c>
      <c r="AF20" s="67"/>
      <c r="AG20" s="67"/>
      <c r="AH20" s="67">
        <f t="shared" si="14"/>
        <v>1155.6600000000001</v>
      </c>
      <c r="AI20" s="67"/>
      <c r="AJ20" s="175"/>
      <c r="AK20" s="67">
        <f t="shared" si="15"/>
        <v>194.01</v>
      </c>
      <c r="AL20" s="67">
        <v>929.47</v>
      </c>
      <c r="AM20" s="67">
        <v>299.19</v>
      </c>
      <c r="AN20" s="230"/>
      <c r="AO20" s="72"/>
      <c r="AP20" s="350">
        <f t="shared" si="9"/>
        <v>0</v>
      </c>
      <c r="AQ20" s="350">
        <f t="shared" si="10"/>
        <v>0</v>
      </c>
      <c r="AR20" s="350">
        <f t="shared" si="11"/>
        <v>77604.800000000003</v>
      </c>
    </row>
    <row r="21" spans="1:44" x14ac:dyDescent="0.25">
      <c r="A21" s="1">
        <v>30</v>
      </c>
      <c r="B21" s="1">
        <v>31</v>
      </c>
      <c r="C21" s="1">
        <v>32</v>
      </c>
      <c r="D21" s="1">
        <v>36</v>
      </c>
      <c r="E21" s="1">
        <v>39</v>
      </c>
      <c r="F21" s="1">
        <v>43</v>
      </c>
      <c r="G21" s="19">
        <v>36864</v>
      </c>
      <c r="H21" s="1"/>
      <c r="I21" s="1"/>
      <c r="J21" s="1" t="s">
        <v>65</v>
      </c>
      <c r="L21" s="1">
        <v>534</v>
      </c>
      <c r="M21" s="40">
        <v>36.299999999999997</v>
      </c>
      <c r="N21" s="40">
        <f t="shared" si="4"/>
        <v>75504</v>
      </c>
      <c r="O21" s="26">
        <f t="shared" si="0"/>
        <v>7.1803839032804255E-3</v>
      </c>
      <c r="P21" s="33">
        <f t="shared" si="5"/>
        <v>0</v>
      </c>
      <c r="Q21" s="227">
        <v>1262.01</v>
      </c>
      <c r="R21" s="175"/>
      <c r="S21" s="175"/>
      <c r="T21" s="175"/>
      <c r="U21" s="175"/>
      <c r="V21" s="228">
        <v>140.22</v>
      </c>
      <c r="W21" s="227">
        <v>32.9</v>
      </c>
      <c r="X21" s="175">
        <v>37.700000000000003</v>
      </c>
      <c r="Y21" s="228">
        <v>37.700000000000003</v>
      </c>
      <c r="Z21" s="67">
        <f t="shared" si="1"/>
        <v>51.19</v>
      </c>
      <c r="AA21" s="40">
        <f t="shared" si="2"/>
        <v>11.299999999999997</v>
      </c>
      <c r="AB21" s="40">
        <f t="shared" si="3"/>
        <v>39.89</v>
      </c>
      <c r="AC21" s="67">
        <v>1</v>
      </c>
      <c r="AD21" s="67">
        <v>1</v>
      </c>
      <c r="AE21" s="229">
        <f t="shared" si="6"/>
        <v>49.23</v>
      </c>
      <c r="AF21" s="67"/>
      <c r="AG21" s="67"/>
      <c r="AH21" s="67">
        <f t="shared" si="14"/>
        <v>1124.3800000000001</v>
      </c>
      <c r="AI21" s="67"/>
      <c r="AJ21" s="175"/>
      <c r="AK21" s="67">
        <f t="shared" si="15"/>
        <v>188.76</v>
      </c>
      <c r="AL21" s="67">
        <v>929.47</v>
      </c>
      <c r="AM21" s="67">
        <v>299.19</v>
      </c>
      <c r="AN21" s="230"/>
      <c r="AO21" s="72"/>
      <c r="AP21" s="350">
        <f t="shared" si="9"/>
        <v>0</v>
      </c>
      <c r="AQ21" s="350">
        <f t="shared" si="10"/>
        <v>0</v>
      </c>
      <c r="AR21" s="350">
        <f t="shared" si="11"/>
        <v>75504</v>
      </c>
    </row>
    <row r="22" spans="1:44" x14ac:dyDescent="0.25">
      <c r="A22" s="1">
        <v>42</v>
      </c>
      <c r="B22" s="1">
        <v>43</v>
      </c>
      <c r="C22" s="1">
        <v>44</v>
      </c>
      <c r="D22" s="1">
        <v>48</v>
      </c>
      <c r="E22" s="1">
        <v>51</v>
      </c>
      <c r="F22" s="1">
        <v>55</v>
      </c>
      <c r="G22" s="19">
        <v>28723</v>
      </c>
      <c r="H22" s="1" t="s">
        <v>65</v>
      </c>
      <c r="I22" s="1"/>
      <c r="J22" s="1"/>
      <c r="L22" s="1">
        <v>219</v>
      </c>
      <c r="M22" s="40">
        <v>32.28</v>
      </c>
      <c r="N22" s="40">
        <f t="shared" si="4"/>
        <v>67142.400000000009</v>
      </c>
      <c r="O22" s="26">
        <f t="shared" si="0"/>
        <v>6.3852008925039169E-3</v>
      </c>
      <c r="P22" s="33">
        <f t="shared" si="5"/>
        <v>0</v>
      </c>
      <c r="Q22" s="227"/>
      <c r="R22" s="175">
        <v>371.25</v>
      </c>
      <c r="S22" s="175"/>
      <c r="T22" s="175"/>
      <c r="U22" s="175"/>
      <c r="V22" s="228">
        <v>41.25</v>
      </c>
      <c r="W22" s="227">
        <v>32.9</v>
      </c>
      <c r="X22" s="175"/>
      <c r="Y22" s="228"/>
      <c r="Z22" s="67">
        <f t="shared" si="1"/>
        <v>45.52</v>
      </c>
      <c r="AA22" s="40">
        <f t="shared" si="2"/>
        <v>11.300000000000004</v>
      </c>
      <c r="AB22" s="40">
        <f t="shared" si="3"/>
        <v>34.22</v>
      </c>
      <c r="AC22" s="67"/>
      <c r="AD22" s="67"/>
      <c r="AE22" s="229">
        <f t="shared" si="6"/>
        <v>43.78</v>
      </c>
      <c r="AF22" s="67"/>
      <c r="AG22" s="67">
        <f t="shared" ref="AG22:AG23" si="16">ROUND((P22+N22)*$AG$1/12,2)</f>
        <v>1120.72</v>
      </c>
      <c r="AH22" s="67"/>
      <c r="AI22" s="67"/>
      <c r="AJ22" s="344">
        <f>ROUND(((P22+N22)/12)*0,2)</f>
        <v>0</v>
      </c>
      <c r="AK22" s="67"/>
      <c r="AL22" s="67">
        <v>929.47</v>
      </c>
      <c r="AM22" s="67">
        <v>299.19</v>
      </c>
      <c r="AN22" s="230"/>
      <c r="AO22" s="72"/>
      <c r="AP22" s="350">
        <f t="shared" si="9"/>
        <v>0</v>
      </c>
      <c r="AQ22" s="415">
        <f>+N22</f>
        <v>67142.400000000009</v>
      </c>
      <c r="AR22" s="350">
        <f t="shared" si="11"/>
        <v>0</v>
      </c>
    </row>
    <row r="23" spans="1:44" x14ac:dyDescent="0.25">
      <c r="A23" s="1">
        <v>37</v>
      </c>
      <c r="B23" s="1">
        <v>38</v>
      </c>
      <c r="C23" s="1">
        <v>39</v>
      </c>
      <c r="D23" s="1">
        <v>43</v>
      </c>
      <c r="E23" s="1">
        <v>46</v>
      </c>
      <c r="F23" s="1">
        <v>50</v>
      </c>
      <c r="G23" s="19">
        <v>31140</v>
      </c>
      <c r="H23" s="1" t="s">
        <v>65</v>
      </c>
      <c r="I23" s="1"/>
      <c r="J23" s="1"/>
      <c r="L23" s="1">
        <v>338</v>
      </c>
      <c r="M23" s="40">
        <v>31.95</v>
      </c>
      <c r="N23" s="40">
        <f t="shared" si="4"/>
        <v>66456</v>
      </c>
      <c r="O23" s="26">
        <f t="shared" si="0"/>
        <v>6.3199246752013664E-3</v>
      </c>
      <c r="P23" s="33">
        <f t="shared" si="5"/>
        <v>0</v>
      </c>
      <c r="Q23" s="227"/>
      <c r="R23" s="175"/>
      <c r="S23" s="175">
        <v>800.02</v>
      </c>
      <c r="T23" s="175"/>
      <c r="U23" s="175"/>
      <c r="V23" s="228">
        <v>88.89</v>
      </c>
      <c r="W23" s="227">
        <v>32.9</v>
      </c>
      <c r="X23" s="175">
        <v>37.700000000000003</v>
      </c>
      <c r="Y23" s="228">
        <v>37.700000000000003</v>
      </c>
      <c r="Z23" s="67">
        <f t="shared" si="1"/>
        <v>45.06</v>
      </c>
      <c r="AA23" s="40">
        <f t="shared" si="2"/>
        <v>11.300000000000004</v>
      </c>
      <c r="AB23" s="40">
        <f t="shared" si="3"/>
        <v>33.76</v>
      </c>
      <c r="AC23" s="67">
        <v>1.5</v>
      </c>
      <c r="AD23" s="67">
        <v>1</v>
      </c>
      <c r="AE23" s="229">
        <f t="shared" si="6"/>
        <v>43.33</v>
      </c>
      <c r="AF23" s="67"/>
      <c r="AG23" s="67">
        <f t="shared" si="16"/>
        <v>1109.26</v>
      </c>
      <c r="AH23" s="67"/>
      <c r="AI23" s="67"/>
      <c r="AJ23" s="67">
        <f t="shared" ref="AJ23" si="17">ROUND(((P23+N23)/12)*0.03,2)</f>
        <v>166.14</v>
      </c>
      <c r="AK23" s="67"/>
      <c r="AL23" s="67">
        <v>929.47</v>
      </c>
      <c r="AM23" s="67">
        <v>299.19</v>
      </c>
      <c r="AN23" s="230"/>
      <c r="AO23" s="72"/>
      <c r="AP23" s="350">
        <f t="shared" si="9"/>
        <v>0</v>
      </c>
      <c r="AQ23" s="350">
        <f t="shared" si="10"/>
        <v>66456</v>
      </c>
      <c r="AR23" s="350">
        <f t="shared" si="11"/>
        <v>0</v>
      </c>
    </row>
    <row r="24" spans="1:44" x14ac:dyDescent="0.25">
      <c r="A24" s="1">
        <v>36</v>
      </c>
      <c r="B24" s="1">
        <v>37</v>
      </c>
      <c r="C24" s="1">
        <v>38</v>
      </c>
      <c r="D24" s="1">
        <v>42</v>
      </c>
      <c r="E24" s="1">
        <v>45</v>
      </c>
      <c r="F24" s="1">
        <v>49</v>
      </c>
      <c r="G24" s="19">
        <v>32028</v>
      </c>
      <c r="H24" s="1"/>
      <c r="I24" s="1" t="s">
        <v>65</v>
      </c>
      <c r="J24" s="1"/>
      <c r="L24" s="1">
        <v>512</v>
      </c>
      <c r="M24" s="40">
        <v>35.22</v>
      </c>
      <c r="N24" s="40">
        <f t="shared" si="4"/>
        <v>73257.599999999991</v>
      </c>
      <c r="O24" s="26">
        <f t="shared" si="0"/>
        <v>6.9667526466539002E-3</v>
      </c>
      <c r="P24" s="33">
        <f t="shared" si="5"/>
        <v>0</v>
      </c>
      <c r="Q24" s="227">
        <v>1262.01</v>
      </c>
      <c r="R24" s="175"/>
      <c r="S24" s="175"/>
      <c r="T24" s="175"/>
      <c r="U24" s="175"/>
      <c r="V24" s="228">
        <v>140.22</v>
      </c>
      <c r="W24" s="227">
        <v>32.9</v>
      </c>
      <c r="X24" s="175">
        <v>37.700000000000003</v>
      </c>
      <c r="Y24" s="228">
        <v>37.700000000000003</v>
      </c>
      <c r="Z24" s="67">
        <f t="shared" si="1"/>
        <v>49.67</v>
      </c>
      <c r="AA24" s="40">
        <f t="shared" si="2"/>
        <v>11.300000000000004</v>
      </c>
      <c r="AB24" s="40">
        <f t="shared" si="3"/>
        <v>38.369999999999997</v>
      </c>
      <c r="AC24" s="67">
        <v>1.5</v>
      </c>
      <c r="AD24" s="67">
        <v>1</v>
      </c>
      <c r="AE24" s="229">
        <f t="shared" si="6"/>
        <v>47.76</v>
      </c>
      <c r="AF24" s="67">
        <f>ROUND((P24+N24)*$AF$1/12,2)</f>
        <v>1222.79</v>
      </c>
      <c r="AG24" s="67"/>
      <c r="AH24" s="67"/>
      <c r="AI24" s="67">
        <f>ROUND(((P24+N24)/12)*0.03,2)</f>
        <v>183.14</v>
      </c>
      <c r="AJ24" s="175"/>
      <c r="AK24" s="67"/>
      <c r="AL24" s="67">
        <v>929.47</v>
      </c>
      <c r="AM24" s="67">
        <v>299.19</v>
      </c>
      <c r="AN24" s="230"/>
      <c r="AO24" s="72"/>
      <c r="AP24" s="350">
        <f t="shared" si="9"/>
        <v>73257.599999999991</v>
      </c>
      <c r="AQ24" s="350">
        <f t="shared" si="10"/>
        <v>0</v>
      </c>
      <c r="AR24" s="350">
        <f t="shared" si="11"/>
        <v>0</v>
      </c>
    </row>
    <row r="25" spans="1:44" x14ac:dyDescent="0.25">
      <c r="A25" s="1">
        <v>37</v>
      </c>
      <c r="B25" s="1">
        <v>38</v>
      </c>
      <c r="C25" s="1">
        <v>39</v>
      </c>
      <c r="D25" s="1">
        <v>43</v>
      </c>
      <c r="E25" s="1">
        <v>46</v>
      </c>
      <c r="F25" s="1">
        <v>50</v>
      </c>
      <c r="G25" s="19">
        <v>33896</v>
      </c>
      <c r="H25" s="1" t="s">
        <v>65</v>
      </c>
      <c r="I25" s="1"/>
      <c r="J25" s="1"/>
      <c r="L25" s="1">
        <v>433</v>
      </c>
      <c r="M25" s="40">
        <v>32.08</v>
      </c>
      <c r="N25" s="40">
        <f t="shared" si="4"/>
        <v>66726.399999999994</v>
      </c>
      <c r="O25" s="26">
        <f t="shared" si="0"/>
        <v>6.3456395486841885E-3</v>
      </c>
      <c r="P25" s="33">
        <f t="shared" si="5"/>
        <v>0</v>
      </c>
      <c r="Q25" s="227">
        <v>1262.01</v>
      </c>
      <c r="R25" s="175"/>
      <c r="S25" s="175"/>
      <c r="T25" s="175"/>
      <c r="U25" s="175"/>
      <c r="V25" s="228">
        <v>140.22</v>
      </c>
      <c r="W25" s="227">
        <v>32.9</v>
      </c>
      <c r="X25" s="175">
        <v>37.700000000000003</v>
      </c>
      <c r="Y25" s="228">
        <v>37.700000000000003</v>
      </c>
      <c r="Z25" s="67">
        <f t="shared" si="1"/>
        <v>45.24</v>
      </c>
      <c r="AA25" s="40">
        <f t="shared" si="2"/>
        <v>11.300000000000004</v>
      </c>
      <c r="AB25" s="40">
        <f t="shared" si="3"/>
        <v>33.94</v>
      </c>
      <c r="AC25" s="67">
        <v>1.5</v>
      </c>
      <c r="AD25" s="67">
        <v>1</v>
      </c>
      <c r="AE25" s="229">
        <f t="shared" si="6"/>
        <v>43.51</v>
      </c>
      <c r="AF25" s="67"/>
      <c r="AG25" s="67"/>
      <c r="AH25" s="67">
        <f>ROUND((P25+N25)*$AH$1/12,2)</f>
        <v>993.67</v>
      </c>
      <c r="AI25" s="67"/>
      <c r="AJ25" s="175"/>
      <c r="AK25" s="67">
        <f>ROUND(((N25+P25)/12)*0.03,2)</f>
        <v>166.82</v>
      </c>
      <c r="AL25" s="67">
        <v>929.47</v>
      </c>
      <c r="AM25" s="67">
        <v>299.19</v>
      </c>
      <c r="AN25" s="230"/>
      <c r="AO25" s="72"/>
      <c r="AP25" s="350">
        <f t="shared" si="9"/>
        <v>0</v>
      </c>
      <c r="AQ25" s="350">
        <f t="shared" si="10"/>
        <v>0</v>
      </c>
      <c r="AR25" s="350">
        <f t="shared" si="11"/>
        <v>66726.399999999994</v>
      </c>
    </row>
    <row r="26" spans="1:44" x14ac:dyDescent="0.25">
      <c r="A26" s="1">
        <v>34</v>
      </c>
      <c r="B26" s="1">
        <v>35</v>
      </c>
      <c r="C26" s="1">
        <v>36</v>
      </c>
      <c r="D26" s="1">
        <v>40</v>
      </c>
      <c r="E26" s="1">
        <v>43</v>
      </c>
      <c r="F26" s="1">
        <v>47</v>
      </c>
      <c r="G26" s="19">
        <v>33714</v>
      </c>
      <c r="H26" s="1"/>
      <c r="I26" s="1" t="s">
        <v>65</v>
      </c>
      <c r="J26" s="1"/>
      <c r="L26" s="1">
        <v>497</v>
      </c>
      <c r="M26" s="40">
        <v>24.01</v>
      </c>
      <c r="N26" s="40">
        <f t="shared" si="4"/>
        <v>49940.800000000003</v>
      </c>
      <c r="O26" s="26">
        <f t="shared" si="0"/>
        <v>4.7493393255582106E-3</v>
      </c>
      <c r="P26" s="33">
        <f t="shared" si="5"/>
        <v>0</v>
      </c>
      <c r="Q26" s="227"/>
      <c r="R26" s="175"/>
      <c r="S26" s="175"/>
      <c r="T26" s="175">
        <v>931.64</v>
      </c>
      <c r="U26" s="175"/>
      <c r="V26" s="228">
        <v>103.52</v>
      </c>
      <c r="W26" s="227">
        <v>32.9</v>
      </c>
      <c r="X26" s="175">
        <v>37.700000000000003</v>
      </c>
      <c r="Y26" s="228">
        <v>37.700000000000003</v>
      </c>
      <c r="Z26" s="67">
        <f t="shared" si="1"/>
        <v>33.86</v>
      </c>
      <c r="AA26" s="40">
        <f t="shared" si="2"/>
        <v>11.3</v>
      </c>
      <c r="AB26" s="40">
        <f t="shared" si="3"/>
        <v>22.56</v>
      </c>
      <c r="AC26" s="67">
        <v>1.5</v>
      </c>
      <c r="AD26" s="67"/>
      <c r="AE26" s="229">
        <f t="shared" si="6"/>
        <v>32.56</v>
      </c>
      <c r="AF26" s="67">
        <f>ROUND((P26+N26)*$AF$1/12,2)</f>
        <v>833.6</v>
      </c>
      <c r="AG26" s="67"/>
      <c r="AH26" s="67"/>
      <c r="AI26" s="67">
        <f>ROUND(((P26+N26)/12)*0.03,2)</f>
        <v>124.85</v>
      </c>
      <c r="AJ26" s="175"/>
      <c r="AK26" s="67"/>
      <c r="AL26" s="67">
        <v>929.47</v>
      </c>
      <c r="AM26" s="67">
        <v>299.19</v>
      </c>
      <c r="AN26" s="230"/>
      <c r="AO26" s="72"/>
      <c r="AP26" s="350">
        <f t="shared" si="9"/>
        <v>49940.800000000003</v>
      </c>
      <c r="AQ26" s="350">
        <f t="shared" si="10"/>
        <v>0</v>
      </c>
      <c r="AR26" s="350">
        <f t="shared" si="11"/>
        <v>0</v>
      </c>
    </row>
    <row r="27" spans="1:44" x14ac:dyDescent="0.25">
      <c r="A27" s="1"/>
      <c r="B27" s="1"/>
      <c r="C27" s="1"/>
      <c r="D27" s="1"/>
      <c r="E27" s="1"/>
      <c r="F27" s="1">
        <v>30</v>
      </c>
      <c r="G27" s="19">
        <v>42184</v>
      </c>
      <c r="H27" s="1"/>
      <c r="I27" s="1"/>
      <c r="J27" s="1" t="s">
        <v>65</v>
      </c>
      <c r="L27" s="1">
        <v>685</v>
      </c>
      <c r="M27" s="40">
        <v>18.260000000000002</v>
      </c>
      <c r="N27" s="40">
        <f t="shared" si="4"/>
        <v>37980.800000000003</v>
      </c>
      <c r="O27" s="26">
        <f t="shared" si="0"/>
        <v>3.6119506907410629E-3</v>
      </c>
      <c r="P27" s="33">
        <f t="shared" si="5"/>
        <v>0</v>
      </c>
      <c r="Q27" s="227">
        <v>1262.01</v>
      </c>
      <c r="R27" s="175"/>
      <c r="S27" s="175"/>
      <c r="T27" s="175"/>
      <c r="U27" s="175"/>
      <c r="V27" s="228">
        <v>140.22</v>
      </c>
      <c r="W27" s="227">
        <v>32.9</v>
      </c>
      <c r="X27" s="175">
        <v>37.700000000000003</v>
      </c>
      <c r="Y27" s="228">
        <v>37.700000000000003</v>
      </c>
      <c r="Z27" s="67">
        <f t="shared" si="1"/>
        <v>25.75</v>
      </c>
      <c r="AA27" s="40">
        <f t="shared" si="2"/>
        <v>11.3</v>
      </c>
      <c r="AB27" s="40">
        <f t="shared" si="3"/>
        <v>14.45</v>
      </c>
      <c r="AC27" s="67">
        <v>0.6</v>
      </c>
      <c r="AD27" s="67">
        <v>1</v>
      </c>
      <c r="AE27" s="229">
        <f t="shared" si="6"/>
        <v>24.76</v>
      </c>
      <c r="AF27" s="67"/>
      <c r="AG27" s="67"/>
      <c r="AH27" s="67">
        <f t="shared" ref="AH27:AH28" si="18">ROUND((P27+N27)*$AH$1/12,2)</f>
        <v>565.6</v>
      </c>
      <c r="AI27" s="67"/>
      <c r="AJ27" s="175"/>
      <c r="AK27" s="67">
        <f t="shared" ref="AK27" si="19">ROUND(((N27+P27)/12)*0.03,2)</f>
        <v>94.95</v>
      </c>
      <c r="AL27" s="67">
        <v>929.47</v>
      </c>
      <c r="AM27" s="67">
        <v>299.19</v>
      </c>
      <c r="AN27" s="230"/>
      <c r="AO27" s="72"/>
      <c r="AP27" s="350">
        <f t="shared" si="9"/>
        <v>0</v>
      </c>
      <c r="AQ27" s="350">
        <f t="shared" si="10"/>
        <v>0</v>
      </c>
      <c r="AR27" s="350">
        <f t="shared" si="11"/>
        <v>37980.800000000003</v>
      </c>
    </row>
    <row r="28" spans="1:44" x14ac:dyDescent="0.25">
      <c r="A28" s="1">
        <v>23</v>
      </c>
      <c r="B28" s="1">
        <v>24</v>
      </c>
      <c r="C28" s="1">
        <v>25</v>
      </c>
      <c r="D28" s="1">
        <v>29</v>
      </c>
      <c r="E28" s="1">
        <v>32</v>
      </c>
      <c r="F28" s="1">
        <v>36</v>
      </c>
      <c r="G28" s="19">
        <v>36893</v>
      </c>
      <c r="H28" s="1"/>
      <c r="I28" s="1"/>
      <c r="J28" s="1" t="s">
        <v>65</v>
      </c>
      <c r="L28" s="1">
        <v>538</v>
      </c>
      <c r="M28" s="40">
        <v>31.93</v>
      </c>
      <c r="N28" s="40">
        <f t="shared" si="4"/>
        <v>66414.399999999994</v>
      </c>
      <c r="O28" s="26">
        <f t="shared" si="0"/>
        <v>6.3159685408193935E-3</v>
      </c>
      <c r="P28" s="33">
        <f t="shared" si="5"/>
        <v>0</v>
      </c>
      <c r="Q28" s="227">
        <v>1262.01</v>
      </c>
      <c r="R28" s="175"/>
      <c r="S28" s="175"/>
      <c r="T28" s="175"/>
      <c r="U28" s="175"/>
      <c r="V28" s="228">
        <v>140.22</v>
      </c>
      <c r="W28" s="227">
        <v>32.9</v>
      </c>
      <c r="X28" s="175">
        <v>37.700000000000003</v>
      </c>
      <c r="Y28" s="228">
        <v>37.700000000000003</v>
      </c>
      <c r="Z28" s="67">
        <f t="shared" si="1"/>
        <v>45.03</v>
      </c>
      <c r="AA28" s="40">
        <f t="shared" si="2"/>
        <v>11.300000000000004</v>
      </c>
      <c r="AB28" s="40">
        <f t="shared" si="3"/>
        <v>33.729999999999997</v>
      </c>
      <c r="AC28" s="67">
        <v>0.9</v>
      </c>
      <c r="AD28" s="67">
        <v>1</v>
      </c>
      <c r="AE28" s="229">
        <f t="shared" si="6"/>
        <v>43.3</v>
      </c>
      <c r="AF28" s="67"/>
      <c r="AG28" s="67"/>
      <c r="AH28" s="67">
        <f t="shared" si="18"/>
        <v>989.02</v>
      </c>
      <c r="AI28" s="67"/>
      <c r="AJ28" s="175"/>
      <c r="AK28" s="344">
        <f>ROUND(((N28+P28)/12)*0,2)</f>
        <v>0</v>
      </c>
      <c r="AL28" s="67">
        <v>929.47</v>
      </c>
      <c r="AM28" s="67">
        <v>299.19</v>
      </c>
      <c r="AN28" s="230"/>
      <c r="AO28" s="72"/>
      <c r="AP28" s="350">
        <f t="shared" si="9"/>
        <v>0</v>
      </c>
      <c r="AQ28" s="350">
        <f t="shared" si="10"/>
        <v>0</v>
      </c>
      <c r="AR28" s="415">
        <f>+N28</f>
        <v>66414.399999999994</v>
      </c>
    </row>
    <row r="29" spans="1:44" x14ac:dyDescent="0.25">
      <c r="A29" s="1">
        <v>39</v>
      </c>
      <c r="B29" s="1">
        <v>40</v>
      </c>
      <c r="C29" s="1">
        <v>41</v>
      </c>
      <c r="D29" s="1">
        <v>45</v>
      </c>
      <c r="E29" s="1">
        <v>48</v>
      </c>
      <c r="F29" s="1">
        <v>52</v>
      </c>
      <c r="G29" s="19">
        <v>33063</v>
      </c>
      <c r="H29" s="1"/>
      <c r="I29" s="1" t="s">
        <v>65</v>
      </c>
      <c r="J29" s="1"/>
      <c r="L29" s="1">
        <v>335</v>
      </c>
      <c r="M29" s="40">
        <v>54.5</v>
      </c>
      <c r="N29" s="40">
        <f t="shared" si="4"/>
        <v>113360</v>
      </c>
      <c r="O29" s="26">
        <f t="shared" si="0"/>
        <v>1.0780466190875571E-2</v>
      </c>
      <c r="P29" s="33">
        <f t="shared" si="5"/>
        <v>0</v>
      </c>
      <c r="Q29" s="227">
        <v>1262.01</v>
      </c>
      <c r="R29" s="175"/>
      <c r="S29" s="175"/>
      <c r="T29" s="175"/>
      <c r="U29" s="175"/>
      <c r="V29" s="228">
        <v>140.22</v>
      </c>
      <c r="W29" s="227">
        <v>32.9</v>
      </c>
      <c r="X29" s="175">
        <v>37.700000000000003</v>
      </c>
      <c r="Y29" s="228">
        <v>37.700000000000003</v>
      </c>
      <c r="Z29" s="67">
        <f t="shared" si="1"/>
        <v>76.86</v>
      </c>
      <c r="AA29" s="40">
        <f t="shared" si="2"/>
        <v>11.299999999999997</v>
      </c>
      <c r="AB29" s="40">
        <f t="shared" si="3"/>
        <v>65.56</v>
      </c>
      <c r="AC29" s="67">
        <v>2.2999999999999998</v>
      </c>
      <c r="AD29" s="67">
        <v>1</v>
      </c>
      <c r="AE29" s="229">
        <f t="shared" si="6"/>
        <v>73.91</v>
      </c>
      <c r="AF29" s="67">
        <f>ROUND((P29+N29)*$AF$1/12,2)</f>
        <v>1892.17</v>
      </c>
      <c r="AG29" s="67"/>
      <c r="AH29" s="67"/>
      <c r="AI29" s="67">
        <f>ROUND(((P29+N29)/12)*0.03,2)</f>
        <v>283.39999999999998</v>
      </c>
      <c r="AJ29" s="175"/>
      <c r="AK29" s="67"/>
      <c r="AL29" s="67">
        <v>929.47</v>
      </c>
      <c r="AM29" s="67">
        <v>299.19</v>
      </c>
      <c r="AN29" s="230"/>
      <c r="AO29" s="72"/>
      <c r="AP29" s="350">
        <f t="shared" si="9"/>
        <v>113360</v>
      </c>
      <c r="AQ29" s="350">
        <f t="shared" si="10"/>
        <v>0</v>
      </c>
      <c r="AR29" s="350">
        <f t="shared" si="11"/>
        <v>0</v>
      </c>
    </row>
    <row r="30" spans="1:44" x14ac:dyDescent="0.25">
      <c r="A30" s="1"/>
      <c r="B30" s="1"/>
      <c r="C30" s="1"/>
      <c r="D30" s="1"/>
      <c r="E30" s="1"/>
      <c r="F30" s="1">
        <v>22</v>
      </c>
      <c r="G30" s="19">
        <v>41540</v>
      </c>
      <c r="H30" s="1"/>
      <c r="I30" s="1"/>
      <c r="J30" s="1" t="s">
        <v>65</v>
      </c>
      <c r="L30" s="1">
        <v>660</v>
      </c>
      <c r="M30" s="40">
        <v>21.01</v>
      </c>
      <c r="N30" s="40">
        <f t="shared" si="4"/>
        <v>43700.800000000003</v>
      </c>
      <c r="O30" s="26">
        <f t="shared" si="0"/>
        <v>4.155919168262307E-3</v>
      </c>
      <c r="P30" s="33">
        <f t="shared" si="5"/>
        <v>0</v>
      </c>
      <c r="Q30" s="227"/>
      <c r="R30" s="175">
        <v>371.25</v>
      </c>
      <c r="S30" s="175"/>
      <c r="T30" s="175"/>
      <c r="U30" s="175"/>
      <c r="V30" s="228">
        <v>41.25</v>
      </c>
      <c r="W30" s="227">
        <v>32.9</v>
      </c>
      <c r="X30" s="175"/>
      <c r="Y30" s="228"/>
      <c r="Z30" s="67">
        <f>ROUND((N30+P30)*3*$Z$2,2)</f>
        <v>29.63</v>
      </c>
      <c r="AA30" s="40">
        <f t="shared" si="2"/>
        <v>11.3</v>
      </c>
      <c r="AB30" s="40">
        <f t="shared" si="3"/>
        <v>18.329999999999998</v>
      </c>
      <c r="AC30" s="67"/>
      <c r="AD30" s="67"/>
      <c r="AE30" s="229">
        <f t="shared" si="6"/>
        <v>28.49</v>
      </c>
      <c r="AF30" s="67"/>
      <c r="AG30" s="67"/>
      <c r="AH30" s="67">
        <f t="shared" ref="AH30:AH31" si="20">ROUND((P30+N30)*$AH$1/12,2)</f>
        <v>650.78</v>
      </c>
      <c r="AI30" s="67"/>
      <c r="AJ30" s="175"/>
      <c r="AK30" s="67">
        <f t="shared" ref="AK30:AK31" si="21">ROUND(((N30+P30)/12)*0.03,2)</f>
        <v>109.25</v>
      </c>
      <c r="AL30" s="67">
        <v>929.47</v>
      </c>
      <c r="AM30" s="67">
        <v>299.19</v>
      </c>
      <c r="AN30" s="230"/>
      <c r="AO30" s="72"/>
      <c r="AP30" s="350">
        <f t="shared" si="9"/>
        <v>0</v>
      </c>
      <c r="AQ30" s="350">
        <f t="shared" si="10"/>
        <v>0</v>
      </c>
      <c r="AR30" s="350">
        <f t="shared" si="11"/>
        <v>43700.800000000003</v>
      </c>
    </row>
    <row r="31" spans="1:44" x14ac:dyDescent="0.25">
      <c r="A31" s="1">
        <v>40</v>
      </c>
      <c r="B31" s="1">
        <v>41</v>
      </c>
      <c r="C31" s="1">
        <v>42</v>
      </c>
      <c r="D31" s="1">
        <v>46</v>
      </c>
      <c r="E31" s="1">
        <v>49</v>
      </c>
      <c r="F31" s="1">
        <v>53</v>
      </c>
      <c r="G31" s="19">
        <v>34960</v>
      </c>
      <c r="H31" s="1" t="s">
        <v>65</v>
      </c>
      <c r="I31" s="1"/>
      <c r="J31" s="1"/>
      <c r="L31" s="1">
        <v>455</v>
      </c>
      <c r="M31" s="40">
        <v>31.93</v>
      </c>
      <c r="N31" s="40">
        <f t="shared" si="4"/>
        <v>66414.399999999994</v>
      </c>
      <c r="O31" s="26">
        <f t="shared" si="0"/>
        <v>6.3159685408193935E-3</v>
      </c>
      <c r="P31" s="33">
        <f t="shared" si="5"/>
        <v>0</v>
      </c>
      <c r="Q31" s="227">
        <v>1262.01</v>
      </c>
      <c r="R31" s="175"/>
      <c r="S31" s="175"/>
      <c r="T31" s="175"/>
      <c r="U31" s="175"/>
      <c r="V31" s="228">
        <v>140.22</v>
      </c>
      <c r="W31" s="227">
        <v>32.9</v>
      </c>
      <c r="X31" s="175">
        <v>37.700000000000003</v>
      </c>
      <c r="Y31" s="228">
        <v>37.700000000000003</v>
      </c>
      <c r="Z31" s="67">
        <f t="shared" si="1"/>
        <v>45.03</v>
      </c>
      <c r="AA31" s="40">
        <f t="shared" si="2"/>
        <v>11.300000000000004</v>
      </c>
      <c r="AB31" s="40">
        <f t="shared" si="3"/>
        <v>33.729999999999997</v>
      </c>
      <c r="AC31" s="67">
        <v>2.2999999999999998</v>
      </c>
      <c r="AD31" s="67">
        <v>1</v>
      </c>
      <c r="AE31" s="229">
        <f t="shared" si="6"/>
        <v>43.3</v>
      </c>
      <c r="AF31" s="67"/>
      <c r="AG31" s="67"/>
      <c r="AH31" s="67">
        <f t="shared" si="20"/>
        <v>989.02</v>
      </c>
      <c r="AI31" s="67"/>
      <c r="AJ31" s="175"/>
      <c r="AK31" s="67">
        <f t="shared" si="21"/>
        <v>166.04</v>
      </c>
      <c r="AL31" s="67">
        <v>929.47</v>
      </c>
      <c r="AM31" s="67">
        <v>299.19</v>
      </c>
      <c r="AN31" s="230"/>
      <c r="AO31" s="72"/>
      <c r="AP31" s="350">
        <f t="shared" si="9"/>
        <v>0</v>
      </c>
      <c r="AQ31" s="350">
        <f t="shared" si="10"/>
        <v>0</v>
      </c>
      <c r="AR31" s="350">
        <f t="shared" si="11"/>
        <v>66414.399999999994</v>
      </c>
    </row>
    <row r="32" spans="1:44" x14ac:dyDescent="0.25">
      <c r="A32" s="1">
        <v>43</v>
      </c>
      <c r="B32" s="1">
        <v>44</v>
      </c>
      <c r="C32" s="1">
        <v>45</v>
      </c>
      <c r="D32" s="1">
        <v>49</v>
      </c>
      <c r="E32" s="1">
        <v>52</v>
      </c>
      <c r="F32" s="1">
        <v>56</v>
      </c>
      <c r="G32" s="19">
        <v>28587</v>
      </c>
      <c r="H32" s="1"/>
      <c r="I32" s="1" t="s">
        <v>65</v>
      </c>
      <c r="J32" s="1"/>
      <c r="L32" s="1">
        <v>314</v>
      </c>
      <c r="M32" s="40">
        <v>31.93</v>
      </c>
      <c r="N32" s="40">
        <f t="shared" si="4"/>
        <v>66414.399999999994</v>
      </c>
      <c r="O32" s="26">
        <f t="shared" si="0"/>
        <v>6.3159685408193935E-3</v>
      </c>
      <c r="P32" s="33">
        <f t="shared" si="5"/>
        <v>0</v>
      </c>
      <c r="Q32" s="227"/>
      <c r="R32" s="175"/>
      <c r="S32" s="175"/>
      <c r="T32" s="175">
        <v>931.64</v>
      </c>
      <c r="U32" s="175"/>
      <c r="V32" s="228">
        <v>103.52</v>
      </c>
      <c r="W32" s="227">
        <v>32.9</v>
      </c>
      <c r="X32" s="175">
        <v>37.700000000000003</v>
      </c>
      <c r="Y32" s="228">
        <v>37.700000000000003</v>
      </c>
      <c r="Z32" s="67">
        <f t="shared" si="1"/>
        <v>45.03</v>
      </c>
      <c r="AA32" s="40">
        <f t="shared" si="2"/>
        <v>11.300000000000004</v>
      </c>
      <c r="AB32" s="40">
        <f t="shared" si="3"/>
        <v>33.729999999999997</v>
      </c>
      <c r="AC32" s="67">
        <v>4.3</v>
      </c>
      <c r="AD32" s="67"/>
      <c r="AE32" s="229">
        <f t="shared" si="6"/>
        <v>43.3</v>
      </c>
      <c r="AF32" s="67">
        <f t="shared" ref="AF32:AF34" si="22">ROUND((P32+N32)*$AF$1/12,2)</f>
        <v>1108.57</v>
      </c>
      <c r="AG32" s="67"/>
      <c r="AH32" s="67"/>
      <c r="AI32" s="67">
        <f t="shared" ref="AI32:AI34" si="23">ROUND(((P32+N32)/12)*0.03,2)</f>
        <v>166.04</v>
      </c>
      <c r="AJ32" s="175"/>
      <c r="AK32" s="67"/>
      <c r="AL32" s="67">
        <v>929.47</v>
      </c>
      <c r="AM32" s="67">
        <v>299.19</v>
      </c>
      <c r="AN32" s="230"/>
      <c r="AO32" s="72"/>
      <c r="AP32" s="350">
        <f t="shared" si="9"/>
        <v>66414.399999999994</v>
      </c>
      <c r="AQ32" s="350">
        <f t="shared" si="10"/>
        <v>0</v>
      </c>
      <c r="AR32" s="350">
        <f t="shared" si="11"/>
        <v>0</v>
      </c>
    </row>
    <row r="33" spans="1:44" x14ac:dyDescent="0.25">
      <c r="A33" s="1">
        <v>44</v>
      </c>
      <c r="B33" s="1">
        <v>45</v>
      </c>
      <c r="C33" s="1">
        <v>46</v>
      </c>
      <c r="D33" s="1">
        <v>50</v>
      </c>
      <c r="E33" s="1">
        <v>53</v>
      </c>
      <c r="F33" s="1">
        <v>57</v>
      </c>
      <c r="G33" s="19">
        <v>35044</v>
      </c>
      <c r="H33" s="1"/>
      <c r="I33" s="1" t="s">
        <v>65</v>
      </c>
      <c r="J33" s="1"/>
      <c r="L33" s="1">
        <v>428</v>
      </c>
      <c r="M33" s="40">
        <v>32.6</v>
      </c>
      <c r="N33" s="40">
        <f t="shared" si="4"/>
        <v>67808</v>
      </c>
      <c r="O33" s="26">
        <f t="shared" si="0"/>
        <v>6.4484990426154788E-3</v>
      </c>
      <c r="P33" s="33">
        <f t="shared" si="5"/>
        <v>0</v>
      </c>
      <c r="Q33" s="227">
        <v>1262.01</v>
      </c>
      <c r="R33" s="175"/>
      <c r="S33" s="175"/>
      <c r="T33" s="175"/>
      <c r="U33" s="175"/>
      <c r="V33" s="228">
        <v>140.22</v>
      </c>
      <c r="W33" s="227">
        <v>32.9</v>
      </c>
      <c r="X33" s="175">
        <v>37.700000000000003</v>
      </c>
      <c r="Y33" s="228">
        <v>37.700000000000003</v>
      </c>
      <c r="Z33" s="67">
        <f t="shared" si="1"/>
        <v>45.97</v>
      </c>
      <c r="AA33" s="40">
        <f t="shared" si="2"/>
        <v>11.299999999999997</v>
      </c>
      <c r="AB33" s="40">
        <f t="shared" si="3"/>
        <v>34.67</v>
      </c>
      <c r="AC33" s="67">
        <v>4.3</v>
      </c>
      <c r="AD33" s="67">
        <v>1</v>
      </c>
      <c r="AE33" s="229">
        <f t="shared" si="6"/>
        <v>44.21</v>
      </c>
      <c r="AF33" s="67">
        <f t="shared" si="22"/>
        <v>1131.83</v>
      </c>
      <c r="AG33" s="67"/>
      <c r="AH33" s="67"/>
      <c r="AI33" s="67">
        <f t="shared" si="23"/>
        <v>169.52</v>
      </c>
      <c r="AJ33" s="175"/>
      <c r="AK33" s="67"/>
      <c r="AL33" s="67">
        <v>929.47</v>
      </c>
      <c r="AM33" s="67">
        <v>299.19</v>
      </c>
      <c r="AN33" s="230"/>
      <c r="AO33" s="72"/>
      <c r="AP33" s="350">
        <f t="shared" si="9"/>
        <v>67808</v>
      </c>
      <c r="AQ33" s="350">
        <f t="shared" si="10"/>
        <v>0</v>
      </c>
      <c r="AR33" s="350">
        <f t="shared" si="11"/>
        <v>0</v>
      </c>
    </row>
    <row r="34" spans="1:44" x14ac:dyDescent="0.25">
      <c r="A34" s="1">
        <v>37</v>
      </c>
      <c r="B34" s="1">
        <v>38</v>
      </c>
      <c r="C34" s="1">
        <v>39</v>
      </c>
      <c r="D34" s="1">
        <v>43</v>
      </c>
      <c r="E34" s="1">
        <v>46</v>
      </c>
      <c r="F34" s="1">
        <v>50</v>
      </c>
      <c r="G34" s="19">
        <v>34673</v>
      </c>
      <c r="H34" s="1"/>
      <c r="I34" s="1" t="s">
        <v>65</v>
      </c>
      <c r="J34" s="1"/>
      <c r="L34" s="1">
        <v>129</v>
      </c>
      <c r="M34" s="40">
        <v>31.89</v>
      </c>
      <c r="N34" s="40">
        <f t="shared" si="4"/>
        <v>66331.199999999997</v>
      </c>
      <c r="O34" s="26">
        <f t="shared" si="0"/>
        <v>6.3080562720554479E-3</v>
      </c>
      <c r="P34" s="33">
        <f t="shared" si="5"/>
        <v>0</v>
      </c>
      <c r="Q34" s="227">
        <v>1262.01</v>
      </c>
      <c r="R34" s="175"/>
      <c r="S34" s="175"/>
      <c r="T34" s="175"/>
      <c r="U34" s="175"/>
      <c r="V34" s="228">
        <v>140.22</v>
      </c>
      <c r="W34" s="227">
        <v>32.9</v>
      </c>
      <c r="X34" s="175">
        <v>37.700000000000003</v>
      </c>
      <c r="Y34" s="228">
        <v>37.700000000000003</v>
      </c>
      <c r="Z34" s="67">
        <f t="shared" si="1"/>
        <v>44.97</v>
      </c>
      <c r="AA34" s="40">
        <f t="shared" si="2"/>
        <v>11.299999999999997</v>
      </c>
      <c r="AB34" s="40">
        <f t="shared" si="3"/>
        <v>33.67</v>
      </c>
      <c r="AC34" s="67">
        <v>1.5</v>
      </c>
      <c r="AD34" s="67">
        <v>1</v>
      </c>
      <c r="AE34" s="229">
        <f t="shared" si="6"/>
        <v>43.25</v>
      </c>
      <c r="AF34" s="67">
        <f t="shared" si="22"/>
        <v>1107.18</v>
      </c>
      <c r="AG34" s="67"/>
      <c r="AH34" s="67"/>
      <c r="AI34" s="67">
        <f t="shared" si="23"/>
        <v>165.83</v>
      </c>
      <c r="AJ34" s="175"/>
      <c r="AK34" s="67"/>
      <c r="AL34" s="67">
        <v>929.47</v>
      </c>
      <c r="AM34" s="67">
        <v>299.19</v>
      </c>
      <c r="AN34" s="230"/>
      <c r="AO34" s="72"/>
      <c r="AP34" s="350">
        <f t="shared" si="9"/>
        <v>66331.199999999997</v>
      </c>
      <c r="AQ34" s="350">
        <f t="shared" si="10"/>
        <v>0</v>
      </c>
      <c r="AR34" s="350">
        <f t="shared" si="11"/>
        <v>0</v>
      </c>
    </row>
    <row r="35" spans="1:44" x14ac:dyDescent="0.25">
      <c r="A35" s="1"/>
      <c r="B35" s="1"/>
      <c r="C35" s="1"/>
      <c r="D35" s="1"/>
      <c r="E35" s="1"/>
      <c r="F35" s="1">
        <v>26</v>
      </c>
      <c r="G35" s="19">
        <v>40504</v>
      </c>
      <c r="H35" s="1"/>
      <c r="I35" s="1"/>
      <c r="J35" s="1" t="s">
        <v>65</v>
      </c>
      <c r="L35" s="1">
        <v>205</v>
      </c>
      <c r="M35" s="40">
        <v>29.34</v>
      </c>
      <c r="N35" s="40">
        <f t="shared" si="4"/>
        <v>61027.199999999997</v>
      </c>
      <c r="O35" s="26">
        <f t="shared" si="0"/>
        <v>5.8036491383539309E-3</v>
      </c>
      <c r="P35" s="33">
        <f t="shared" si="5"/>
        <v>0</v>
      </c>
      <c r="Q35" s="227"/>
      <c r="R35" s="175">
        <v>371.25</v>
      </c>
      <c r="S35" s="175"/>
      <c r="T35" s="175"/>
      <c r="U35" s="175"/>
      <c r="V35" s="228">
        <v>41.25</v>
      </c>
      <c r="W35" s="227">
        <v>32.9</v>
      </c>
      <c r="X35" s="175"/>
      <c r="Y35" s="228"/>
      <c r="Z35" s="67">
        <f t="shared" si="1"/>
        <v>41.38</v>
      </c>
      <c r="AA35" s="40">
        <f t="shared" si="2"/>
        <v>11.300000000000004</v>
      </c>
      <c r="AB35" s="40">
        <f t="shared" si="3"/>
        <v>30.08</v>
      </c>
      <c r="AC35" s="67"/>
      <c r="AD35" s="67"/>
      <c r="AE35" s="229">
        <f t="shared" si="6"/>
        <v>39.79</v>
      </c>
      <c r="AF35" s="67"/>
      <c r="AG35" s="67"/>
      <c r="AH35" s="67">
        <f>ROUND((P35+N35)*$AH$1/12,2)</f>
        <v>908.8</v>
      </c>
      <c r="AI35" s="67"/>
      <c r="AJ35" s="175"/>
      <c r="AK35" s="67">
        <f>ROUND(((N35+P35)/12)*0.03,2)</f>
        <v>152.57</v>
      </c>
      <c r="AL35" s="67">
        <v>929.47</v>
      </c>
      <c r="AM35" s="67">
        <v>299.19</v>
      </c>
      <c r="AN35" s="230"/>
      <c r="AO35" s="72"/>
      <c r="AP35" s="350">
        <f t="shared" si="9"/>
        <v>0</v>
      </c>
      <c r="AQ35" s="350">
        <f t="shared" si="10"/>
        <v>0</v>
      </c>
      <c r="AR35" s="350">
        <f t="shared" si="11"/>
        <v>61027.199999999997</v>
      </c>
    </row>
    <row r="36" spans="1:44" x14ac:dyDescent="0.25">
      <c r="A36" s="1">
        <v>42</v>
      </c>
      <c r="B36" s="1">
        <v>43</v>
      </c>
      <c r="C36" s="1">
        <v>44</v>
      </c>
      <c r="D36" s="1">
        <v>48</v>
      </c>
      <c r="E36" s="1">
        <v>51</v>
      </c>
      <c r="F36" s="1">
        <v>55</v>
      </c>
      <c r="G36" s="19">
        <v>29006</v>
      </c>
      <c r="H36" s="1" t="s">
        <v>65</v>
      </c>
      <c r="I36" s="1"/>
      <c r="J36" s="1"/>
      <c r="L36" s="1">
        <v>220</v>
      </c>
      <c r="M36" s="40">
        <v>37.130000000000003</v>
      </c>
      <c r="N36" s="40">
        <f t="shared" si="4"/>
        <v>77230.400000000009</v>
      </c>
      <c r="O36" s="26">
        <f t="shared" si="0"/>
        <v>7.3445634801322934E-3</v>
      </c>
      <c r="P36" s="33">
        <f t="shared" si="5"/>
        <v>0</v>
      </c>
      <c r="Q36" s="227">
        <v>1262.01</v>
      </c>
      <c r="R36" s="175"/>
      <c r="S36" s="175"/>
      <c r="T36" s="175"/>
      <c r="U36" s="175"/>
      <c r="V36" s="228">
        <v>140.22</v>
      </c>
      <c r="W36" s="227">
        <v>32.9</v>
      </c>
      <c r="X36" s="175">
        <v>37.700000000000003</v>
      </c>
      <c r="Y36" s="228">
        <v>37.700000000000003</v>
      </c>
      <c r="Z36" s="67">
        <f t="shared" si="1"/>
        <v>52.36</v>
      </c>
      <c r="AA36" s="40">
        <f t="shared" si="2"/>
        <v>11.299999999999997</v>
      </c>
      <c r="AB36" s="40">
        <f t="shared" si="3"/>
        <v>41.06</v>
      </c>
      <c r="AC36" s="67">
        <v>2.2999999999999998</v>
      </c>
      <c r="AD36" s="67">
        <v>1</v>
      </c>
      <c r="AE36" s="229">
        <f t="shared" si="6"/>
        <v>50.35</v>
      </c>
      <c r="AF36" s="67"/>
      <c r="AG36" s="67">
        <f t="shared" ref="AG36:AG37" si="24">ROUND((P36+N36)*$AG$1/12,2)</f>
        <v>1289.0999999999999</v>
      </c>
      <c r="AH36" s="67"/>
      <c r="AI36" s="67"/>
      <c r="AJ36" s="67">
        <f t="shared" ref="AJ36:AJ37" si="25">ROUND(((P36+N36)/12)*0.03,2)</f>
        <v>193.08</v>
      </c>
      <c r="AK36" s="67"/>
      <c r="AL36" s="67">
        <v>929.47</v>
      </c>
      <c r="AM36" s="67">
        <v>299.19</v>
      </c>
      <c r="AN36" s="230"/>
      <c r="AO36" s="72"/>
      <c r="AP36" s="350">
        <f t="shared" si="9"/>
        <v>0</v>
      </c>
      <c r="AQ36" s="350">
        <f t="shared" si="10"/>
        <v>77230.400000000009</v>
      </c>
      <c r="AR36" s="350">
        <f t="shared" si="11"/>
        <v>0</v>
      </c>
    </row>
    <row r="37" spans="1:44" x14ac:dyDescent="0.25">
      <c r="A37" s="1">
        <v>46</v>
      </c>
      <c r="B37" s="1">
        <v>47</v>
      </c>
      <c r="C37" s="1">
        <v>48</v>
      </c>
      <c r="D37" s="1">
        <v>52</v>
      </c>
      <c r="E37" s="1">
        <v>55</v>
      </c>
      <c r="F37" s="1">
        <v>59</v>
      </c>
      <c r="G37" s="19">
        <v>30323</v>
      </c>
      <c r="H37" s="1" t="s">
        <v>65</v>
      </c>
      <c r="I37" s="1"/>
      <c r="J37" s="1"/>
      <c r="L37" s="1">
        <v>316</v>
      </c>
      <c r="M37" s="40">
        <v>36.86</v>
      </c>
      <c r="N37" s="40">
        <f t="shared" si="4"/>
        <v>76668.800000000003</v>
      </c>
      <c r="O37" s="26">
        <f t="shared" si="0"/>
        <v>7.2911556659756615E-3</v>
      </c>
      <c r="P37" s="33">
        <f t="shared" si="5"/>
        <v>0</v>
      </c>
      <c r="Q37" s="227">
        <v>1262.01</v>
      </c>
      <c r="R37" s="175"/>
      <c r="S37" s="175"/>
      <c r="T37" s="175"/>
      <c r="U37" s="175"/>
      <c r="V37" s="228">
        <v>140.22</v>
      </c>
      <c r="W37" s="227">
        <v>32.9</v>
      </c>
      <c r="X37" s="175">
        <v>37.700000000000003</v>
      </c>
      <c r="Y37" s="228">
        <v>37.700000000000003</v>
      </c>
      <c r="Z37" s="67">
        <f t="shared" si="1"/>
        <v>51.98</v>
      </c>
      <c r="AA37" s="40">
        <f t="shared" si="2"/>
        <v>11.299999999999997</v>
      </c>
      <c r="AB37" s="40">
        <f t="shared" si="3"/>
        <v>40.68</v>
      </c>
      <c r="AC37" s="67">
        <v>4.3</v>
      </c>
      <c r="AD37" s="67">
        <v>1</v>
      </c>
      <c r="AE37" s="229">
        <f t="shared" si="6"/>
        <v>49.99</v>
      </c>
      <c r="AF37" s="67"/>
      <c r="AG37" s="67">
        <f t="shared" si="24"/>
        <v>1279.73</v>
      </c>
      <c r="AH37" s="67"/>
      <c r="AI37" s="67"/>
      <c r="AJ37" s="67">
        <f t="shared" si="25"/>
        <v>191.67</v>
      </c>
      <c r="AK37" s="67"/>
      <c r="AL37" s="67">
        <v>929.47</v>
      </c>
      <c r="AM37" s="67">
        <v>299.19</v>
      </c>
      <c r="AN37" s="230"/>
      <c r="AO37" s="72"/>
      <c r="AP37" s="350">
        <f t="shared" si="9"/>
        <v>0</v>
      </c>
      <c r="AQ37" s="350">
        <f t="shared" si="10"/>
        <v>76668.800000000003</v>
      </c>
      <c r="AR37" s="350">
        <f t="shared" si="11"/>
        <v>0</v>
      </c>
    </row>
    <row r="38" spans="1:44" x14ac:dyDescent="0.25">
      <c r="A38" s="1">
        <v>34</v>
      </c>
      <c r="B38" s="1">
        <v>35</v>
      </c>
      <c r="C38" s="1">
        <v>36</v>
      </c>
      <c r="D38" s="1">
        <v>40</v>
      </c>
      <c r="E38" s="1">
        <v>43</v>
      </c>
      <c r="F38" s="1">
        <v>47</v>
      </c>
      <c r="G38" s="19">
        <v>33000</v>
      </c>
      <c r="H38" s="1" t="s">
        <v>65</v>
      </c>
      <c r="I38" s="1"/>
      <c r="J38" s="1"/>
      <c r="L38" s="1">
        <v>395</v>
      </c>
      <c r="M38" s="40">
        <v>37.31</v>
      </c>
      <c r="N38" s="40">
        <f t="shared" si="4"/>
        <v>77604.800000000003</v>
      </c>
      <c r="O38" s="26">
        <f t="shared" ref="O38:O69" si="26">+N38/$N$159</f>
        <v>7.3801686895700472E-3</v>
      </c>
      <c r="P38" s="33">
        <f t="shared" si="5"/>
        <v>0</v>
      </c>
      <c r="Q38" s="227">
        <v>1262.01</v>
      </c>
      <c r="R38" s="175"/>
      <c r="S38" s="175"/>
      <c r="T38" s="175"/>
      <c r="U38" s="175"/>
      <c r="V38" s="228">
        <v>140.22</v>
      </c>
      <c r="W38" s="227">
        <v>32.9</v>
      </c>
      <c r="X38" s="175">
        <v>37.700000000000003</v>
      </c>
      <c r="Y38" s="228">
        <v>37.700000000000003</v>
      </c>
      <c r="Z38" s="67">
        <f t="shared" ref="Z38:Z69" si="27">ROUND((N38+P38)*3*$Z$2,2)</f>
        <v>52.62</v>
      </c>
      <c r="AA38" s="40">
        <f t="shared" ref="AA38:AA69" si="28">+Z38-AB38</f>
        <v>11.299999999999997</v>
      </c>
      <c r="AB38" s="40">
        <f t="shared" ref="AB38:AB69" si="29">ROUND((((N38+P38)*3)-$AB$5)*$Z$2,2)</f>
        <v>41.32</v>
      </c>
      <c r="AC38" s="67">
        <v>1.5</v>
      </c>
      <c r="AD38" s="67">
        <v>1</v>
      </c>
      <c r="AE38" s="229">
        <f t="shared" si="6"/>
        <v>50.6</v>
      </c>
      <c r="AF38" s="67"/>
      <c r="AG38" s="67"/>
      <c r="AH38" s="67">
        <f t="shared" ref="AH38:AH40" si="30">ROUND((P38+N38)*$AH$1/12,2)</f>
        <v>1155.6600000000001</v>
      </c>
      <c r="AI38" s="67"/>
      <c r="AJ38" s="175"/>
      <c r="AK38" s="67">
        <f t="shared" ref="AK38:AK40" si="31">ROUND(((N38+P38)/12)*0.03,2)</f>
        <v>194.01</v>
      </c>
      <c r="AL38" s="67">
        <v>929.47</v>
      </c>
      <c r="AM38" s="67">
        <v>299.19</v>
      </c>
      <c r="AN38" s="230"/>
      <c r="AO38" s="72"/>
      <c r="AP38" s="350">
        <f t="shared" si="9"/>
        <v>0</v>
      </c>
      <c r="AQ38" s="350">
        <f t="shared" si="10"/>
        <v>0</v>
      </c>
      <c r="AR38" s="350">
        <f t="shared" si="11"/>
        <v>77604.800000000003</v>
      </c>
    </row>
    <row r="39" spans="1:44" x14ac:dyDescent="0.25">
      <c r="A39" s="1"/>
      <c r="B39" s="1"/>
      <c r="C39" s="1"/>
      <c r="D39" s="1"/>
      <c r="E39" s="1"/>
      <c r="F39" s="1">
        <v>57</v>
      </c>
      <c r="G39" s="19">
        <v>41687</v>
      </c>
      <c r="H39" s="1"/>
      <c r="I39" s="1"/>
      <c r="J39" s="1" t="s">
        <v>65</v>
      </c>
      <c r="L39" s="1">
        <v>669</v>
      </c>
      <c r="M39" s="40">
        <v>32.49</v>
      </c>
      <c r="N39" s="40">
        <f t="shared" si="4"/>
        <v>67579.199999999997</v>
      </c>
      <c r="O39" s="26">
        <f t="shared" si="26"/>
        <v>6.4267403035146286E-3</v>
      </c>
      <c r="P39" s="33">
        <f t="shared" si="5"/>
        <v>0</v>
      </c>
      <c r="Q39" s="227"/>
      <c r="R39" s="175">
        <v>371.25</v>
      </c>
      <c r="S39" s="175"/>
      <c r="T39" s="175"/>
      <c r="U39" s="175"/>
      <c r="V39" s="228">
        <v>41.25</v>
      </c>
      <c r="W39" s="227">
        <v>32.9</v>
      </c>
      <c r="X39" s="175"/>
      <c r="Y39" s="228"/>
      <c r="Z39" s="67">
        <f t="shared" si="27"/>
        <v>45.82</v>
      </c>
      <c r="AA39" s="40">
        <f t="shared" si="28"/>
        <v>11.299999999999997</v>
      </c>
      <c r="AB39" s="40">
        <f t="shared" si="29"/>
        <v>34.520000000000003</v>
      </c>
      <c r="AC39" s="67">
        <v>4.3</v>
      </c>
      <c r="AD39" s="67"/>
      <c r="AE39" s="229">
        <f t="shared" si="6"/>
        <v>44.06</v>
      </c>
      <c r="AF39" s="67"/>
      <c r="AG39" s="67"/>
      <c r="AH39" s="67">
        <f t="shared" si="30"/>
        <v>1006.37</v>
      </c>
      <c r="AI39" s="67"/>
      <c r="AJ39" s="175"/>
      <c r="AK39" s="67">
        <f t="shared" si="31"/>
        <v>168.95</v>
      </c>
      <c r="AL39" s="67">
        <v>929.47</v>
      </c>
      <c r="AM39" s="67">
        <v>299.19</v>
      </c>
      <c r="AN39" s="230"/>
      <c r="AO39" s="72"/>
      <c r="AP39" s="350">
        <f t="shared" si="9"/>
        <v>0</v>
      </c>
      <c r="AQ39" s="350">
        <f t="shared" si="10"/>
        <v>0</v>
      </c>
      <c r="AR39" s="350">
        <f t="shared" si="11"/>
        <v>67579.199999999997</v>
      </c>
    </row>
    <row r="40" spans="1:44" x14ac:dyDescent="0.25">
      <c r="A40" s="1"/>
      <c r="B40" s="1"/>
      <c r="C40" s="1"/>
      <c r="D40" s="1"/>
      <c r="E40" s="1"/>
      <c r="F40" s="1">
        <v>24</v>
      </c>
      <c r="G40" s="19">
        <v>40882</v>
      </c>
      <c r="H40" s="1"/>
      <c r="I40" s="1"/>
      <c r="J40" s="1" t="s">
        <v>65</v>
      </c>
      <c r="L40" s="1">
        <v>214</v>
      </c>
      <c r="M40" s="40">
        <v>23.1</v>
      </c>
      <c r="N40" s="40">
        <f t="shared" si="4"/>
        <v>48048</v>
      </c>
      <c r="O40" s="26">
        <f t="shared" si="26"/>
        <v>4.5693352111784531E-3</v>
      </c>
      <c r="P40" s="33">
        <f t="shared" si="5"/>
        <v>0</v>
      </c>
      <c r="Q40" s="227"/>
      <c r="R40" s="175"/>
      <c r="S40" s="175"/>
      <c r="T40" s="175">
        <v>931.64</v>
      </c>
      <c r="U40" s="175"/>
      <c r="V40" s="228">
        <v>103.52</v>
      </c>
      <c r="W40" s="227">
        <v>32.9</v>
      </c>
      <c r="X40" s="175">
        <v>37.700000000000003</v>
      </c>
      <c r="Y40" s="228">
        <v>37.700000000000003</v>
      </c>
      <c r="Z40" s="67">
        <f t="shared" si="27"/>
        <v>32.58</v>
      </c>
      <c r="AA40" s="40">
        <f t="shared" si="28"/>
        <v>11.299999999999997</v>
      </c>
      <c r="AB40" s="40">
        <f t="shared" si="29"/>
        <v>21.28</v>
      </c>
      <c r="AC40" s="67">
        <v>0.5</v>
      </c>
      <c r="AD40" s="67"/>
      <c r="AE40" s="229">
        <f t="shared" si="6"/>
        <v>31.33</v>
      </c>
      <c r="AF40" s="67"/>
      <c r="AG40" s="67"/>
      <c r="AH40" s="67">
        <f t="shared" si="30"/>
        <v>715.51</v>
      </c>
      <c r="AI40" s="67"/>
      <c r="AJ40" s="175"/>
      <c r="AK40" s="67">
        <f t="shared" si="31"/>
        <v>120.12</v>
      </c>
      <c r="AL40" s="67">
        <v>929.47</v>
      </c>
      <c r="AM40" s="67">
        <v>299.19</v>
      </c>
      <c r="AN40" s="230"/>
      <c r="AO40" s="72"/>
      <c r="AP40" s="350">
        <f t="shared" si="9"/>
        <v>0</v>
      </c>
      <c r="AQ40" s="350">
        <f t="shared" si="10"/>
        <v>0</v>
      </c>
      <c r="AR40" s="350">
        <f t="shared" si="11"/>
        <v>48048</v>
      </c>
    </row>
    <row r="41" spans="1:44" x14ac:dyDescent="0.25">
      <c r="A41" s="1">
        <v>37</v>
      </c>
      <c r="B41" s="1">
        <v>38</v>
      </c>
      <c r="C41" s="1">
        <v>39</v>
      </c>
      <c r="D41" s="1">
        <v>43</v>
      </c>
      <c r="E41" s="1">
        <v>46</v>
      </c>
      <c r="F41" s="1">
        <v>50</v>
      </c>
      <c r="G41" s="19">
        <v>30833</v>
      </c>
      <c r="H41" s="1" t="s">
        <v>65</v>
      </c>
      <c r="I41" s="1"/>
      <c r="J41" s="1"/>
      <c r="L41" s="1">
        <v>330</v>
      </c>
      <c r="M41" s="40">
        <v>31.95</v>
      </c>
      <c r="N41" s="40">
        <f t="shared" si="4"/>
        <v>66456</v>
      </c>
      <c r="O41" s="26">
        <f t="shared" si="26"/>
        <v>6.3199246752013664E-3</v>
      </c>
      <c r="P41" s="33">
        <f t="shared" si="5"/>
        <v>0</v>
      </c>
      <c r="Q41" s="227">
        <v>1262.01</v>
      </c>
      <c r="R41" s="175"/>
      <c r="S41" s="175"/>
      <c r="T41" s="175"/>
      <c r="U41" s="175"/>
      <c r="V41" s="228">
        <v>140.22</v>
      </c>
      <c r="W41" s="227">
        <v>32.9</v>
      </c>
      <c r="X41" s="175">
        <v>37.700000000000003</v>
      </c>
      <c r="Y41" s="228">
        <v>37.700000000000003</v>
      </c>
      <c r="Z41" s="67">
        <f t="shared" si="27"/>
        <v>45.06</v>
      </c>
      <c r="AA41" s="40">
        <f t="shared" si="28"/>
        <v>11.300000000000004</v>
      </c>
      <c r="AB41" s="40">
        <f t="shared" si="29"/>
        <v>33.76</v>
      </c>
      <c r="AC41" s="67">
        <v>1.5</v>
      </c>
      <c r="AD41" s="67">
        <v>1</v>
      </c>
      <c r="AE41" s="229">
        <f t="shared" si="6"/>
        <v>43.33</v>
      </c>
      <c r="AF41" s="67"/>
      <c r="AG41" s="67">
        <f>ROUND((P41+N41)*$AG$1/12,2)</f>
        <v>1109.26</v>
      </c>
      <c r="AH41" s="67"/>
      <c r="AI41" s="67"/>
      <c r="AJ41" s="67">
        <f>ROUND(((P41+N41)/12)*0.03,2)</f>
        <v>166.14</v>
      </c>
      <c r="AK41" s="67"/>
      <c r="AL41" s="67">
        <v>929.47</v>
      </c>
      <c r="AM41" s="67">
        <v>299.19</v>
      </c>
      <c r="AN41" s="230"/>
      <c r="AO41" s="72"/>
      <c r="AP41" s="350">
        <f t="shared" si="9"/>
        <v>0</v>
      </c>
      <c r="AQ41" s="350">
        <f t="shared" si="10"/>
        <v>66456</v>
      </c>
      <c r="AR41" s="350">
        <f t="shared" si="11"/>
        <v>0</v>
      </c>
    </row>
    <row r="42" spans="1:44" x14ac:dyDescent="0.25">
      <c r="A42" s="1">
        <v>35</v>
      </c>
      <c r="B42" s="1">
        <v>36</v>
      </c>
      <c r="C42" s="1">
        <v>37</v>
      </c>
      <c r="D42" s="1">
        <v>41</v>
      </c>
      <c r="E42" s="1">
        <v>44</v>
      </c>
      <c r="F42" s="1">
        <v>48</v>
      </c>
      <c r="G42" s="19">
        <v>33273</v>
      </c>
      <c r="H42" s="1"/>
      <c r="I42" s="1" t="s">
        <v>65</v>
      </c>
      <c r="J42" s="1"/>
      <c r="L42" s="1">
        <v>420</v>
      </c>
      <c r="M42" s="40">
        <v>31.93</v>
      </c>
      <c r="N42" s="40">
        <f t="shared" si="4"/>
        <v>66414.399999999994</v>
      </c>
      <c r="O42" s="26">
        <f t="shared" si="26"/>
        <v>6.3159685408193935E-3</v>
      </c>
      <c r="P42" s="33">
        <f t="shared" si="5"/>
        <v>0</v>
      </c>
      <c r="Q42" s="227">
        <v>1262.01</v>
      </c>
      <c r="R42" s="175"/>
      <c r="S42" s="175"/>
      <c r="T42" s="175"/>
      <c r="U42" s="175"/>
      <c r="V42" s="228">
        <v>140.22</v>
      </c>
      <c r="W42" s="227">
        <v>32.9</v>
      </c>
      <c r="X42" s="175">
        <v>37.700000000000003</v>
      </c>
      <c r="Y42" s="228">
        <v>37.700000000000003</v>
      </c>
      <c r="Z42" s="67">
        <f t="shared" si="27"/>
        <v>45.03</v>
      </c>
      <c r="AA42" s="40">
        <f t="shared" si="28"/>
        <v>11.300000000000004</v>
      </c>
      <c r="AB42" s="40">
        <f t="shared" si="29"/>
        <v>33.729999999999997</v>
      </c>
      <c r="AC42" s="67">
        <v>1.5</v>
      </c>
      <c r="AD42" s="67">
        <v>1</v>
      </c>
      <c r="AE42" s="229">
        <f t="shared" si="6"/>
        <v>43.3</v>
      </c>
      <c r="AF42" s="67">
        <f>ROUND((P42+N42)*$AF$1/12,2)</f>
        <v>1108.57</v>
      </c>
      <c r="AG42" s="67"/>
      <c r="AH42" s="67"/>
      <c r="AI42" s="67">
        <f>ROUND(((P42+N42)/12)*0.03,2)</f>
        <v>166.04</v>
      </c>
      <c r="AJ42" s="175"/>
      <c r="AK42" s="67"/>
      <c r="AL42" s="67">
        <v>929.47</v>
      </c>
      <c r="AM42" s="67">
        <v>299.19</v>
      </c>
      <c r="AN42" s="230"/>
      <c r="AO42" s="72"/>
      <c r="AP42" s="350">
        <f t="shared" si="9"/>
        <v>66414.399999999994</v>
      </c>
      <c r="AQ42" s="350">
        <f t="shared" si="10"/>
        <v>0</v>
      </c>
      <c r="AR42" s="350">
        <f t="shared" si="11"/>
        <v>0</v>
      </c>
    </row>
    <row r="43" spans="1:44" x14ac:dyDescent="0.25">
      <c r="A43" s="1"/>
      <c r="B43" s="1"/>
      <c r="C43" s="1"/>
      <c r="D43" s="1">
        <v>29</v>
      </c>
      <c r="E43" s="1">
        <v>32</v>
      </c>
      <c r="F43" s="1">
        <v>36</v>
      </c>
      <c r="G43" s="19">
        <v>40315</v>
      </c>
      <c r="H43" s="1"/>
      <c r="I43" s="1"/>
      <c r="J43" s="1" t="s">
        <v>65</v>
      </c>
      <c r="L43" s="1">
        <v>650</v>
      </c>
      <c r="M43" s="40">
        <v>22.64</v>
      </c>
      <c r="N43" s="40">
        <f t="shared" si="4"/>
        <v>47091.200000000004</v>
      </c>
      <c r="O43" s="26">
        <f t="shared" si="26"/>
        <v>4.4783441203930813E-3</v>
      </c>
      <c r="P43" s="33">
        <f t="shared" si="5"/>
        <v>0</v>
      </c>
      <c r="Q43" s="227"/>
      <c r="R43" s="175"/>
      <c r="S43" s="175">
        <v>800.02</v>
      </c>
      <c r="T43" s="175"/>
      <c r="U43" s="175"/>
      <c r="V43" s="228">
        <v>88.89</v>
      </c>
      <c r="W43" s="227">
        <v>32.9</v>
      </c>
      <c r="X43" s="175"/>
      <c r="Y43" s="228"/>
      <c r="Z43" s="67">
        <f t="shared" si="27"/>
        <v>31.93</v>
      </c>
      <c r="AA43" s="40">
        <f t="shared" si="28"/>
        <v>11.3</v>
      </c>
      <c r="AB43" s="40">
        <f t="shared" si="29"/>
        <v>20.63</v>
      </c>
      <c r="AC43" s="67">
        <v>0.9</v>
      </c>
      <c r="AD43" s="67">
        <v>1</v>
      </c>
      <c r="AE43" s="229">
        <f t="shared" si="6"/>
        <v>30.7</v>
      </c>
      <c r="AF43" s="67"/>
      <c r="AG43" s="67"/>
      <c r="AH43" s="67">
        <f t="shared" ref="AH43:AH48" si="32">ROUND((P43+N43)*$AH$1/12,2)</f>
        <v>701.27</v>
      </c>
      <c r="AI43" s="67"/>
      <c r="AJ43" s="175"/>
      <c r="AK43" s="67">
        <f t="shared" ref="AK43:AK48" si="33">ROUND(((N43+P43)/12)*0.03,2)</f>
        <v>117.73</v>
      </c>
      <c r="AL43" s="67">
        <v>929.47</v>
      </c>
      <c r="AM43" s="67">
        <v>299.19</v>
      </c>
      <c r="AN43" s="230"/>
      <c r="AO43" s="72"/>
      <c r="AP43" s="350">
        <f t="shared" si="9"/>
        <v>0</v>
      </c>
      <c r="AQ43" s="350">
        <f t="shared" si="10"/>
        <v>0</v>
      </c>
      <c r="AR43" s="350">
        <f t="shared" si="11"/>
        <v>47091.200000000004</v>
      </c>
    </row>
    <row r="44" spans="1:44" x14ac:dyDescent="0.25">
      <c r="A44" s="1">
        <v>40</v>
      </c>
      <c r="B44" s="1">
        <v>41</v>
      </c>
      <c r="C44" s="1">
        <v>42</v>
      </c>
      <c r="D44" s="1">
        <v>46</v>
      </c>
      <c r="E44" s="1">
        <v>49</v>
      </c>
      <c r="F44" s="1">
        <v>53</v>
      </c>
      <c r="G44" s="19">
        <v>36633</v>
      </c>
      <c r="H44" s="1"/>
      <c r="I44" s="1"/>
      <c r="J44" s="1" t="s">
        <v>65</v>
      </c>
      <c r="L44" s="1">
        <v>519</v>
      </c>
      <c r="M44" s="40">
        <v>69.62</v>
      </c>
      <c r="N44" s="40">
        <f t="shared" si="4"/>
        <v>144809.60000000001</v>
      </c>
      <c r="O44" s="26">
        <f t="shared" si="26"/>
        <v>1.3771303783646922E-2</v>
      </c>
      <c r="P44" s="33">
        <f t="shared" si="5"/>
        <v>0</v>
      </c>
      <c r="Q44" s="227">
        <v>1262.01</v>
      </c>
      <c r="R44" s="175"/>
      <c r="S44" s="175"/>
      <c r="T44" s="175"/>
      <c r="U44" s="175"/>
      <c r="V44" s="228">
        <v>140.22</v>
      </c>
      <c r="W44" s="227">
        <v>32.9</v>
      </c>
      <c r="X44" s="175">
        <v>37.700000000000003</v>
      </c>
      <c r="Y44" s="228">
        <v>37.700000000000003</v>
      </c>
      <c r="Z44" s="67">
        <f t="shared" si="27"/>
        <v>98.18</v>
      </c>
      <c r="AA44" s="40">
        <f t="shared" si="28"/>
        <v>11.300000000000011</v>
      </c>
      <c r="AB44" s="40">
        <f t="shared" si="29"/>
        <v>86.88</v>
      </c>
      <c r="AC44" s="67">
        <v>2.2999999999999998</v>
      </c>
      <c r="AD44" s="67">
        <v>1</v>
      </c>
      <c r="AE44" s="229">
        <f t="shared" si="6"/>
        <v>94.42</v>
      </c>
      <c r="AF44" s="67"/>
      <c r="AG44" s="67"/>
      <c r="AH44" s="67">
        <f t="shared" si="32"/>
        <v>2156.46</v>
      </c>
      <c r="AI44" s="67"/>
      <c r="AJ44" s="175"/>
      <c r="AK44" s="67">
        <f t="shared" si="33"/>
        <v>362.02</v>
      </c>
      <c r="AL44" s="67">
        <v>929.47</v>
      </c>
      <c r="AM44" s="67">
        <v>299.19</v>
      </c>
      <c r="AN44" s="230"/>
      <c r="AO44" s="72"/>
      <c r="AP44" s="350">
        <f t="shared" si="9"/>
        <v>0</v>
      </c>
      <c r="AQ44" s="350">
        <f t="shared" si="10"/>
        <v>0</v>
      </c>
      <c r="AR44" s="350">
        <f t="shared" si="11"/>
        <v>144809.60000000001</v>
      </c>
    </row>
    <row r="45" spans="1:44" x14ac:dyDescent="0.25">
      <c r="A45" s="1">
        <v>47</v>
      </c>
      <c r="B45" s="1">
        <v>48</v>
      </c>
      <c r="C45" s="1">
        <v>49</v>
      </c>
      <c r="D45" s="1">
        <v>53</v>
      </c>
      <c r="E45" s="1">
        <v>56</v>
      </c>
      <c r="F45" s="1">
        <v>60</v>
      </c>
      <c r="G45" s="19">
        <v>32888</v>
      </c>
      <c r="H45" s="1" t="s">
        <v>65</v>
      </c>
      <c r="I45" s="1"/>
      <c r="J45" s="1"/>
      <c r="L45" s="1">
        <v>392</v>
      </c>
      <c r="M45" s="40">
        <v>27.29</v>
      </c>
      <c r="N45" s="40">
        <f t="shared" si="4"/>
        <v>56763.199999999997</v>
      </c>
      <c r="O45" s="26">
        <f t="shared" si="26"/>
        <v>5.3981453642017304E-3</v>
      </c>
      <c r="P45" s="33">
        <f t="shared" si="5"/>
        <v>0</v>
      </c>
      <c r="Q45" s="227"/>
      <c r="R45" s="175"/>
      <c r="S45" s="175"/>
      <c r="T45" s="175">
        <v>931.64</v>
      </c>
      <c r="U45" s="175"/>
      <c r="V45" s="228">
        <v>103.52</v>
      </c>
      <c r="W45" s="227">
        <v>32.9</v>
      </c>
      <c r="X45" s="175">
        <v>37.700000000000003</v>
      </c>
      <c r="Y45" s="228">
        <v>37.700000000000003</v>
      </c>
      <c r="Z45" s="67">
        <f t="shared" si="27"/>
        <v>38.49</v>
      </c>
      <c r="AA45" s="40">
        <f t="shared" si="28"/>
        <v>11.3</v>
      </c>
      <c r="AB45" s="40">
        <f t="shared" si="29"/>
        <v>27.19</v>
      </c>
      <c r="AC45" s="67">
        <v>4.3</v>
      </c>
      <c r="AD45" s="67"/>
      <c r="AE45" s="229">
        <f t="shared" si="6"/>
        <v>37.01</v>
      </c>
      <c r="AF45" s="67"/>
      <c r="AG45" s="67"/>
      <c r="AH45" s="67">
        <f t="shared" si="32"/>
        <v>845.3</v>
      </c>
      <c r="AI45" s="67"/>
      <c r="AJ45" s="175"/>
      <c r="AK45" s="67">
        <f t="shared" si="33"/>
        <v>141.91</v>
      </c>
      <c r="AL45" s="67">
        <v>929.47</v>
      </c>
      <c r="AM45" s="67">
        <v>299.19</v>
      </c>
      <c r="AN45" s="230"/>
      <c r="AO45" s="72"/>
      <c r="AP45" s="350">
        <f t="shared" si="9"/>
        <v>0</v>
      </c>
      <c r="AQ45" s="350">
        <f t="shared" si="10"/>
        <v>0</v>
      </c>
      <c r="AR45" s="350">
        <f t="shared" si="11"/>
        <v>56763.199999999997</v>
      </c>
    </row>
    <row r="46" spans="1:44" x14ac:dyDescent="0.25">
      <c r="A46" s="1"/>
      <c r="B46" s="1"/>
      <c r="C46" s="1"/>
      <c r="D46" s="1"/>
      <c r="E46" s="1"/>
      <c r="F46" s="1">
        <v>24</v>
      </c>
      <c r="G46" s="19">
        <v>42121</v>
      </c>
      <c r="H46" s="1"/>
      <c r="I46" s="1"/>
      <c r="J46" s="1" t="s">
        <v>65</v>
      </c>
      <c r="L46" s="1">
        <v>683</v>
      </c>
      <c r="M46" s="40">
        <v>18.260000000000002</v>
      </c>
      <c r="N46" s="40">
        <f t="shared" si="4"/>
        <v>37980.800000000003</v>
      </c>
      <c r="O46" s="26">
        <f t="shared" si="26"/>
        <v>3.6119506907410629E-3</v>
      </c>
      <c r="P46" s="33">
        <f t="shared" si="5"/>
        <v>0</v>
      </c>
      <c r="Q46" s="227">
        <v>1262.01</v>
      </c>
      <c r="R46" s="175"/>
      <c r="S46" s="175"/>
      <c r="T46" s="175"/>
      <c r="U46" s="175"/>
      <c r="V46" s="228">
        <v>140.22</v>
      </c>
      <c r="W46" s="227">
        <v>32.9</v>
      </c>
      <c r="X46" s="175">
        <v>37.700000000000003</v>
      </c>
      <c r="Y46" s="228">
        <v>37.700000000000003</v>
      </c>
      <c r="Z46" s="67">
        <f t="shared" si="27"/>
        <v>25.75</v>
      </c>
      <c r="AA46" s="40">
        <f t="shared" si="28"/>
        <v>11.3</v>
      </c>
      <c r="AB46" s="40">
        <f t="shared" si="29"/>
        <v>14.45</v>
      </c>
      <c r="AC46" s="67">
        <v>0.5</v>
      </c>
      <c r="AD46" s="67">
        <v>1</v>
      </c>
      <c r="AE46" s="229">
        <f t="shared" si="6"/>
        <v>24.76</v>
      </c>
      <c r="AF46" s="67"/>
      <c r="AG46" s="67"/>
      <c r="AH46" s="67">
        <f t="shared" si="32"/>
        <v>565.6</v>
      </c>
      <c r="AI46" s="67"/>
      <c r="AJ46" s="175"/>
      <c r="AK46" s="67">
        <f t="shared" si="33"/>
        <v>94.95</v>
      </c>
      <c r="AL46" s="67">
        <v>929.47</v>
      </c>
      <c r="AM46" s="67">
        <v>299.19</v>
      </c>
      <c r="AN46" s="230"/>
      <c r="AO46" s="72"/>
      <c r="AP46" s="350">
        <f t="shared" si="9"/>
        <v>0</v>
      </c>
      <c r="AQ46" s="350">
        <f t="shared" si="10"/>
        <v>0</v>
      </c>
      <c r="AR46" s="350">
        <f t="shared" si="11"/>
        <v>37980.800000000003</v>
      </c>
    </row>
    <row r="47" spans="1:44" x14ac:dyDescent="0.25">
      <c r="A47" s="1">
        <v>44</v>
      </c>
      <c r="B47" s="1">
        <v>45</v>
      </c>
      <c r="C47" s="1">
        <v>46</v>
      </c>
      <c r="D47" s="1">
        <v>50</v>
      </c>
      <c r="E47" s="1">
        <v>53</v>
      </c>
      <c r="F47" s="1">
        <v>57</v>
      </c>
      <c r="G47" s="19">
        <v>35688</v>
      </c>
      <c r="H47" s="1" t="s">
        <v>65</v>
      </c>
      <c r="I47" s="1"/>
      <c r="J47" s="1"/>
      <c r="L47" s="1">
        <v>448</v>
      </c>
      <c r="M47" s="40">
        <v>25.92</v>
      </c>
      <c r="N47" s="40">
        <f t="shared" si="4"/>
        <v>53913.600000000006</v>
      </c>
      <c r="O47" s="26">
        <f t="shared" si="26"/>
        <v>5.1271501590366021E-3</v>
      </c>
      <c r="P47" s="33">
        <f t="shared" si="5"/>
        <v>0</v>
      </c>
      <c r="Q47" s="227"/>
      <c r="R47" s="175"/>
      <c r="S47" s="175"/>
      <c r="T47" s="175">
        <v>931.64</v>
      </c>
      <c r="U47" s="175"/>
      <c r="V47" s="228">
        <v>103.52</v>
      </c>
      <c r="W47" s="227">
        <v>32.9</v>
      </c>
      <c r="X47" s="175">
        <v>37.700000000000003</v>
      </c>
      <c r="Y47" s="228">
        <v>37.700000000000003</v>
      </c>
      <c r="Z47" s="67">
        <f t="shared" si="27"/>
        <v>36.549999999999997</v>
      </c>
      <c r="AA47" s="40">
        <f t="shared" si="28"/>
        <v>11.299999999999997</v>
      </c>
      <c r="AB47" s="40">
        <f t="shared" si="29"/>
        <v>25.25</v>
      </c>
      <c r="AC47" s="67">
        <v>4.3</v>
      </c>
      <c r="AD47" s="67"/>
      <c r="AE47" s="229">
        <f t="shared" si="6"/>
        <v>35.15</v>
      </c>
      <c r="AF47" s="67"/>
      <c r="AG47" s="67"/>
      <c r="AH47" s="67">
        <f t="shared" si="32"/>
        <v>802.86</v>
      </c>
      <c r="AI47" s="67"/>
      <c r="AJ47" s="175"/>
      <c r="AK47" s="67">
        <f t="shared" si="33"/>
        <v>134.78</v>
      </c>
      <c r="AL47" s="67">
        <v>929.47</v>
      </c>
      <c r="AM47" s="67">
        <v>299.19</v>
      </c>
      <c r="AN47" s="230"/>
      <c r="AO47" s="72"/>
      <c r="AP47" s="350">
        <f t="shared" si="9"/>
        <v>0</v>
      </c>
      <c r="AQ47" s="350">
        <f t="shared" si="10"/>
        <v>0</v>
      </c>
      <c r="AR47" s="350">
        <f t="shared" si="11"/>
        <v>53913.600000000006</v>
      </c>
    </row>
    <row r="48" spans="1:44" x14ac:dyDescent="0.25">
      <c r="A48" s="1"/>
      <c r="B48" s="1"/>
      <c r="C48" s="1"/>
      <c r="D48" s="1"/>
      <c r="E48" s="1"/>
      <c r="F48" s="1">
        <v>26</v>
      </c>
      <c r="G48" s="19">
        <v>41918</v>
      </c>
      <c r="H48" s="1"/>
      <c r="I48" s="1"/>
      <c r="J48" s="1" t="s">
        <v>65</v>
      </c>
      <c r="L48" s="1">
        <v>676</v>
      </c>
      <c r="M48" s="40">
        <v>20.440000000000001</v>
      </c>
      <c r="N48" s="40">
        <f t="shared" si="4"/>
        <v>42515.200000000004</v>
      </c>
      <c r="O48" s="26">
        <f t="shared" si="26"/>
        <v>4.0431693383760859E-3</v>
      </c>
      <c r="P48" s="33">
        <f t="shared" si="5"/>
        <v>0</v>
      </c>
      <c r="Q48" s="227"/>
      <c r="R48" s="175">
        <v>371.25</v>
      </c>
      <c r="S48" s="175"/>
      <c r="T48" s="175"/>
      <c r="U48" s="175"/>
      <c r="V48" s="228">
        <v>41.25</v>
      </c>
      <c r="W48" s="227">
        <v>32.9</v>
      </c>
      <c r="X48" s="175"/>
      <c r="Y48" s="228"/>
      <c r="Z48" s="67">
        <f t="shared" si="27"/>
        <v>28.83</v>
      </c>
      <c r="AA48" s="40">
        <f t="shared" si="28"/>
        <v>11.299999999999997</v>
      </c>
      <c r="AB48" s="40">
        <f t="shared" si="29"/>
        <v>17.53</v>
      </c>
      <c r="AC48" s="67">
        <v>0.6</v>
      </c>
      <c r="AD48" s="67"/>
      <c r="AE48" s="229">
        <f t="shared" si="6"/>
        <v>27.72</v>
      </c>
      <c r="AF48" s="67"/>
      <c r="AG48" s="67"/>
      <c r="AH48" s="67">
        <f t="shared" si="32"/>
        <v>633.12</v>
      </c>
      <c r="AI48" s="67"/>
      <c r="AJ48" s="175"/>
      <c r="AK48" s="67">
        <f t="shared" si="33"/>
        <v>106.29</v>
      </c>
      <c r="AL48" s="67">
        <v>929.47</v>
      </c>
      <c r="AM48" s="67">
        <v>299.19</v>
      </c>
      <c r="AN48" s="230"/>
      <c r="AO48" s="72"/>
      <c r="AP48" s="350">
        <f t="shared" si="9"/>
        <v>0</v>
      </c>
      <c r="AQ48" s="350">
        <f t="shared" si="10"/>
        <v>0</v>
      </c>
      <c r="AR48" s="350">
        <f t="shared" si="11"/>
        <v>42515.200000000004</v>
      </c>
    </row>
    <row r="49" spans="1:44" x14ac:dyDescent="0.25">
      <c r="A49" s="1">
        <v>39</v>
      </c>
      <c r="B49" s="1">
        <v>40</v>
      </c>
      <c r="C49" s="1">
        <v>41</v>
      </c>
      <c r="D49" s="1">
        <v>45</v>
      </c>
      <c r="E49" s="1">
        <v>48</v>
      </c>
      <c r="F49" s="1">
        <v>52</v>
      </c>
      <c r="G49" s="19">
        <v>34501</v>
      </c>
      <c r="H49" s="1"/>
      <c r="I49" s="1" t="s">
        <v>65</v>
      </c>
      <c r="J49" s="1"/>
      <c r="L49" s="1">
        <v>424</v>
      </c>
      <c r="M49" s="40">
        <v>31.93</v>
      </c>
      <c r="N49" s="40">
        <f t="shared" si="4"/>
        <v>66414.399999999994</v>
      </c>
      <c r="O49" s="26">
        <f t="shared" si="26"/>
        <v>6.3159685408193935E-3</v>
      </c>
      <c r="P49" s="33">
        <f t="shared" si="5"/>
        <v>0</v>
      </c>
      <c r="Q49" s="227">
        <v>1262.01</v>
      </c>
      <c r="R49" s="175"/>
      <c r="S49" s="175"/>
      <c r="T49" s="175"/>
      <c r="U49" s="175"/>
      <c r="V49" s="228">
        <v>140.22</v>
      </c>
      <c r="W49" s="227">
        <v>32.9</v>
      </c>
      <c r="X49" s="175">
        <v>37.700000000000003</v>
      </c>
      <c r="Y49" s="228">
        <v>37.700000000000003</v>
      </c>
      <c r="Z49" s="67">
        <f t="shared" si="27"/>
        <v>45.03</v>
      </c>
      <c r="AA49" s="40">
        <f t="shared" si="28"/>
        <v>11.300000000000004</v>
      </c>
      <c r="AB49" s="40">
        <f t="shared" si="29"/>
        <v>33.729999999999997</v>
      </c>
      <c r="AC49" s="67">
        <v>2.2999999999999998</v>
      </c>
      <c r="AD49" s="67">
        <v>1</v>
      </c>
      <c r="AE49" s="229">
        <f t="shared" si="6"/>
        <v>43.3</v>
      </c>
      <c r="AF49" s="67">
        <f>ROUND((P49+N49)*$AF$1/12,2)</f>
        <v>1108.57</v>
      </c>
      <c r="AG49" s="67"/>
      <c r="AH49" s="67"/>
      <c r="AI49" s="67">
        <f>ROUND(((P49+N49)/12)*0.03,2)</f>
        <v>166.04</v>
      </c>
      <c r="AJ49" s="175"/>
      <c r="AK49" s="67"/>
      <c r="AL49" s="67">
        <v>929.47</v>
      </c>
      <c r="AM49" s="67">
        <v>299.19</v>
      </c>
      <c r="AN49" s="230"/>
      <c r="AO49" s="72"/>
      <c r="AP49" s="350">
        <f t="shared" si="9"/>
        <v>66414.399999999994</v>
      </c>
      <c r="AQ49" s="350">
        <f t="shared" si="10"/>
        <v>0</v>
      </c>
      <c r="AR49" s="350">
        <f t="shared" si="11"/>
        <v>0</v>
      </c>
    </row>
    <row r="50" spans="1:44" x14ac:dyDescent="0.25">
      <c r="A50" s="1"/>
      <c r="B50" s="1"/>
      <c r="C50" s="1"/>
      <c r="D50" s="1"/>
      <c r="E50" s="1"/>
      <c r="F50" s="1">
        <v>48</v>
      </c>
      <c r="G50" s="19">
        <v>41561</v>
      </c>
      <c r="H50" s="1"/>
      <c r="I50" s="1"/>
      <c r="J50" s="1" t="s">
        <v>65</v>
      </c>
      <c r="L50" s="1">
        <v>664</v>
      </c>
      <c r="M50" s="40">
        <v>31.92</v>
      </c>
      <c r="N50" s="40">
        <f t="shared" si="4"/>
        <v>66393.600000000006</v>
      </c>
      <c r="O50" s="26">
        <f t="shared" si="26"/>
        <v>6.3139904736284084E-3</v>
      </c>
      <c r="P50" s="33">
        <f t="shared" si="5"/>
        <v>0</v>
      </c>
      <c r="Q50" s="227">
        <v>1262.01</v>
      </c>
      <c r="R50" s="175"/>
      <c r="S50" s="175"/>
      <c r="T50" s="175"/>
      <c r="U50" s="175"/>
      <c r="V50" s="228">
        <v>140.22</v>
      </c>
      <c r="W50" s="227">
        <v>32.9</v>
      </c>
      <c r="X50" s="175">
        <v>37.700000000000003</v>
      </c>
      <c r="Y50" s="228">
        <v>37.700000000000003</v>
      </c>
      <c r="Z50" s="67">
        <f t="shared" si="27"/>
        <v>45.01</v>
      </c>
      <c r="AA50" s="40">
        <f t="shared" si="28"/>
        <v>11.299999999999997</v>
      </c>
      <c r="AB50" s="40">
        <f t="shared" si="29"/>
        <v>33.71</v>
      </c>
      <c r="AC50" s="67">
        <v>1.5</v>
      </c>
      <c r="AD50" s="67">
        <v>1</v>
      </c>
      <c r="AE50" s="229">
        <f t="shared" si="6"/>
        <v>43.29</v>
      </c>
      <c r="AF50" s="67"/>
      <c r="AG50" s="67"/>
      <c r="AH50" s="67">
        <f t="shared" ref="AH50:AH53" si="34">ROUND((P50+N50)*$AH$1/12,2)</f>
        <v>988.71</v>
      </c>
      <c r="AI50" s="67"/>
      <c r="AJ50" s="175"/>
      <c r="AK50" s="67">
        <f t="shared" ref="AK50:AK53" si="35">ROUND(((N50+P50)/12)*0.03,2)</f>
        <v>165.98</v>
      </c>
      <c r="AL50" s="67">
        <v>929.47</v>
      </c>
      <c r="AM50" s="67">
        <v>299.19</v>
      </c>
      <c r="AN50" s="230"/>
      <c r="AO50" s="72"/>
      <c r="AP50" s="350">
        <f t="shared" si="9"/>
        <v>0</v>
      </c>
      <c r="AQ50" s="350">
        <f t="shared" si="10"/>
        <v>0</v>
      </c>
      <c r="AR50" s="350">
        <f t="shared" si="11"/>
        <v>66393.600000000006</v>
      </c>
    </row>
    <row r="51" spans="1:44" x14ac:dyDescent="0.25">
      <c r="A51" s="1">
        <v>31</v>
      </c>
      <c r="B51" s="1">
        <v>32</v>
      </c>
      <c r="C51" s="1">
        <v>33</v>
      </c>
      <c r="D51" s="1">
        <v>37</v>
      </c>
      <c r="E51" s="1">
        <v>40</v>
      </c>
      <c r="F51" s="1">
        <v>44</v>
      </c>
      <c r="G51" s="19">
        <v>35982</v>
      </c>
      <c r="H51" s="1" t="s">
        <v>65</v>
      </c>
      <c r="I51" s="1"/>
      <c r="J51" s="1"/>
      <c r="L51" s="1">
        <v>478</v>
      </c>
      <c r="M51" s="40">
        <v>37.03</v>
      </c>
      <c r="N51" s="40">
        <f t="shared" si="4"/>
        <v>77022.400000000009</v>
      </c>
      <c r="O51" s="26">
        <f t="shared" si="26"/>
        <v>7.3247828082224301E-3</v>
      </c>
      <c r="P51" s="33">
        <f t="shared" si="5"/>
        <v>0</v>
      </c>
      <c r="Q51" s="227">
        <v>1262.01</v>
      </c>
      <c r="R51" s="175"/>
      <c r="S51" s="175"/>
      <c r="T51" s="175"/>
      <c r="U51" s="175"/>
      <c r="V51" s="228">
        <v>140.22</v>
      </c>
      <c r="W51" s="227">
        <v>32.9</v>
      </c>
      <c r="X51" s="175">
        <v>37.700000000000003</v>
      </c>
      <c r="Y51" s="228">
        <v>37.700000000000003</v>
      </c>
      <c r="Z51" s="67">
        <f t="shared" si="27"/>
        <v>52.22</v>
      </c>
      <c r="AA51" s="40">
        <f t="shared" si="28"/>
        <v>11.299999999999997</v>
      </c>
      <c r="AB51" s="40">
        <f t="shared" si="29"/>
        <v>40.92</v>
      </c>
      <c r="AC51" s="67">
        <v>1</v>
      </c>
      <c r="AD51" s="67">
        <v>1</v>
      </c>
      <c r="AE51" s="229">
        <f t="shared" si="6"/>
        <v>50.22</v>
      </c>
      <c r="AF51" s="67"/>
      <c r="AG51" s="67"/>
      <c r="AH51" s="67">
        <f t="shared" si="34"/>
        <v>1146.99</v>
      </c>
      <c r="AI51" s="67"/>
      <c r="AJ51" s="175"/>
      <c r="AK51" s="67">
        <f t="shared" si="35"/>
        <v>192.56</v>
      </c>
      <c r="AL51" s="67">
        <v>929.47</v>
      </c>
      <c r="AM51" s="67">
        <v>299.19</v>
      </c>
      <c r="AN51" s="230"/>
      <c r="AO51" s="72"/>
      <c r="AP51" s="350">
        <f t="shared" si="9"/>
        <v>0</v>
      </c>
      <c r="AQ51" s="350">
        <f t="shared" si="10"/>
        <v>0</v>
      </c>
      <c r="AR51" s="350">
        <f t="shared" si="11"/>
        <v>77022.400000000009</v>
      </c>
    </row>
    <row r="52" spans="1:44" x14ac:dyDescent="0.25">
      <c r="A52" s="1"/>
      <c r="B52" s="1"/>
      <c r="C52" s="1"/>
      <c r="D52" s="1"/>
      <c r="E52" s="1"/>
      <c r="F52" s="1">
        <v>22</v>
      </c>
      <c r="G52" s="19">
        <v>40882</v>
      </c>
      <c r="H52" s="1"/>
      <c r="I52" s="1"/>
      <c r="J52" s="1" t="s">
        <v>65</v>
      </c>
      <c r="L52" s="1">
        <v>215</v>
      </c>
      <c r="M52" s="40">
        <v>26.95</v>
      </c>
      <c r="N52" s="40">
        <f t="shared" si="4"/>
        <v>56056</v>
      </c>
      <c r="O52" s="26">
        <f t="shared" si="26"/>
        <v>5.3308910797081948E-3</v>
      </c>
      <c r="P52" s="33">
        <f t="shared" si="5"/>
        <v>0</v>
      </c>
      <c r="Q52" s="227"/>
      <c r="R52" s="175">
        <v>371.25</v>
      </c>
      <c r="S52" s="175"/>
      <c r="T52" s="175"/>
      <c r="U52" s="175"/>
      <c r="V52" s="228">
        <v>41.25</v>
      </c>
      <c r="W52" s="227">
        <v>32.9</v>
      </c>
      <c r="X52" s="175"/>
      <c r="Y52" s="228"/>
      <c r="Z52" s="67">
        <f t="shared" si="27"/>
        <v>38.01</v>
      </c>
      <c r="AA52" s="40">
        <f t="shared" si="28"/>
        <v>11.299999999999997</v>
      </c>
      <c r="AB52" s="40">
        <f t="shared" si="29"/>
        <v>26.71</v>
      </c>
      <c r="AC52" s="67"/>
      <c r="AD52" s="67"/>
      <c r="AE52" s="229">
        <f t="shared" si="6"/>
        <v>36.549999999999997</v>
      </c>
      <c r="AF52" s="67"/>
      <c r="AG52" s="67"/>
      <c r="AH52" s="67">
        <f t="shared" si="34"/>
        <v>834.77</v>
      </c>
      <c r="AI52" s="67"/>
      <c r="AJ52" s="175"/>
      <c r="AK52" s="67">
        <f t="shared" si="35"/>
        <v>140.13999999999999</v>
      </c>
      <c r="AL52" s="67">
        <v>929.47</v>
      </c>
      <c r="AM52" s="67">
        <v>299.19</v>
      </c>
      <c r="AN52" s="230"/>
      <c r="AO52" s="72"/>
      <c r="AP52" s="350">
        <f t="shared" si="9"/>
        <v>0</v>
      </c>
      <c r="AQ52" s="350">
        <f t="shared" si="10"/>
        <v>0</v>
      </c>
      <c r="AR52" s="350">
        <f t="shared" si="11"/>
        <v>56056</v>
      </c>
    </row>
    <row r="53" spans="1:44" x14ac:dyDescent="0.25">
      <c r="A53" s="1"/>
      <c r="B53" s="1"/>
      <c r="C53" s="1"/>
      <c r="D53" s="1">
        <v>34</v>
      </c>
      <c r="E53" s="1">
        <v>37</v>
      </c>
      <c r="F53" s="1">
        <v>41</v>
      </c>
      <c r="G53" s="19">
        <v>38593</v>
      </c>
      <c r="H53" s="1"/>
      <c r="I53" s="1"/>
      <c r="J53" s="1" t="s">
        <v>65</v>
      </c>
      <c r="L53" s="1">
        <v>616</v>
      </c>
      <c r="M53" s="40">
        <v>25.92</v>
      </c>
      <c r="N53" s="40">
        <f t="shared" si="4"/>
        <v>53913.600000000006</v>
      </c>
      <c r="O53" s="26">
        <f t="shared" si="26"/>
        <v>5.1271501590366021E-3</v>
      </c>
      <c r="P53" s="33">
        <f t="shared" si="5"/>
        <v>0</v>
      </c>
      <c r="Q53" s="227"/>
      <c r="R53" s="175"/>
      <c r="S53" s="175">
        <v>800.02</v>
      </c>
      <c r="T53" s="175"/>
      <c r="U53" s="175"/>
      <c r="V53" s="228">
        <v>88.89</v>
      </c>
      <c r="W53" s="227">
        <v>32.9</v>
      </c>
      <c r="X53" s="175">
        <v>37.700000000000003</v>
      </c>
      <c r="Y53" s="228">
        <v>37.700000000000003</v>
      </c>
      <c r="Z53" s="67">
        <f t="shared" si="27"/>
        <v>36.549999999999997</v>
      </c>
      <c r="AA53" s="40">
        <f t="shared" si="28"/>
        <v>11.299999999999997</v>
      </c>
      <c r="AB53" s="40">
        <f t="shared" si="29"/>
        <v>25.25</v>
      </c>
      <c r="AC53" s="67">
        <v>0</v>
      </c>
      <c r="AD53" s="67">
        <v>1</v>
      </c>
      <c r="AE53" s="229">
        <f t="shared" si="6"/>
        <v>35.15</v>
      </c>
      <c r="AF53" s="67"/>
      <c r="AG53" s="67"/>
      <c r="AH53" s="67">
        <f t="shared" si="34"/>
        <v>802.86</v>
      </c>
      <c r="AI53" s="67"/>
      <c r="AJ53" s="175"/>
      <c r="AK53" s="67">
        <f t="shared" si="35"/>
        <v>134.78</v>
      </c>
      <c r="AL53" s="67">
        <v>929.47</v>
      </c>
      <c r="AM53" s="67">
        <v>299.19</v>
      </c>
      <c r="AN53" s="230"/>
      <c r="AO53" s="72"/>
      <c r="AP53" s="350">
        <f t="shared" si="9"/>
        <v>0</v>
      </c>
      <c r="AQ53" s="350">
        <f t="shared" si="10"/>
        <v>0</v>
      </c>
      <c r="AR53" s="350">
        <f t="shared" si="11"/>
        <v>53913.600000000006</v>
      </c>
    </row>
    <row r="54" spans="1:44" x14ac:dyDescent="0.25">
      <c r="A54" s="1">
        <v>44</v>
      </c>
      <c r="B54" s="1">
        <v>45</v>
      </c>
      <c r="C54" s="1">
        <v>46</v>
      </c>
      <c r="D54" s="1">
        <v>50</v>
      </c>
      <c r="E54" s="1">
        <v>53</v>
      </c>
      <c r="F54" s="1">
        <v>57</v>
      </c>
      <c r="G54" s="19">
        <v>27925</v>
      </c>
      <c r="H54" s="1" t="s">
        <v>65</v>
      </c>
      <c r="I54" s="1"/>
      <c r="J54" s="1"/>
      <c r="L54" s="1">
        <v>199</v>
      </c>
      <c r="M54" s="40">
        <v>49.91</v>
      </c>
      <c r="N54" s="40">
        <f t="shared" si="4"/>
        <v>103812.79999999999</v>
      </c>
      <c r="O54" s="26">
        <f t="shared" si="26"/>
        <v>9.8725333502128372E-3</v>
      </c>
      <c r="P54" s="33">
        <f t="shared" si="5"/>
        <v>0</v>
      </c>
      <c r="Q54" s="227"/>
      <c r="R54" s="175"/>
      <c r="S54" s="175"/>
      <c r="T54" s="175">
        <v>931.64</v>
      </c>
      <c r="U54" s="175"/>
      <c r="V54" s="228">
        <v>103.52</v>
      </c>
      <c r="W54" s="227">
        <v>32.9</v>
      </c>
      <c r="X54" s="175">
        <v>37.700000000000003</v>
      </c>
      <c r="Y54" s="228">
        <v>37.700000000000003</v>
      </c>
      <c r="Z54" s="67">
        <f t="shared" si="27"/>
        <v>70.39</v>
      </c>
      <c r="AA54" s="40">
        <f t="shared" si="28"/>
        <v>11.299999999999997</v>
      </c>
      <c r="AB54" s="40">
        <f t="shared" si="29"/>
        <v>59.09</v>
      </c>
      <c r="AC54" s="67">
        <v>4.3</v>
      </c>
      <c r="AD54" s="67"/>
      <c r="AE54" s="229">
        <f t="shared" si="6"/>
        <v>67.69</v>
      </c>
      <c r="AF54" s="67"/>
      <c r="AG54" s="67">
        <f t="shared" ref="AG54:AG56" si="36">ROUND((P54+N54)*$AG$1/12,2)</f>
        <v>1732.81</v>
      </c>
      <c r="AH54" s="67"/>
      <c r="AI54" s="67"/>
      <c r="AJ54" s="67">
        <f t="shared" ref="AJ54:AJ56" si="37">ROUND(((P54+N54)/12)*0.03,2)</f>
        <v>259.52999999999997</v>
      </c>
      <c r="AK54" s="67"/>
      <c r="AL54" s="67">
        <v>929.47</v>
      </c>
      <c r="AM54" s="67">
        <v>299.19</v>
      </c>
      <c r="AN54" s="230"/>
      <c r="AO54" s="72"/>
      <c r="AP54" s="350">
        <f t="shared" si="9"/>
        <v>0</v>
      </c>
      <c r="AQ54" s="350">
        <f t="shared" si="10"/>
        <v>103812.79999999999</v>
      </c>
      <c r="AR54" s="350">
        <f t="shared" si="11"/>
        <v>0</v>
      </c>
    </row>
    <row r="55" spans="1:44" x14ac:dyDescent="0.25">
      <c r="A55" s="1">
        <v>44</v>
      </c>
      <c r="B55" s="1">
        <v>45</v>
      </c>
      <c r="C55" s="1">
        <v>46</v>
      </c>
      <c r="D55" s="1">
        <v>50</v>
      </c>
      <c r="E55" s="1">
        <v>53</v>
      </c>
      <c r="F55" s="1">
        <v>57</v>
      </c>
      <c r="G55" s="19">
        <v>31138</v>
      </c>
      <c r="H55" s="1" t="s">
        <v>65</v>
      </c>
      <c r="I55" s="1"/>
      <c r="J55" s="1"/>
      <c r="L55" s="1">
        <v>344</v>
      </c>
      <c r="M55" s="40">
        <v>52.78</v>
      </c>
      <c r="N55" s="40">
        <f t="shared" si="4"/>
        <v>109782.40000000001</v>
      </c>
      <c r="O55" s="26">
        <f t="shared" si="26"/>
        <v>1.044023863402592E-2</v>
      </c>
      <c r="P55" s="33">
        <f t="shared" si="5"/>
        <v>0</v>
      </c>
      <c r="Q55" s="227">
        <v>1262.01</v>
      </c>
      <c r="R55" s="175"/>
      <c r="S55" s="175"/>
      <c r="T55" s="175"/>
      <c r="U55" s="175"/>
      <c r="V55" s="228">
        <v>140.22</v>
      </c>
      <c r="W55" s="227">
        <v>32.9</v>
      </c>
      <c r="X55" s="175">
        <v>37.700000000000003</v>
      </c>
      <c r="Y55" s="228">
        <v>37.700000000000003</v>
      </c>
      <c r="Z55" s="67">
        <f t="shared" si="27"/>
        <v>74.430000000000007</v>
      </c>
      <c r="AA55" s="40">
        <f t="shared" si="28"/>
        <v>11.300000000000004</v>
      </c>
      <c r="AB55" s="40">
        <f t="shared" si="29"/>
        <v>63.13</v>
      </c>
      <c r="AC55" s="67">
        <v>4.3</v>
      </c>
      <c r="AD55" s="67">
        <v>1</v>
      </c>
      <c r="AE55" s="229">
        <f t="shared" si="6"/>
        <v>71.58</v>
      </c>
      <c r="AF55" s="67"/>
      <c r="AG55" s="67">
        <f t="shared" si="36"/>
        <v>1832.45</v>
      </c>
      <c r="AH55" s="67"/>
      <c r="AI55" s="67"/>
      <c r="AJ55" s="67">
        <f t="shared" si="37"/>
        <v>274.45999999999998</v>
      </c>
      <c r="AK55" s="67"/>
      <c r="AL55" s="67">
        <v>929.47</v>
      </c>
      <c r="AM55" s="67">
        <v>299.19</v>
      </c>
      <c r="AN55" s="230"/>
      <c r="AO55" s="72"/>
      <c r="AP55" s="350">
        <f t="shared" si="9"/>
        <v>0</v>
      </c>
      <c r="AQ55" s="350">
        <f t="shared" si="10"/>
        <v>109782.40000000001</v>
      </c>
      <c r="AR55" s="350">
        <f t="shared" si="11"/>
        <v>0</v>
      </c>
    </row>
    <row r="56" spans="1:44" x14ac:dyDescent="0.25">
      <c r="A56" s="1">
        <v>47</v>
      </c>
      <c r="B56" s="1">
        <v>48</v>
      </c>
      <c r="C56" s="1">
        <v>49</v>
      </c>
      <c r="D56" s="1">
        <v>53</v>
      </c>
      <c r="E56" s="1">
        <v>56</v>
      </c>
      <c r="F56" s="1">
        <v>60</v>
      </c>
      <c r="G56" s="19">
        <v>30571</v>
      </c>
      <c r="H56" s="1" t="s">
        <v>65</v>
      </c>
      <c r="I56" s="1"/>
      <c r="J56" s="1"/>
      <c r="L56" s="1">
        <v>321</v>
      </c>
      <c r="M56" s="40">
        <v>27.89</v>
      </c>
      <c r="N56" s="40">
        <f t="shared" si="4"/>
        <v>58011.200000000004</v>
      </c>
      <c r="O56" s="26">
        <f t="shared" si="26"/>
        <v>5.516829395660912E-3</v>
      </c>
      <c r="P56" s="33">
        <f t="shared" si="5"/>
        <v>0</v>
      </c>
      <c r="Q56" s="227"/>
      <c r="R56" s="175"/>
      <c r="S56" s="175"/>
      <c r="T56" s="175">
        <v>931.64</v>
      </c>
      <c r="U56" s="175"/>
      <c r="V56" s="228">
        <v>103.52</v>
      </c>
      <c r="W56" s="227">
        <v>32.9</v>
      </c>
      <c r="X56" s="175">
        <v>37.700000000000003</v>
      </c>
      <c r="Y56" s="228">
        <v>37.700000000000003</v>
      </c>
      <c r="Z56" s="67">
        <f t="shared" si="27"/>
        <v>39.33</v>
      </c>
      <c r="AA56" s="40">
        <f t="shared" si="28"/>
        <v>11.299999999999997</v>
      </c>
      <c r="AB56" s="40">
        <f t="shared" si="29"/>
        <v>28.03</v>
      </c>
      <c r="AC56" s="67">
        <v>4.3</v>
      </c>
      <c r="AD56" s="67"/>
      <c r="AE56" s="229">
        <f t="shared" si="6"/>
        <v>37.82</v>
      </c>
      <c r="AF56" s="67"/>
      <c r="AG56" s="67">
        <f t="shared" si="36"/>
        <v>968.3</v>
      </c>
      <c r="AH56" s="67"/>
      <c r="AI56" s="67"/>
      <c r="AJ56" s="67">
        <f t="shared" si="37"/>
        <v>145.03</v>
      </c>
      <c r="AK56" s="67"/>
      <c r="AL56" s="67">
        <v>929.47</v>
      </c>
      <c r="AM56" s="67">
        <v>299.19</v>
      </c>
      <c r="AN56" s="230"/>
      <c r="AO56" s="72"/>
      <c r="AP56" s="350">
        <f t="shared" si="9"/>
        <v>0</v>
      </c>
      <c r="AQ56" s="350">
        <f t="shared" si="10"/>
        <v>58011.200000000004</v>
      </c>
      <c r="AR56" s="350">
        <f t="shared" si="11"/>
        <v>0</v>
      </c>
    </row>
    <row r="57" spans="1:44" x14ac:dyDescent="0.25">
      <c r="A57" s="1"/>
      <c r="B57" s="1"/>
      <c r="C57" s="1"/>
      <c r="D57" s="1"/>
      <c r="E57" s="1"/>
      <c r="F57" s="1">
        <v>30</v>
      </c>
      <c r="G57" s="19">
        <v>40753</v>
      </c>
      <c r="H57" s="1"/>
      <c r="I57" s="1"/>
      <c r="J57" s="1" t="s">
        <v>65</v>
      </c>
      <c r="L57" s="1">
        <v>213</v>
      </c>
      <c r="M57" s="40">
        <v>36.200000000000003</v>
      </c>
      <c r="N57" s="40">
        <f t="shared" si="4"/>
        <v>75296</v>
      </c>
      <c r="O57" s="26">
        <f t="shared" si="26"/>
        <v>7.1606032313705622E-3</v>
      </c>
      <c r="P57" s="33">
        <f t="shared" si="5"/>
        <v>0</v>
      </c>
      <c r="Q57" s="227">
        <v>1262.01</v>
      </c>
      <c r="R57" s="175"/>
      <c r="S57" s="175"/>
      <c r="T57" s="175"/>
      <c r="U57" s="175"/>
      <c r="V57" s="228">
        <v>140.22</v>
      </c>
      <c r="W57" s="227">
        <v>32.9</v>
      </c>
      <c r="X57" s="175">
        <v>37.700000000000003</v>
      </c>
      <c r="Y57" s="228">
        <v>37.700000000000003</v>
      </c>
      <c r="Z57" s="67">
        <f t="shared" si="27"/>
        <v>51.05</v>
      </c>
      <c r="AA57" s="40">
        <f t="shared" si="28"/>
        <v>11.299999999999997</v>
      </c>
      <c r="AB57" s="40">
        <f t="shared" si="29"/>
        <v>39.75</v>
      </c>
      <c r="AC57" s="67">
        <v>0.6</v>
      </c>
      <c r="AD57" s="67">
        <v>1</v>
      </c>
      <c r="AE57" s="229">
        <f t="shared" si="6"/>
        <v>49.09</v>
      </c>
      <c r="AF57" s="67"/>
      <c r="AG57" s="67"/>
      <c r="AH57" s="67">
        <f t="shared" ref="AH57:AH60" si="38">ROUND((P57+N57)*$AH$1/12,2)</f>
        <v>1121.28</v>
      </c>
      <c r="AI57" s="67"/>
      <c r="AJ57" s="175"/>
      <c r="AK57" s="67">
        <f t="shared" ref="AK57:AK60" si="39">ROUND(((N57+P57)/12)*0.03,2)</f>
        <v>188.24</v>
      </c>
      <c r="AL57" s="67">
        <v>929.47</v>
      </c>
      <c r="AM57" s="67">
        <v>299.19</v>
      </c>
      <c r="AN57" s="230"/>
      <c r="AO57" s="72"/>
      <c r="AP57" s="350">
        <f t="shared" si="9"/>
        <v>0</v>
      </c>
      <c r="AQ57" s="350">
        <f t="shared" si="10"/>
        <v>0</v>
      </c>
      <c r="AR57" s="350">
        <f t="shared" si="11"/>
        <v>75296</v>
      </c>
    </row>
    <row r="58" spans="1:44" x14ac:dyDescent="0.25">
      <c r="A58" s="1">
        <v>39</v>
      </c>
      <c r="B58" s="1">
        <v>40</v>
      </c>
      <c r="C58" s="1">
        <v>41</v>
      </c>
      <c r="D58" s="1">
        <v>45</v>
      </c>
      <c r="E58" s="1">
        <v>48</v>
      </c>
      <c r="F58" s="1">
        <v>52</v>
      </c>
      <c r="G58" s="19">
        <v>33000</v>
      </c>
      <c r="H58" s="1" t="s">
        <v>65</v>
      </c>
      <c r="I58" s="1"/>
      <c r="J58" s="1"/>
      <c r="L58" s="1">
        <v>397</v>
      </c>
      <c r="M58" s="40">
        <v>32.659999999999997</v>
      </c>
      <c r="N58" s="40">
        <f t="shared" si="4"/>
        <v>67932.799999999988</v>
      </c>
      <c r="O58" s="26">
        <f t="shared" si="26"/>
        <v>6.4603674457613955E-3</v>
      </c>
      <c r="P58" s="33">
        <f t="shared" si="5"/>
        <v>0</v>
      </c>
      <c r="Q58" s="227">
        <v>1262.01</v>
      </c>
      <c r="R58" s="175"/>
      <c r="S58" s="175"/>
      <c r="T58" s="175"/>
      <c r="U58" s="175"/>
      <c r="V58" s="228">
        <v>140.22</v>
      </c>
      <c r="W58" s="227">
        <v>32.9</v>
      </c>
      <c r="X58" s="175">
        <v>37.700000000000003</v>
      </c>
      <c r="Y58" s="228">
        <v>37.700000000000003</v>
      </c>
      <c r="Z58" s="67">
        <f t="shared" si="27"/>
        <v>46.06</v>
      </c>
      <c r="AA58" s="40">
        <f t="shared" si="28"/>
        <v>11.300000000000004</v>
      </c>
      <c r="AB58" s="40">
        <f t="shared" si="29"/>
        <v>34.76</v>
      </c>
      <c r="AC58" s="67">
        <v>2.2999999999999998</v>
      </c>
      <c r="AD58" s="67">
        <v>1</v>
      </c>
      <c r="AE58" s="229">
        <f t="shared" si="6"/>
        <v>44.29</v>
      </c>
      <c r="AF58" s="67"/>
      <c r="AG58" s="67"/>
      <c r="AH58" s="67">
        <f t="shared" si="38"/>
        <v>1011.63</v>
      </c>
      <c r="AI58" s="67"/>
      <c r="AJ58" s="175"/>
      <c r="AK58" s="67">
        <f t="shared" si="39"/>
        <v>169.83</v>
      </c>
      <c r="AL58" s="67">
        <v>929.47</v>
      </c>
      <c r="AM58" s="67">
        <v>299.19</v>
      </c>
      <c r="AN58" s="230"/>
      <c r="AO58" s="72"/>
      <c r="AP58" s="350">
        <f t="shared" si="9"/>
        <v>0</v>
      </c>
      <c r="AQ58" s="350">
        <f t="shared" si="10"/>
        <v>0</v>
      </c>
      <c r="AR58" s="350">
        <f t="shared" si="11"/>
        <v>67932.799999999988</v>
      </c>
    </row>
    <row r="59" spans="1:44" x14ac:dyDescent="0.25">
      <c r="A59" s="1">
        <v>45</v>
      </c>
      <c r="B59" s="1">
        <v>46</v>
      </c>
      <c r="C59" s="1">
        <v>47</v>
      </c>
      <c r="D59" s="1">
        <v>51</v>
      </c>
      <c r="E59" s="1">
        <v>54</v>
      </c>
      <c r="F59" s="1">
        <v>58</v>
      </c>
      <c r="G59" s="19">
        <v>34995</v>
      </c>
      <c r="H59" s="1" t="s">
        <v>65</v>
      </c>
      <c r="I59" s="1"/>
      <c r="J59" s="1"/>
      <c r="L59" s="1">
        <v>458</v>
      </c>
      <c r="M59" s="40">
        <v>58.08</v>
      </c>
      <c r="N59" s="40">
        <f t="shared" si="4"/>
        <v>120806.39999999999</v>
      </c>
      <c r="O59" s="26">
        <f t="shared" si="26"/>
        <v>1.148861424524868E-2</v>
      </c>
      <c r="P59" s="33">
        <f t="shared" si="5"/>
        <v>0</v>
      </c>
      <c r="Q59" s="227"/>
      <c r="R59" s="175"/>
      <c r="S59" s="175"/>
      <c r="T59" s="175">
        <v>931.64</v>
      </c>
      <c r="U59" s="175"/>
      <c r="V59" s="228">
        <v>103.52</v>
      </c>
      <c r="W59" s="227">
        <v>32.9</v>
      </c>
      <c r="X59" s="175">
        <v>37.700000000000003</v>
      </c>
      <c r="Y59" s="228">
        <v>37.700000000000003</v>
      </c>
      <c r="Z59" s="67">
        <f t="shared" si="27"/>
        <v>81.91</v>
      </c>
      <c r="AA59" s="40">
        <f t="shared" si="28"/>
        <v>11.299999999999997</v>
      </c>
      <c r="AB59" s="40">
        <f t="shared" si="29"/>
        <v>70.61</v>
      </c>
      <c r="AC59" s="67">
        <v>4.3</v>
      </c>
      <c r="AD59" s="67"/>
      <c r="AE59" s="229">
        <f t="shared" si="6"/>
        <v>78.77</v>
      </c>
      <c r="AF59" s="67"/>
      <c r="AG59" s="67"/>
      <c r="AH59" s="67">
        <f t="shared" si="38"/>
        <v>1799.01</v>
      </c>
      <c r="AI59" s="67"/>
      <c r="AJ59" s="175"/>
      <c r="AK59" s="67">
        <f t="shared" si="39"/>
        <v>302.02</v>
      </c>
      <c r="AL59" s="67">
        <v>929.47</v>
      </c>
      <c r="AM59" s="67">
        <v>299.19</v>
      </c>
      <c r="AN59" s="230"/>
      <c r="AO59" s="72"/>
      <c r="AP59" s="350">
        <f t="shared" si="9"/>
        <v>0</v>
      </c>
      <c r="AQ59" s="350">
        <f t="shared" si="10"/>
        <v>0</v>
      </c>
      <c r="AR59" s="350">
        <f t="shared" si="11"/>
        <v>120806.39999999999</v>
      </c>
    </row>
    <row r="60" spans="1:44" x14ac:dyDescent="0.25">
      <c r="A60" s="1">
        <v>36</v>
      </c>
      <c r="B60" s="1">
        <v>37</v>
      </c>
      <c r="C60" s="1">
        <v>38</v>
      </c>
      <c r="D60" s="1">
        <v>42</v>
      </c>
      <c r="E60" s="1">
        <v>45</v>
      </c>
      <c r="F60" s="1">
        <v>49</v>
      </c>
      <c r="G60" s="19">
        <v>32632</v>
      </c>
      <c r="H60" s="1" t="s">
        <v>65</v>
      </c>
      <c r="I60" s="1"/>
      <c r="J60" s="1"/>
      <c r="L60" s="1">
        <v>382</v>
      </c>
      <c r="M60" s="40">
        <v>37.31</v>
      </c>
      <c r="N60" s="40">
        <f t="shared" si="4"/>
        <v>77604.800000000003</v>
      </c>
      <c r="O60" s="26">
        <f t="shared" si="26"/>
        <v>7.3801686895700472E-3</v>
      </c>
      <c r="P60" s="33">
        <f t="shared" si="5"/>
        <v>0</v>
      </c>
      <c r="Q60" s="227">
        <v>1262.01</v>
      </c>
      <c r="R60" s="175"/>
      <c r="S60" s="175"/>
      <c r="T60" s="175"/>
      <c r="U60" s="175"/>
      <c r="V60" s="228">
        <v>140.22</v>
      </c>
      <c r="W60" s="227">
        <v>32.9</v>
      </c>
      <c r="X60" s="175">
        <v>37.700000000000003</v>
      </c>
      <c r="Y60" s="228">
        <v>37.700000000000003</v>
      </c>
      <c r="Z60" s="67">
        <f t="shared" si="27"/>
        <v>52.62</v>
      </c>
      <c r="AA60" s="40">
        <f t="shared" si="28"/>
        <v>11.299999999999997</v>
      </c>
      <c r="AB60" s="40">
        <f t="shared" si="29"/>
        <v>41.32</v>
      </c>
      <c r="AC60" s="67">
        <v>1.5</v>
      </c>
      <c r="AD60" s="67">
        <v>1</v>
      </c>
      <c r="AE60" s="229">
        <f t="shared" si="6"/>
        <v>50.6</v>
      </c>
      <c r="AF60" s="67"/>
      <c r="AG60" s="67"/>
      <c r="AH60" s="67">
        <f t="shared" si="38"/>
        <v>1155.6600000000001</v>
      </c>
      <c r="AI60" s="67"/>
      <c r="AJ60" s="175"/>
      <c r="AK60" s="67">
        <f t="shared" si="39"/>
        <v>194.01</v>
      </c>
      <c r="AL60" s="67">
        <v>929.47</v>
      </c>
      <c r="AM60" s="67">
        <v>299.19</v>
      </c>
      <c r="AN60" s="230"/>
      <c r="AO60" s="72"/>
      <c r="AP60" s="350">
        <f t="shared" si="9"/>
        <v>0</v>
      </c>
      <c r="AQ60" s="350">
        <f t="shared" si="10"/>
        <v>0</v>
      </c>
      <c r="AR60" s="350">
        <f t="shared" si="11"/>
        <v>77604.800000000003</v>
      </c>
    </row>
    <row r="61" spans="1:44" x14ac:dyDescent="0.25">
      <c r="A61" s="1">
        <v>38</v>
      </c>
      <c r="B61" s="1">
        <v>39</v>
      </c>
      <c r="C61" s="1">
        <v>40</v>
      </c>
      <c r="D61" s="1">
        <v>44</v>
      </c>
      <c r="E61" s="1">
        <v>47</v>
      </c>
      <c r="F61" s="1">
        <v>51</v>
      </c>
      <c r="G61" s="19">
        <v>35317</v>
      </c>
      <c r="H61" s="1"/>
      <c r="I61" s="1" t="s">
        <v>65</v>
      </c>
      <c r="J61" s="1"/>
      <c r="L61" s="1">
        <v>431</v>
      </c>
      <c r="M61" s="40">
        <v>31.93</v>
      </c>
      <c r="N61" s="40">
        <f t="shared" si="4"/>
        <v>66414.399999999994</v>
      </c>
      <c r="O61" s="26">
        <f t="shared" si="26"/>
        <v>6.3159685408193935E-3</v>
      </c>
      <c r="P61" s="33">
        <f t="shared" si="5"/>
        <v>0</v>
      </c>
      <c r="Q61" s="227">
        <v>1262.01</v>
      </c>
      <c r="R61" s="175"/>
      <c r="S61" s="175"/>
      <c r="T61" s="175"/>
      <c r="U61" s="175"/>
      <c r="V61" s="228">
        <v>140.22</v>
      </c>
      <c r="W61" s="227">
        <v>32.9</v>
      </c>
      <c r="X61" s="175">
        <v>37.700000000000003</v>
      </c>
      <c r="Y61" s="228">
        <v>37.700000000000003</v>
      </c>
      <c r="Z61" s="67">
        <f t="shared" si="27"/>
        <v>45.03</v>
      </c>
      <c r="AA61" s="40">
        <f t="shared" si="28"/>
        <v>11.300000000000004</v>
      </c>
      <c r="AB61" s="40">
        <f t="shared" si="29"/>
        <v>33.729999999999997</v>
      </c>
      <c r="AC61" s="67">
        <v>2.2999999999999998</v>
      </c>
      <c r="AD61" s="67">
        <v>1</v>
      </c>
      <c r="AE61" s="229">
        <f t="shared" si="6"/>
        <v>43.3</v>
      </c>
      <c r="AF61" s="67">
        <f>ROUND((P61+N61)*$AF$1/12,2)</f>
        <v>1108.57</v>
      </c>
      <c r="AG61" s="67"/>
      <c r="AH61" s="67"/>
      <c r="AI61" s="67">
        <f>ROUND(((P61+N61)/12)*0.03,2)</f>
        <v>166.04</v>
      </c>
      <c r="AJ61" s="175"/>
      <c r="AK61" s="67"/>
      <c r="AL61" s="67">
        <v>929.47</v>
      </c>
      <c r="AM61" s="67">
        <v>299.19</v>
      </c>
      <c r="AN61" s="230"/>
      <c r="AO61" s="72"/>
      <c r="AP61" s="350">
        <f t="shared" si="9"/>
        <v>66414.399999999994</v>
      </c>
      <c r="AQ61" s="350">
        <f t="shared" si="10"/>
        <v>0</v>
      </c>
      <c r="AR61" s="350">
        <f t="shared" si="11"/>
        <v>0</v>
      </c>
    </row>
    <row r="62" spans="1:44" x14ac:dyDescent="0.25">
      <c r="A62" s="1"/>
      <c r="B62" s="1"/>
      <c r="C62" s="1"/>
      <c r="D62" s="1"/>
      <c r="E62" s="1"/>
      <c r="F62" s="1">
        <v>26</v>
      </c>
      <c r="G62" s="19">
        <v>41043</v>
      </c>
      <c r="H62" s="1"/>
      <c r="I62" s="1"/>
      <c r="J62" s="1" t="s">
        <v>65</v>
      </c>
      <c r="L62" s="1">
        <v>655</v>
      </c>
      <c r="M62" s="40">
        <v>26.95</v>
      </c>
      <c r="N62" s="40">
        <f t="shared" si="4"/>
        <v>56056</v>
      </c>
      <c r="O62" s="26">
        <f t="shared" si="26"/>
        <v>5.3308910797081948E-3</v>
      </c>
      <c r="P62" s="33">
        <f t="shared" si="5"/>
        <v>0</v>
      </c>
      <c r="Q62" s="227"/>
      <c r="R62" s="175"/>
      <c r="S62" s="175"/>
      <c r="T62" s="175">
        <v>931.64</v>
      </c>
      <c r="U62" s="175"/>
      <c r="V62" s="228">
        <v>103.52</v>
      </c>
      <c r="W62" s="227">
        <v>32.9</v>
      </c>
      <c r="X62" s="175">
        <v>37.700000000000003</v>
      </c>
      <c r="Y62" s="228">
        <v>37.700000000000003</v>
      </c>
      <c r="Z62" s="67">
        <f t="shared" si="27"/>
        <v>38.01</v>
      </c>
      <c r="AA62" s="40">
        <f t="shared" si="28"/>
        <v>11.299999999999997</v>
      </c>
      <c r="AB62" s="40">
        <f t="shared" si="29"/>
        <v>26.71</v>
      </c>
      <c r="AC62" s="67">
        <v>0.6</v>
      </c>
      <c r="AD62" s="67"/>
      <c r="AE62" s="229">
        <f t="shared" si="6"/>
        <v>36.549999999999997</v>
      </c>
      <c r="AF62" s="67"/>
      <c r="AG62" s="67"/>
      <c r="AH62" s="67">
        <f t="shared" ref="AH62:AH64" si="40">ROUND((P62+N62)*$AH$1/12,2)</f>
        <v>834.77</v>
      </c>
      <c r="AI62" s="67"/>
      <c r="AJ62" s="175"/>
      <c r="AK62" s="67">
        <f t="shared" ref="AK62:AK64" si="41">ROUND(((N62+P62)/12)*0.03,2)</f>
        <v>140.13999999999999</v>
      </c>
      <c r="AL62" s="67">
        <v>929.47</v>
      </c>
      <c r="AM62" s="67">
        <v>299.19</v>
      </c>
      <c r="AN62" s="230"/>
      <c r="AO62" s="72"/>
      <c r="AP62" s="350">
        <f t="shared" si="9"/>
        <v>0</v>
      </c>
      <c r="AQ62" s="350">
        <f t="shared" si="10"/>
        <v>0</v>
      </c>
      <c r="AR62" s="350">
        <f t="shared" si="11"/>
        <v>56056</v>
      </c>
    </row>
    <row r="63" spans="1:44" x14ac:dyDescent="0.25">
      <c r="A63" s="1"/>
      <c r="B63" s="1"/>
      <c r="C63" s="1"/>
      <c r="D63" s="1">
        <v>26</v>
      </c>
      <c r="E63" s="1">
        <v>29</v>
      </c>
      <c r="F63" s="1">
        <v>33</v>
      </c>
      <c r="G63" s="19">
        <v>39412</v>
      </c>
      <c r="H63" s="1"/>
      <c r="I63" s="1"/>
      <c r="J63" s="1" t="s">
        <v>65</v>
      </c>
      <c r="L63" s="1">
        <v>541</v>
      </c>
      <c r="M63" s="40">
        <v>32.659999999999997</v>
      </c>
      <c r="N63" s="40">
        <f t="shared" si="4"/>
        <v>67932.799999999988</v>
      </c>
      <c r="O63" s="26">
        <f t="shared" si="26"/>
        <v>6.4603674457613955E-3</v>
      </c>
      <c r="P63" s="33">
        <f t="shared" si="5"/>
        <v>0</v>
      </c>
      <c r="Q63" s="227"/>
      <c r="R63" s="175">
        <v>371.25</v>
      </c>
      <c r="S63" s="175"/>
      <c r="T63" s="175"/>
      <c r="U63" s="175"/>
      <c r="V63" s="228">
        <v>41.25</v>
      </c>
      <c r="W63" s="227">
        <v>32.9</v>
      </c>
      <c r="X63" s="175"/>
      <c r="Y63" s="228"/>
      <c r="Z63" s="67">
        <f t="shared" si="27"/>
        <v>46.06</v>
      </c>
      <c r="AA63" s="40">
        <f t="shared" si="28"/>
        <v>11.300000000000004</v>
      </c>
      <c r="AB63" s="40">
        <f t="shared" si="29"/>
        <v>34.76</v>
      </c>
      <c r="AC63" s="67"/>
      <c r="AD63" s="67"/>
      <c r="AE63" s="229">
        <f t="shared" si="6"/>
        <v>44.29</v>
      </c>
      <c r="AF63" s="67"/>
      <c r="AG63" s="67"/>
      <c r="AH63" s="67">
        <f t="shared" si="40"/>
        <v>1011.63</v>
      </c>
      <c r="AI63" s="67"/>
      <c r="AJ63" s="175"/>
      <c r="AK63" s="67">
        <f t="shared" si="41"/>
        <v>169.83</v>
      </c>
      <c r="AL63" s="67">
        <v>929.47</v>
      </c>
      <c r="AM63" s="67">
        <v>299.19</v>
      </c>
      <c r="AN63" s="230"/>
      <c r="AO63" s="72"/>
      <c r="AP63" s="350">
        <f t="shared" si="9"/>
        <v>0</v>
      </c>
      <c r="AQ63" s="350">
        <f t="shared" si="10"/>
        <v>0</v>
      </c>
      <c r="AR63" s="350">
        <f t="shared" si="11"/>
        <v>67932.799999999988</v>
      </c>
    </row>
    <row r="64" spans="1:44" x14ac:dyDescent="0.25">
      <c r="A64" s="1"/>
      <c r="B64" s="1"/>
      <c r="C64" s="1"/>
      <c r="D64" s="1"/>
      <c r="E64" s="1"/>
      <c r="F64" s="1">
        <v>28</v>
      </c>
      <c r="G64" s="19">
        <v>41757</v>
      </c>
      <c r="H64" s="1"/>
      <c r="I64" s="1"/>
      <c r="J64" s="1" t="s">
        <v>65</v>
      </c>
      <c r="L64" s="1">
        <v>672</v>
      </c>
      <c r="M64" s="40">
        <v>27.9</v>
      </c>
      <c r="N64" s="40">
        <f t="shared" si="4"/>
        <v>58032</v>
      </c>
      <c r="O64" s="26">
        <f t="shared" si="26"/>
        <v>5.5188074628518971E-3</v>
      </c>
      <c r="P64" s="33">
        <f t="shared" si="5"/>
        <v>0</v>
      </c>
      <c r="Q64" s="227">
        <v>1262.01</v>
      </c>
      <c r="R64" s="175"/>
      <c r="S64" s="175"/>
      <c r="T64" s="175"/>
      <c r="U64" s="175"/>
      <c r="V64" s="228">
        <v>140.22</v>
      </c>
      <c r="W64" s="227">
        <v>32.9</v>
      </c>
      <c r="X64" s="175">
        <v>37.700000000000003</v>
      </c>
      <c r="Y64" s="228">
        <v>37.700000000000003</v>
      </c>
      <c r="Z64" s="67">
        <f t="shared" si="27"/>
        <v>39.35</v>
      </c>
      <c r="AA64" s="40">
        <f t="shared" si="28"/>
        <v>11.3</v>
      </c>
      <c r="AB64" s="40">
        <f t="shared" si="29"/>
        <v>28.05</v>
      </c>
      <c r="AC64" s="67">
        <v>0.6</v>
      </c>
      <c r="AD64" s="67">
        <v>1</v>
      </c>
      <c r="AE64" s="229">
        <f t="shared" si="6"/>
        <v>37.840000000000003</v>
      </c>
      <c r="AF64" s="67"/>
      <c r="AG64" s="67"/>
      <c r="AH64" s="67">
        <f t="shared" si="40"/>
        <v>864.19</v>
      </c>
      <c r="AI64" s="67"/>
      <c r="AJ64" s="175"/>
      <c r="AK64" s="67">
        <f t="shared" si="41"/>
        <v>145.08000000000001</v>
      </c>
      <c r="AL64" s="67">
        <v>929.47</v>
      </c>
      <c r="AM64" s="67">
        <v>299.19</v>
      </c>
      <c r="AN64" s="230"/>
      <c r="AO64" s="72"/>
      <c r="AP64" s="350">
        <f t="shared" si="9"/>
        <v>0</v>
      </c>
      <c r="AQ64" s="350">
        <f t="shared" si="10"/>
        <v>0</v>
      </c>
      <c r="AR64" s="350">
        <f t="shared" si="11"/>
        <v>58032</v>
      </c>
    </row>
    <row r="65" spans="1:44" x14ac:dyDescent="0.25">
      <c r="A65" s="1">
        <v>45</v>
      </c>
      <c r="B65" s="1">
        <v>46</v>
      </c>
      <c r="C65" s="1">
        <v>47</v>
      </c>
      <c r="D65" s="1">
        <v>51</v>
      </c>
      <c r="E65" s="1">
        <v>54</v>
      </c>
      <c r="F65" s="1">
        <v>58</v>
      </c>
      <c r="G65" s="19">
        <v>28184</v>
      </c>
      <c r="H65" s="1" t="s">
        <v>65</v>
      </c>
      <c r="I65" s="1"/>
      <c r="J65" s="1"/>
      <c r="L65" s="1">
        <v>189</v>
      </c>
      <c r="M65" s="40">
        <v>39.33</v>
      </c>
      <c r="N65" s="40">
        <f t="shared" si="4"/>
        <v>81806.399999999994</v>
      </c>
      <c r="O65" s="26">
        <f t="shared" si="26"/>
        <v>7.7797382621492871E-3</v>
      </c>
      <c r="P65" s="33">
        <f t="shared" si="5"/>
        <v>0</v>
      </c>
      <c r="Q65" s="227"/>
      <c r="R65" s="175">
        <v>371.25</v>
      </c>
      <c r="S65" s="175"/>
      <c r="T65" s="175"/>
      <c r="U65" s="175"/>
      <c r="V65" s="228">
        <v>41.25</v>
      </c>
      <c r="W65" s="227">
        <v>32.9</v>
      </c>
      <c r="X65" s="175"/>
      <c r="Y65" s="228"/>
      <c r="Z65" s="67">
        <f t="shared" si="27"/>
        <v>55.46</v>
      </c>
      <c r="AA65" s="40">
        <f t="shared" si="28"/>
        <v>11.300000000000004</v>
      </c>
      <c r="AB65" s="40">
        <f t="shared" si="29"/>
        <v>44.16</v>
      </c>
      <c r="AC65" s="67">
        <v>4.3</v>
      </c>
      <c r="AD65" s="67"/>
      <c r="AE65" s="229">
        <f t="shared" si="6"/>
        <v>53.34</v>
      </c>
      <c r="AF65" s="67"/>
      <c r="AG65" s="67">
        <f t="shared" ref="AG65:AG66" si="42">ROUND((P65+N65)*$AG$1/12,2)</f>
        <v>1365.49</v>
      </c>
      <c r="AH65" s="67"/>
      <c r="AI65" s="67"/>
      <c r="AJ65" s="67">
        <f t="shared" ref="AJ65:AJ66" si="43">ROUND(((P65+N65)/12)*0.03,2)</f>
        <v>204.52</v>
      </c>
      <c r="AK65" s="67"/>
      <c r="AL65" s="67">
        <v>929.47</v>
      </c>
      <c r="AM65" s="67">
        <v>299.19</v>
      </c>
      <c r="AN65" s="230"/>
      <c r="AO65" s="72"/>
      <c r="AP65" s="350">
        <f t="shared" si="9"/>
        <v>0</v>
      </c>
      <c r="AQ65" s="350">
        <f t="shared" si="10"/>
        <v>81806.399999999994</v>
      </c>
      <c r="AR65" s="350">
        <f t="shared" si="11"/>
        <v>0</v>
      </c>
    </row>
    <row r="66" spans="1:44" x14ac:dyDescent="0.25">
      <c r="A66" s="1">
        <v>46</v>
      </c>
      <c r="B66" s="1">
        <v>47</v>
      </c>
      <c r="C66" s="1">
        <v>48</v>
      </c>
      <c r="D66" s="1">
        <v>52</v>
      </c>
      <c r="E66" s="1">
        <v>55</v>
      </c>
      <c r="F66" s="1">
        <v>59</v>
      </c>
      <c r="G66" s="19">
        <v>27855</v>
      </c>
      <c r="H66" s="1" t="s">
        <v>65</v>
      </c>
      <c r="I66" s="1"/>
      <c r="J66" s="1"/>
      <c r="L66" s="1">
        <v>207</v>
      </c>
      <c r="M66" s="40">
        <v>51.27</v>
      </c>
      <c r="N66" s="40">
        <f t="shared" si="4"/>
        <v>106641.60000000001</v>
      </c>
      <c r="O66" s="26">
        <f t="shared" si="26"/>
        <v>1.0141550488186983E-2</v>
      </c>
      <c r="P66" s="33">
        <f t="shared" si="5"/>
        <v>0</v>
      </c>
      <c r="Q66" s="227"/>
      <c r="R66" s="175">
        <v>371.25</v>
      </c>
      <c r="S66" s="175"/>
      <c r="T66" s="175"/>
      <c r="U66" s="175"/>
      <c r="V66" s="228">
        <v>41.25</v>
      </c>
      <c r="W66" s="227">
        <v>32.9</v>
      </c>
      <c r="X66" s="175"/>
      <c r="Y66" s="228"/>
      <c r="Z66" s="67">
        <f t="shared" si="27"/>
        <v>72.3</v>
      </c>
      <c r="AA66" s="40">
        <f t="shared" si="28"/>
        <v>11.299999999999997</v>
      </c>
      <c r="AB66" s="40">
        <f t="shared" si="29"/>
        <v>61</v>
      </c>
      <c r="AC66" s="67">
        <v>4.3</v>
      </c>
      <c r="AD66" s="67"/>
      <c r="AE66" s="229">
        <f t="shared" si="6"/>
        <v>69.53</v>
      </c>
      <c r="AF66" s="67"/>
      <c r="AG66" s="67">
        <f t="shared" si="42"/>
        <v>1780.03</v>
      </c>
      <c r="AH66" s="67"/>
      <c r="AI66" s="67"/>
      <c r="AJ66" s="67">
        <f t="shared" si="43"/>
        <v>266.60000000000002</v>
      </c>
      <c r="AK66" s="67"/>
      <c r="AL66" s="67">
        <v>929.47</v>
      </c>
      <c r="AM66" s="67">
        <v>299.19</v>
      </c>
      <c r="AN66" s="230"/>
      <c r="AO66" s="72"/>
      <c r="AP66" s="350">
        <f t="shared" si="9"/>
        <v>0</v>
      </c>
      <c r="AQ66" s="350">
        <f t="shared" si="10"/>
        <v>106641.60000000001</v>
      </c>
      <c r="AR66" s="350">
        <f t="shared" si="11"/>
        <v>0</v>
      </c>
    </row>
    <row r="67" spans="1:44" x14ac:dyDescent="0.25">
      <c r="A67" s="1">
        <v>37</v>
      </c>
      <c r="B67" s="1">
        <v>38</v>
      </c>
      <c r="C67" s="1">
        <v>39</v>
      </c>
      <c r="D67" s="1">
        <v>43</v>
      </c>
      <c r="E67" s="1">
        <v>46</v>
      </c>
      <c r="F67" s="1">
        <v>50</v>
      </c>
      <c r="G67" s="19">
        <v>34702</v>
      </c>
      <c r="H67" s="1" t="s">
        <v>65</v>
      </c>
      <c r="I67" s="1"/>
      <c r="J67" s="1"/>
      <c r="L67" s="1">
        <v>449</v>
      </c>
      <c r="M67" s="40">
        <v>32.57</v>
      </c>
      <c r="N67" s="40">
        <f t="shared" si="4"/>
        <v>67745.600000000006</v>
      </c>
      <c r="O67" s="26">
        <f t="shared" si="26"/>
        <v>6.4425648410425208E-3</v>
      </c>
      <c r="P67" s="33">
        <f t="shared" si="5"/>
        <v>0</v>
      </c>
      <c r="Q67" s="227">
        <v>1262.01</v>
      </c>
      <c r="R67" s="175"/>
      <c r="S67" s="175"/>
      <c r="T67" s="175"/>
      <c r="U67" s="175"/>
      <c r="V67" s="228">
        <v>140.22</v>
      </c>
      <c r="W67" s="227">
        <v>32.9</v>
      </c>
      <c r="X67" s="175">
        <v>37.700000000000003</v>
      </c>
      <c r="Y67" s="228">
        <v>37.700000000000003</v>
      </c>
      <c r="Z67" s="67">
        <f t="shared" si="27"/>
        <v>45.93</v>
      </c>
      <c r="AA67" s="40">
        <f t="shared" si="28"/>
        <v>11.299999999999997</v>
      </c>
      <c r="AB67" s="40">
        <f t="shared" si="29"/>
        <v>34.630000000000003</v>
      </c>
      <c r="AC67" s="67">
        <v>1.5</v>
      </c>
      <c r="AD67" s="67">
        <v>1</v>
      </c>
      <c r="AE67" s="229">
        <f t="shared" si="6"/>
        <v>44.17</v>
      </c>
      <c r="AF67" s="67"/>
      <c r="AG67" s="67"/>
      <c r="AH67" s="67">
        <f t="shared" ref="AH67:AH71" si="44">ROUND((P67+N67)*$AH$1/12,2)</f>
        <v>1008.84</v>
      </c>
      <c r="AI67" s="67"/>
      <c r="AJ67" s="175"/>
      <c r="AK67" s="67">
        <f t="shared" ref="AK67:AK71" si="45">ROUND(((N67+P67)/12)*0.03,2)</f>
        <v>169.36</v>
      </c>
      <c r="AL67" s="67">
        <v>929.47</v>
      </c>
      <c r="AM67" s="67">
        <v>299.19</v>
      </c>
      <c r="AN67" s="230"/>
      <c r="AO67" s="72"/>
      <c r="AP67" s="350">
        <f t="shared" si="9"/>
        <v>0</v>
      </c>
      <c r="AQ67" s="350">
        <f t="shared" si="10"/>
        <v>0</v>
      </c>
      <c r="AR67" s="350">
        <f t="shared" si="11"/>
        <v>67745.600000000006</v>
      </c>
    </row>
    <row r="68" spans="1:44" x14ac:dyDescent="0.25">
      <c r="A68" s="1"/>
      <c r="B68" s="1"/>
      <c r="C68" s="1"/>
      <c r="D68" s="1"/>
      <c r="E68" s="1"/>
      <c r="F68" s="1">
        <v>29</v>
      </c>
      <c r="G68" s="19">
        <v>41514</v>
      </c>
      <c r="H68" s="1"/>
      <c r="I68" s="1"/>
      <c r="J68" s="1" t="s">
        <v>65</v>
      </c>
      <c r="L68" s="1">
        <v>658</v>
      </c>
      <c r="M68" s="40">
        <v>34.32</v>
      </c>
      <c r="N68" s="40">
        <f t="shared" si="4"/>
        <v>71385.600000000006</v>
      </c>
      <c r="O68" s="26">
        <f t="shared" si="26"/>
        <v>6.7887265994651304E-3</v>
      </c>
      <c r="P68" s="33">
        <f t="shared" si="5"/>
        <v>0</v>
      </c>
      <c r="Q68" s="227"/>
      <c r="R68" s="175">
        <v>371.25</v>
      </c>
      <c r="S68" s="175"/>
      <c r="T68" s="175"/>
      <c r="U68" s="175"/>
      <c r="V68" s="228">
        <v>41.25</v>
      </c>
      <c r="W68" s="227">
        <v>32.9</v>
      </c>
      <c r="X68" s="175"/>
      <c r="Y68" s="228"/>
      <c r="Z68" s="67">
        <f t="shared" si="27"/>
        <v>48.4</v>
      </c>
      <c r="AA68" s="40">
        <f t="shared" si="28"/>
        <v>11.299999999999997</v>
      </c>
      <c r="AB68" s="40">
        <f t="shared" si="29"/>
        <v>37.1</v>
      </c>
      <c r="AC68" s="67"/>
      <c r="AD68" s="67"/>
      <c r="AE68" s="229">
        <f t="shared" si="6"/>
        <v>46.54</v>
      </c>
      <c r="AF68" s="67"/>
      <c r="AG68" s="67"/>
      <c r="AH68" s="67">
        <f t="shared" si="44"/>
        <v>1063.05</v>
      </c>
      <c r="AI68" s="67"/>
      <c r="AJ68" s="175"/>
      <c r="AK68" s="67">
        <f t="shared" si="45"/>
        <v>178.46</v>
      </c>
      <c r="AL68" s="67">
        <v>929.47</v>
      </c>
      <c r="AM68" s="67">
        <v>299.19</v>
      </c>
      <c r="AN68" s="230"/>
      <c r="AO68" s="72"/>
      <c r="AP68" s="350">
        <f t="shared" si="9"/>
        <v>0</v>
      </c>
      <c r="AQ68" s="350">
        <f t="shared" si="10"/>
        <v>0</v>
      </c>
      <c r="AR68" s="350">
        <f t="shared" si="11"/>
        <v>71385.600000000006</v>
      </c>
    </row>
    <row r="69" spans="1:44" x14ac:dyDescent="0.25">
      <c r="A69" s="1"/>
      <c r="B69" s="1"/>
      <c r="C69" s="1"/>
      <c r="D69" s="1">
        <v>29</v>
      </c>
      <c r="E69" s="1">
        <v>32</v>
      </c>
      <c r="F69" s="1">
        <v>36</v>
      </c>
      <c r="G69" s="19">
        <v>40330</v>
      </c>
      <c r="H69" s="1"/>
      <c r="I69" s="1"/>
      <c r="J69" s="1" t="s">
        <v>65</v>
      </c>
      <c r="L69" s="1">
        <v>651</v>
      </c>
      <c r="M69" s="40">
        <v>23.36</v>
      </c>
      <c r="N69" s="40">
        <f t="shared" si="4"/>
        <v>48588.799999999996</v>
      </c>
      <c r="O69" s="26">
        <f t="shared" si="26"/>
        <v>4.6207649581440973E-3</v>
      </c>
      <c r="P69" s="33">
        <f t="shared" si="5"/>
        <v>0</v>
      </c>
      <c r="Q69" s="227"/>
      <c r="R69" s="175">
        <v>371.25</v>
      </c>
      <c r="S69" s="175"/>
      <c r="T69" s="175"/>
      <c r="U69" s="175"/>
      <c r="V69" s="228">
        <v>41.25</v>
      </c>
      <c r="W69" s="227">
        <v>32.9</v>
      </c>
      <c r="X69" s="175">
        <v>37.700000000000003</v>
      </c>
      <c r="Y69" s="228">
        <v>37.700000000000003</v>
      </c>
      <c r="Z69" s="67">
        <f t="shared" si="27"/>
        <v>32.94</v>
      </c>
      <c r="AA69" s="40">
        <f t="shared" si="28"/>
        <v>11.299999999999997</v>
      </c>
      <c r="AB69" s="40">
        <f t="shared" si="29"/>
        <v>21.64</v>
      </c>
      <c r="AC69" s="67">
        <v>0.9</v>
      </c>
      <c r="AD69" s="67">
        <v>1</v>
      </c>
      <c r="AE69" s="229">
        <f t="shared" si="6"/>
        <v>31.68</v>
      </c>
      <c r="AF69" s="67"/>
      <c r="AG69" s="67"/>
      <c r="AH69" s="67">
        <f t="shared" si="44"/>
        <v>723.57</v>
      </c>
      <c r="AI69" s="67"/>
      <c r="AJ69" s="175"/>
      <c r="AK69" s="67">
        <f t="shared" si="45"/>
        <v>121.47</v>
      </c>
      <c r="AL69" s="67">
        <v>929.47</v>
      </c>
      <c r="AM69" s="67">
        <v>299.19</v>
      </c>
      <c r="AN69" s="230"/>
      <c r="AO69" s="72"/>
      <c r="AP69" s="350">
        <f t="shared" si="9"/>
        <v>0</v>
      </c>
      <c r="AQ69" s="350">
        <f t="shared" si="10"/>
        <v>0</v>
      </c>
      <c r="AR69" s="350">
        <f t="shared" si="11"/>
        <v>48588.799999999996</v>
      </c>
    </row>
    <row r="70" spans="1:44" x14ac:dyDescent="0.25">
      <c r="A70" s="1"/>
      <c r="B70" s="1">
        <v>27</v>
      </c>
      <c r="C70" s="1">
        <v>28</v>
      </c>
      <c r="D70" s="1">
        <v>32</v>
      </c>
      <c r="E70" s="1">
        <v>35</v>
      </c>
      <c r="F70" s="1">
        <v>39</v>
      </c>
      <c r="G70" s="19">
        <v>38012</v>
      </c>
      <c r="H70" s="1"/>
      <c r="I70" s="1"/>
      <c r="J70" s="1" t="s">
        <v>65</v>
      </c>
      <c r="L70" s="1">
        <v>581</v>
      </c>
      <c r="M70" s="40">
        <v>33.1</v>
      </c>
      <c r="N70" s="40">
        <f t="shared" si="4"/>
        <v>68848</v>
      </c>
      <c r="O70" s="26">
        <f t="shared" ref="O70:O101" si="46">+N70/$N$159</f>
        <v>6.5474024021647962E-3</v>
      </c>
      <c r="P70" s="33">
        <f t="shared" si="5"/>
        <v>0</v>
      </c>
      <c r="Q70" s="227">
        <v>1262.01</v>
      </c>
      <c r="R70" s="175"/>
      <c r="S70" s="175"/>
      <c r="T70" s="175"/>
      <c r="U70" s="175"/>
      <c r="V70" s="228">
        <v>140.22</v>
      </c>
      <c r="W70" s="227">
        <v>32.9</v>
      </c>
      <c r="X70" s="175">
        <v>37.700000000000003</v>
      </c>
      <c r="Y70" s="228">
        <v>37.700000000000003</v>
      </c>
      <c r="Z70" s="67">
        <f t="shared" ref="Z70:Z101" si="47">ROUND((N70+P70)*3*$Z$2,2)</f>
        <v>46.68</v>
      </c>
      <c r="AA70" s="40">
        <f t="shared" ref="AA70:AA101" si="48">+Z70-AB70</f>
        <v>11.299999999999997</v>
      </c>
      <c r="AB70" s="40">
        <f t="shared" ref="AB70:AB101" si="49">ROUND((((N70+P70)*3)-$AB$5)*$Z$2,2)</f>
        <v>35.380000000000003</v>
      </c>
      <c r="AC70" s="67">
        <v>0.9</v>
      </c>
      <c r="AD70" s="67">
        <v>1</v>
      </c>
      <c r="AE70" s="229">
        <f t="shared" si="6"/>
        <v>44.89</v>
      </c>
      <c r="AF70" s="67"/>
      <c r="AG70" s="67"/>
      <c r="AH70" s="67">
        <f t="shared" si="44"/>
        <v>1025.26</v>
      </c>
      <c r="AI70" s="67"/>
      <c r="AJ70" s="175"/>
      <c r="AK70" s="67">
        <f t="shared" si="45"/>
        <v>172.12</v>
      </c>
      <c r="AL70" s="67">
        <v>929.47</v>
      </c>
      <c r="AM70" s="67">
        <v>299.19</v>
      </c>
      <c r="AN70" s="230"/>
      <c r="AO70" s="72"/>
      <c r="AP70" s="350">
        <f t="shared" si="9"/>
        <v>0</v>
      </c>
      <c r="AQ70" s="350">
        <f t="shared" si="10"/>
        <v>0</v>
      </c>
      <c r="AR70" s="350">
        <f t="shared" si="11"/>
        <v>68848</v>
      </c>
    </row>
    <row r="71" spans="1:44" x14ac:dyDescent="0.25">
      <c r="A71" s="1">
        <v>23</v>
      </c>
      <c r="B71" s="1">
        <v>24</v>
      </c>
      <c r="C71" s="1">
        <v>25</v>
      </c>
      <c r="D71" s="1">
        <v>29</v>
      </c>
      <c r="E71" s="1">
        <v>32</v>
      </c>
      <c r="F71" s="1">
        <v>36</v>
      </c>
      <c r="G71" s="19">
        <v>36871</v>
      </c>
      <c r="H71" s="1"/>
      <c r="I71" s="1"/>
      <c r="J71" s="1" t="s">
        <v>65</v>
      </c>
      <c r="L71" s="1">
        <v>536</v>
      </c>
      <c r="M71" s="40">
        <v>32.24</v>
      </c>
      <c r="N71" s="40">
        <f t="shared" ref="N71:N134" si="50">M71*2080</f>
        <v>67059.199999999997</v>
      </c>
      <c r="O71" s="26">
        <f t="shared" si="46"/>
        <v>6.3772886237399703E-3</v>
      </c>
      <c r="P71" s="33">
        <f t="shared" ref="P71:P134" si="51">+$P$5*O71</f>
        <v>0</v>
      </c>
      <c r="Q71" s="227">
        <v>1262.01</v>
      </c>
      <c r="R71" s="175"/>
      <c r="S71" s="175"/>
      <c r="T71" s="175"/>
      <c r="U71" s="175"/>
      <c r="V71" s="228">
        <v>140.22</v>
      </c>
      <c r="W71" s="227">
        <v>32.9</v>
      </c>
      <c r="X71" s="175">
        <v>37.700000000000003</v>
      </c>
      <c r="Y71" s="228">
        <v>37.700000000000003</v>
      </c>
      <c r="Z71" s="67">
        <f t="shared" si="47"/>
        <v>45.47</v>
      </c>
      <c r="AA71" s="40">
        <f t="shared" si="48"/>
        <v>11.299999999999997</v>
      </c>
      <c r="AB71" s="40">
        <f t="shared" si="49"/>
        <v>34.17</v>
      </c>
      <c r="AC71" s="67">
        <v>0.9</v>
      </c>
      <c r="AD71" s="67">
        <v>1</v>
      </c>
      <c r="AE71" s="229">
        <f t="shared" ref="AE71:AE134" si="52">ROUND((P71+N71)*$AE$1/100,2)</f>
        <v>43.72</v>
      </c>
      <c r="AF71" s="67"/>
      <c r="AG71" s="67"/>
      <c r="AH71" s="67">
        <f t="shared" si="44"/>
        <v>998.62</v>
      </c>
      <c r="AI71" s="67"/>
      <c r="AJ71" s="175"/>
      <c r="AK71" s="67">
        <f t="shared" si="45"/>
        <v>167.65</v>
      </c>
      <c r="AL71" s="67">
        <v>929.47</v>
      </c>
      <c r="AM71" s="67">
        <v>299.19</v>
      </c>
      <c r="AN71" s="230"/>
      <c r="AO71" s="72"/>
      <c r="AP71" s="350">
        <f t="shared" ref="AP71:AP134" si="53">+IF(AI71&gt;0,N71,0)</f>
        <v>0</v>
      </c>
      <c r="AQ71" s="350">
        <f t="shared" ref="AQ71:AQ134" si="54">+IF(AJ71&gt;0,N71,0)</f>
        <v>0</v>
      </c>
      <c r="AR71" s="350">
        <f t="shared" ref="AR71:AR134" si="55">+IF(AK71&gt;0,N71,0)</f>
        <v>67059.199999999997</v>
      </c>
    </row>
    <row r="72" spans="1:44" x14ac:dyDescent="0.25">
      <c r="A72" s="1">
        <v>42</v>
      </c>
      <c r="B72" s="1">
        <v>43</v>
      </c>
      <c r="C72" s="1">
        <v>44</v>
      </c>
      <c r="D72" s="1">
        <v>48</v>
      </c>
      <c r="E72" s="1">
        <v>51</v>
      </c>
      <c r="F72" s="1">
        <v>55</v>
      </c>
      <c r="G72" s="19">
        <v>28906</v>
      </c>
      <c r="H72" s="1" t="s">
        <v>65</v>
      </c>
      <c r="I72" s="1"/>
      <c r="J72" s="1"/>
      <c r="L72" s="1">
        <v>282</v>
      </c>
      <c r="M72" s="40">
        <v>50.57</v>
      </c>
      <c r="N72" s="40">
        <f t="shared" si="50"/>
        <v>105185.60000000001</v>
      </c>
      <c r="O72" s="26">
        <f t="shared" si="46"/>
        <v>1.0003085784817938E-2</v>
      </c>
      <c r="P72" s="33">
        <f t="shared" si="51"/>
        <v>0</v>
      </c>
      <c r="Q72" s="227"/>
      <c r="R72" s="175"/>
      <c r="S72" s="175"/>
      <c r="T72" s="175">
        <v>931.64</v>
      </c>
      <c r="U72" s="175"/>
      <c r="V72" s="228">
        <v>103.52</v>
      </c>
      <c r="W72" s="227">
        <v>32.9</v>
      </c>
      <c r="X72" s="175">
        <v>37.700000000000003</v>
      </c>
      <c r="Y72" s="228">
        <v>37.700000000000003</v>
      </c>
      <c r="Z72" s="67">
        <f t="shared" si="47"/>
        <v>71.319999999999993</v>
      </c>
      <c r="AA72" s="40">
        <f t="shared" si="48"/>
        <v>11.29999999999999</v>
      </c>
      <c r="AB72" s="40">
        <f t="shared" si="49"/>
        <v>60.02</v>
      </c>
      <c r="AC72" s="67">
        <v>2.2999999999999998</v>
      </c>
      <c r="AD72" s="67"/>
      <c r="AE72" s="229">
        <f t="shared" si="52"/>
        <v>68.58</v>
      </c>
      <c r="AF72" s="67"/>
      <c r="AG72" s="67">
        <f t="shared" ref="AG72:AG73" si="56">ROUND((P72+N72)*$AG$1/12,2)</f>
        <v>1755.72</v>
      </c>
      <c r="AH72" s="67"/>
      <c r="AI72" s="67"/>
      <c r="AJ72" s="67">
        <f t="shared" ref="AJ72:AJ73" si="57">ROUND(((P72+N72)/12)*0.03,2)</f>
        <v>262.95999999999998</v>
      </c>
      <c r="AK72" s="67"/>
      <c r="AL72" s="67">
        <v>929.47</v>
      </c>
      <c r="AM72" s="67">
        <v>299.19</v>
      </c>
      <c r="AN72" s="230"/>
      <c r="AO72" s="72"/>
      <c r="AP72" s="350">
        <f t="shared" si="53"/>
        <v>0</v>
      </c>
      <c r="AQ72" s="350">
        <f t="shared" si="54"/>
        <v>105185.60000000001</v>
      </c>
      <c r="AR72" s="350">
        <f t="shared" si="55"/>
        <v>0</v>
      </c>
    </row>
    <row r="73" spans="1:44" x14ac:dyDescent="0.25">
      <c r="A73" s="1">
        <v>42</v>
      </c>
      <c r="B73" s="1">
        <v>43</v>
      </c>
      <c r="C73" s="1">
        <v>44</v>
      </c>
      <c r="D73" s="1">
        <v>48</v>
      </c>
      <c r="E73" s="1">
        <v>51</v>
      </c>
      <c r="F73" s="1">
        <v>55</v>
      </c>
      <c r="G73" s="19">
        <v>28982</v>
      </c>
      <c r="H73" s="1" t="s">
        <v>65</v>
      </c>
      <c r="I73" s="1"/>
      <c r="J73" s="1"/>
      <c r="L73" s="1">
        <v>289</v>
      </c>
      <c r="M73" s="40">
        <v>29.92</v>
      </c>
      <c r="N73" s="40">
        <f t="shared" si="50"/>
        <v>62233.600000000006</v>
      </c>
      <c r="O73" s="26">
        <f t="shared" si="46"/>
        <v>5.9183770354311396E-3</v>
      </c>
      <c r="P73" s="33">
        <f t="shared" si="51"/>
        <v>0</v>
      </c>
      <c r="Q73" s="227"/>
      <c r="R73" s="175"/>
      <c r="S73" s="175"/>
      <c r="T73" s="175">
        <v>931.64</v>
      </c>
      <c r="U73" s="175"/>
      <c r="V73" s="228">
        <v>103.52</v>
      </c>
      <c r="W73" s="227">
        <v>32.9</v>
      </c>
      <c r="X73" s="175">
        <v>37.700000000000003</v>
      </c>
      <c r="Y73" s="228">
        <v>37.700000000000003</v>
      </c>
      <c r="Z73" s="67">
        <f t="shared" si="47"/>
        <v>42.19</v>
      </c>
      <c r="AA73" s="40">
        <f t="shared" si="48"/>
        <v>11.299999999999997</v>
      </c>
      <c r="AB73" s="40">
        <f t="shared" si="49"/>
        <v>30.89</v>
      </c>
      <c r="AC73" s="67">
        <v>2.2999999999999998</v>
      </c>
      <c r="AD73" s="67"/>
      <c r="AE73" s="229">
        <f t="shared" si="52"/>
        <v>40.58</v>
      </c>
      <c r="AF73" s="67"/>
      <c r="AG73" s="67">
        <f t="shared" si="56"/>
        <v>1038.78</v>
      </c>
      <c r="AH73" s="67"/>
      <c r="AI73" s="67"/>
      <c r="AJ73" s="67">
        <f t="shared" si="57"/>
        <v>155.58000000000001</v>
      </c>
      <c r="AK73" s="67"/>
      <c r="AL73" s="67">
        <v>929.47</v>
      </c>
      <c r="AM73" s="67">
        <v>299.19</v>
      </c>
      <c r="AN73" s="230"/>
      <c r="AO73" s="72"/>
      <c r="AP73" s="350">
        <f t="shared" si="53"/>
        <v>0</v>
      </c>
      <c r="AQ73" s="350">
        <f t="shared" si="54"/>
        <v>62233.600000000006</v>
      </c>
      <c r="AR73" s="350">
        <f t="shared" si="55"/>
        <v>0</v>
      </c>
    </row>
    <row r="74" spans="1:44" x14ac:dyDescent="0.25">
      <c r="A74" s="1">
        <v>41</v>
      </c>
      <c r="B74" s="1">
        <v>42</v>
      </c>
      <c r="C74" s="1">
        <v>43</v>
      </c>
      <c r="D74" s="1">
        <v>47</v>
      </c>
      <c r="E74" s="1">
        <v>50</v>
      </c>
      <c r="F74" s="1">
        <v>54</v>
      </c>
      <c r="G74" s="19">
        <v>35989</v>
      </c>
      <c r="H74" s="1" t="s">
        <v>65</v>
      </c>
      <c r="I74" s="1"/>
      <c r="J74" s="1"/>
      <c r="L74" s="1">
        <v>479</v>
      </c>
      <c r="M74" s="40">
        <v>57.5</v>
      </c>
      <c r="N74" s="40">
        <f t="shared" si="50"/>
        <v>119600</v>
      </c>
      <c r="O74" s="26">
        <f t="shared" si="46"/>
        <v>1.1373886348171474E-2</v>
      </c>
      <c r="P74" s="33">
        <f t="shared" si="51"/>
        <v>0</v>
      </c>
      <c r="Q74" s="227">
        <v>1262.01</v>
      </c>
      <c r="R74" s="175"/>
      <c r="S74" s="175"/>
      <c r="T74" s="175"/>
      <c r="U74" s="175"/>
      <c r="V74" s="228">
        <v>140.22</v>
      </c>
      <c r="W74" s="227">
        <v>32.9</v>
      </c>
      <c r="X74" s="175">
        <v>37.700000000000003</v>
      </c>
      <c r="Y74" s="228">
        <v>37.700000000000003</v>
      </c>
      <c r="Z74" s="67">
        <f t="shared" si="47"/>
        <v>81.09</v>
      </c>
      <c r="AA74" s="40">
        <f t="shared" si="48"/>
        <v>11.299999999999997</v>
      </c>
      <c r="AB74" s="40">
        <f t="shared" si="49"/>
        <v>69.790000000000006</v>
      </c>
      <c r="AC74" s="67">
        <v>2.2999999999999998</v>
      </c>
      <c r="AD74" s="67">
        <v>1</v>
      </c>
      <c r="AE74" s="229">
        <f t="shared" si="52"/>
        <v>77.98</v>
      </c>
      <c r="AF74" s="67"/>
      <c r="AG74" s="67"/>
      <c r="AH74" s="67">
        <f t="shared" ref="AH74:AH76" si="58">ROUND((P74+N74)*$AH$1/12,2)</f>
        <v>1781.04</v>
      </c>
      <c r="AI74" s="67"/>
      <c r="AJ74" s="175"/>
      <c r="AK74" s="67">
        <f t="shared" ref="AK74:AK76" si="59">ROUND(((N74+P74)/12)*0.03,2)</f>
        <v>299</v>
      </c>
      <c r="AL74" s="67">
        <v>929.47</v>
      </c>
      <c r="AM74" s="67">
        <v>299.19</v>
      </c>
      <c r="AN74" s="230"/>
      <c r="AO74" s="72"/>
      <c r="AP74" s="350">
        <f t="shared" si="53"/>
        <v>0</v>
      </c>
      <c r="AQ74" s="350">
        <f t="shared" si="54"/>
        <v>0</v>
      </c>
      <c r="AR74" s="350">
        <f t="shared" si="55"/>
        <v>119600</v>
      </c>
    </row>
    <row r="75" spans="1:44" x14ac:dyDescent="0.25">
      <c r="A75" s="1"/>
      <c r="B75" s="1"/>
      <c r="C75" s="1"/>
      <c r="D75" s="1"/>
      <c r="E75" s="1"/>
      <c r="F75" s="1">
        <v>38</v>
      </c>
      <c r="G75" s="19">
        <v>41694</v>
      </c>
      <c r="H75" s="1"/>
      <c r="I75" s="1"/>
      <c r="J75" s="1" t="s">
        <v>65</v>
      </c>
      <c r="L75" s="1">
        <v>670</v>
      </c>
      <c r="M75" s="40">
        <v>32.01</v>
      </c>
      <c r="N75" s="40">
        <f t="shared" si="50"/>
        <v>66580.800000000003</v>
      </c>
      <c r="O75" s="26">
        <f t="shared" si="46"/>
        <v>6.3317930783472849E-3</v>
      </c>
      <c r="P75" s="33">
        <f t="shared" si="51"/>
        <v>0</v>
      </c>
      <c r="Q75" s="227"/>
      <c r="R75" s="175"/>
      <c r="S75" s="175">
        <v>800.02</v>
      </c>
      <c r="T75" s="175"/>
      <c r="U75" s="175"/>
      <c r="V75" s="228">
        <v>88.89</v>
      </c>
      <c r="W75" s="227">
        <v>32.9</v>
      </c>
      <c r="X75" s="175">
        <v>37.700000000000003</v>
      </c>
      <c r="Y75" s="228">
        <v>37.700000000000003</v>
      </c>
      <c r="Z75" s="67">
        <f t="shared" si="47"/>
        <v>45.14</v>
      </c>
      <c r="AA75" s="40">
        <f t="shared" si="48"/>
        <v>11.299999999999997</v>
      </c>
      <c r="AB75" s="40">
        <f t="shared" si="49"/>
        <v>33.840000000000003</v>
      </c>
      <c r="AC75" s="67"/>
      <c r="AD75" s="67">
        <v>1</v>
      </c>
      <c r="AE75" s="229">
        <f t="shared" si="52"/>
        <v>43.41</v>
      </c>
      <c r="AF75" s="67"/>
      <c r="AG75" s="67"/>
      <c r="AH75" s="67">
        <f t="shared" si="58"/>
        <v>991.5</v>
      </c>
      <c r="AI75" s="67"/>
      <c r="AJ75" s="175"/>
      <c r="AK75" s="67">
        <f t="shared" si="59"/>
        <v>166.45</v>
      </c>
      <c r="AL75" s="67">
        <v>929.47</v>
      </c>
      <c r="AM75" s="67">
        <v>299.19</v>
      </c>
      <c r="AN75" s="230"/>
      <c r="AO75" s="72"/>
      <c r="AP75" s="350">
        <f t="shared" si="53"/>
        <v>0</v>
      </c>
      <c r="AQ75" s="350">
        <f t="shared" si="54"/>
        <v>0</v>
      </c>
      <c r="AR75" s="350">
        <f t="shared" si="55"/>
        <v>66580.800000000003</v>
      </c>
    </row>
    <row r="76" spans="1:44" x14ac:dyDescent="0.25">
      <c r="A76" s="1"/>
      <c r="B76" s="1"/>
      <c r="C76" s="1"/>
      <c r="D76" s="1"/>
      <c r="E76" s="1"/>
      <c r="F76" s="1">
        <v>50</v>
      </c>
      <c r="G76" s="19">
        <v>40490</v>
      </c>
      <c r="H76" s="1"/>
      <c r="I76" s="1"/>
      <c r="J76" s="1" t="s">
        <v>65</v>
      </c>
      <c r="L76" s="1">
        <v>202</v>
      </c>
      <c r="M76" s="40">
        <v>21.07</v>
      </c>
      <c r="N76" s="40">
        <f t="shared" si="50"/>
        <v>43825.599999999999</v>
      </c>
      <c r="O76" s="26">
        <f t="shared" si="46"/>
        <v>4.1677875714082246E-3</v>
      </c>
      <c r="P76" s="33">
        <f t="shared" si="51"/>
        <v>0</v>
      </c>
      <c r="Q76" s="227">
        <v>1262.01</v>
      </c>
      <c r="R76" s="175"/>
      <c r="S76" s="175"/>
      <c r="T76" s="175"/>
      <c r="U76" s="175"/>
      <c r="V76" s="228">
        <v>140.22</v>
      </c>
      <c r="W76" s="227">
        <v>32.9</v>
      </c>
      <c r="X76" s="175">
        <v>37.700000000000003</v>
      </c>
      <c r="Y76" s="228">
        <v>37.700000000000003</v>
      </c>
      <c r="Z76" s="67">
        <f t="shared" si="47"/>
        <v>29.71</v>
      </c>
      <c r="AA76" s="40">
        <f t="shared" si="48"/>
        <v>11.3</v>
      </c>
      <c r="AB76" s="40">
        <f t="shared" si="49"/>
        <v>18.41</v>
      </c>
      <c r="AC76" s="67">
        <v>1.5</v>
      </c>
      <c r="AD76" s="67">
        <v>1</v>
      </c>
      <c r="AE76" s="229">
        <f t="shared" si="52"/>
        <v>28.57</v>
      </c>
      <c r="AF76" s="67"/>
      <c r="AG76" s="67"/>
      <c r="AH76" s="67">
        <f t="shared" si="58"/>
        <v>652.64</v>
      </c>
      <c r="AI76" s="67"/>
      <c r="AJ76" s="175"/>
      <c r="AK76" s="67">
        <f t="shared" si="59"/>
        <v>109.56</v>
      </c>
      <c r="AL76" s="67">
        <v>929.47</v>
      </c>
      <c r="AM76" s="67">
        <v>299.19</v>
      </c>
      <c r="AN76" s="230"/>
      <c r="AO76" s="72"/>
      <c r="AP76" s="350">
        <f t="shared" si="53"/>
        <v>0</v>
      </c>
      <c r="AQ76" s="350">
        <f t="shared" si="54"/>
        <v>0</v>
      </c>
      <c r="AR76" s="350">
        <f t="shared" si="55"/>
        <v>43825.599999999999</v>
      </c>
    </row>
    <row r="77" spans="1:44" x14ac:dyDescent="0.25">
      <c r="A77" s="1">
        <v>50</v>
      </c>
      <c r="B77" s="1">
        <v>51</v>
      </c>
      <c r="C77" s="1">
        <v>52</v>
      </c>
      <c r="D77" s="1">
        <v>56</v>
      </c>
      <c r="E77" s="1">
        <v>59</v>
      </c>
      <c r="F77" s="1">
        <v>63</v>
      </c>
      <c r="G77" s="19">
        <v>30641</v>
      </c>
      <c r="H77" s="1" t="s">
        <v>65</v>
      </c>
      <c r="I77" s="1"/>
      <c r="J77" s="1"/>
      <c r="L77" s="1">
        <v>323</v>
      </c>
      <c r="M77" s="40">
        <v>25.92</v>
      </c>
      <c r="N77" s="40">
        <f t="shared" si="50"/>
        <v>53913.600000000006</v>
      </c>
      <c r="O77" s="26">
        <f t="shared" si="46"/>
        <v>5.1271501590366021E-3</v>
      </c>
      <c r="P77" s="33">
        <f t="shared" si="51"/>
        <v>0</v>
      </c>
      <c r="Q77" s="227"/>
      <c r="R77" s="175"/>
      <c r="S77" s="175"/>
      <c r="T77" s="175">
        <v>931.64</v>
      </c>
      <c r="U77" s="175"/>
      <c r="V77" s="228">
        <v>103.52</v>
      </c>
      <c r="W77" s="227">
        <v>32.9</v>
      </c>
      <c r="X77" s="175">
        <v>37.700000000000003</v>
      </c>
      <c r="Y77" s="228">
        <v>37.700000000000003</v>
      </c>
      <c r="Z77" s="67">
        <f t="shared" si="47"/>
        <v>36.549999999999997</v>
      </c>
      <c r="AA77" s="40">
        <f t="shared" si="48"/>
        <v>11.299999999999997</v>
      </c>
      <c r="AB77" s="40">
        <f t="shared" si="49"/>
        <v>25.25</v>
      </c>
      <c r="AC77" s="67">
        <v>6.6</v>
      </c>
      <c r="AD77" s="67"/>
      <c r="AE77" s="229">
        <f t="shared" si="52"/>
        <v>35.15</v>
      </c>
      <c r="AF77" s="67"/>
      <c r="AG77" s="67">
        <f t="shared" ref="AG77:AG78" si="60">ROUND((P77+N77)*$AG$1/12,2)</f>
        <v>899.91</v>
      </c>
      <c r="AH77" s="67"/>
      <c r="AI77" s="67"/>
      <c r="AJ77" s="67">
        <f t="shared" ref="AJ77:AJ78" si="61">ROUND(((P77+N77)/12)*0.03,2)</f>
        <v>134.78</v>
      </c>
      <c r="AK77" s="67"/>
      <c r="AL77" s="67">
        <v>929.47</v>
      </c>
      <c r="AM77" s="67">
        <v>299.19</v>
      </c>
      <c r="AN77" s="230"/>
      <c r="AO77" s="72"/>
      <c r="AP77" s="350">
        <f t="shared" si="53"/>
        <v>0</v>
      </c>
      <c r="AQ77" s="350">
        <f t="shared" si="54"/>
        <v>53913.600000000006</v>
      </c>
      <c r="AR77" s="350">
        <f t="shared" si="55"/>
        <v>0</v>
      </c>
    </row>
    <row r="78" spans="1:44" x14ac:dyDescent="0.25">
      <c r="A78" s="1">
        <v>41</v>
      </c>
      <c r="B78" s="1">
        <v>42</v>
      </c>
      <c r="C78" s="1">
        <v>43</v>
      </c>
      <c r="D78" s="1">
        <v>47</v>
      </c>
      <c r="E78" s="1">
        <v>50</v>
      </c>
      <c r="F78" s="1">
        <v>54</v>
      </c>
      <c r="G78" s="19">
        <v>31131</v>
      </c>
      <c r="H78" s="1" t="s">
        <v>65</v>
      </c>
      <c r="I78" s="1"/>
      <c r="J78" s="1"/>
      <c r="L78" s="1">
        <v>339</v>
      </c>
      <c r="M78" s="40">
        <v>28.23</v>
      </c>
      <c r="N78" s="40">
        <f t="shared" si="50"/>
        <v>58718.400000000001</v>
      </c>
      <c r="O78" s="26">
        <f t="shared" si="46"/>
        <v>5.5840836801544468E-3</v>
      </c>
      <c r="P78" s="33">
        <f t="shared" si="51"/>
        <v>0</v>
      </c>
      <c r="Q78" s="227"/>
      <c r="R78" s="175">
        <v>371.25</v>
      </c>
      <c r="S78" s="175"/>
      <c r="T78" s="175"/>
      <c r="U78" s="175"/>
      <c r="V78" s="228">
        <v>41.25</v>
      </c>
      <c r="W78" s="227">
        <v>32.9</v>
      </c>
      <c r="X78" s="175"/>
      <c r="Y78" s="228"/>
      <c r="Z78" s="67">
        <f t="shared" si="47"/>
        <v>39.81</v>
      </c>
      <c r="AA78" s="40">
        <f t="shared" si="48"/>
        <v>11.3</v>
      </c>
      <c r="AB78" s="40">
        <f t="shared" si="49"/>
        <v>28.51</v>
      </c>
      <c r="AC78" s="67">
        <v>2.2999999999999998</v>
      </c>
      <c r="AD78" s="67"/>
      <c r="AE78" s="229">
        <f t="shared" si="52"/>
        <v>38.28</v>
      </c>
      <c r="AF78" s="67"/>
      <c r="AG78" s="67">
        <f t="shared" si="60"/>
        <v>980.11</v>
      </c>
      <c r="AH78" s="67"/>
      <c r="AI78" s="67"/>
      <c r="AJ78" s="67">
        <f t="shared" si="61"/>
        <v>146.80000000000001</v>
      </c>
      <c r="AK78" s="67"/>
      <c r="AL78" s="67">
        <v>929.47</v>
      </c>
      <c r="AM78" s="67">
        <v>299.19</v>
      </c>
      <c r="AN78" s="230"/>
      <c r="AO78" s="72"/>
      <c r="AP78" s="350">
        <f t="shared" si="53"/>
        <v>0</v>
      </c>
      <c r="AQ78" s="350">
        <f t="shared" si="54"/>
        <v>58718.400000000001</v>
      </c>
      <c r="AR78" s="350">
        <f t="shared" si="55"/>
        <v>0</v>
      </c>
    </row>
    <row r="79" spans="1:44" x14ac:dyDescent="0.25">
      <c r="A79" s="1">
        <v>37</v>
      </c>
      <c r="B79" s="1">
        <v>38</v>
      </c>
      <c r="C79" s="1">
        <v>39</v>
      </c>
      <c r="D79" s="1">
        <v>43</v>
      </c>
      <c r="E79" s="1">
        <v>46</v>
      </c>
      <c r="F79" s="1">
        <v>50</v>
      </c>
      <c r="G79" s="19">
        <v>33217</v>
      </c>
      <c r="H79" s="1" t="s">
        <v>65</v>
      </c>
      <c r="I79" s="1"/>
      <c r="J79" s="1"/>
      <c r="L79" s="1">
        <v>414</v>
      </c>
      <c r="M79" s="40">
        <v>26.79</v>
      </c>
      <c r="N79" s="40">
        <f t="shared" si="50"/>
        <v>55723.199999999997</v>
      </c>
      <c r="O79" s="26">
        <f t="shared" si="46"/>
        <v>5.299242004652413E-3</v>
      </c>
      <c r="P79" s="33">
        <f t="shared" si="51"/>
        <v>0</v>
      </c>
      <c r="Q79" s="227"/>
      <c r="R79" s="175">
        <v>371.25</v>
      </c>
      <c r="S79" s="175"/>
      <c r="T79" s="175"/>
      <c r="U79" s="175"/>
      <c r="V79" s="228">
        <v>41.25</v>
      </c>
      <c r="W79" s="227">
        <v>32.9</v>
      </c>
      <c r="X79" s="175"/>
      <c r="Y79" s="228"/>
      <c r="Z79" s="67">
        <f t="shared" si="47"/>
        <v>37.78</v>
      </c>
      <c r="AA79" s="40">
        <f t="shared" si="48"/>
        <v>11.3</v>
      </c>
      <c r="AB79" s="40">
        <f t="shared" si="49"/>
        <v>26.48</v>
      </c>
      <c r="AC79" s="67">
        <v>1.5</v>
      </c>
      <c r="AD79" s="67">
        <v>1</v>
      </c>
      <c r="AE79" s="229">
        <f t="shared" si="52"/>
        <v>36.33</v>
      </c>
      <c r="AF79" s="67"/>
      <c r="AG79" s="67"/>
      <c r="AH79" s="67">
        <f t="shared" ref="AH79:AH89" si="62">ROUND((P79+N79)*$AH$1/12,2)</f>
        <v>829.81</v>
      </c>
      <c r="AI79" s="67"/>
      <c r="AJ79" s="175"/>
      <c r="AK79" s="67">
        <f t="shared" ref="AK79:AK89" si="63">ROUND(((N79+P79)/12)*0.03,2)</f>
        <v>139.31</v>
      </c>
      <c r="AL79" s="67">
        <v>929.47</v>
      </c>
      <c r="AM79" s="67">
        <v>299.19</v>
      </c>
      <c r="AN79" s="230"/>
      <c r="AO79" s="72"/>
      <c r="AP79" s="350">
        <f t="shared" si="53"/>
        <v>0</v>
      </c>
      <c r="AQ79" s="350">
        <f t="shared" si="54"/>
        <v>0</v>
      </c>
      <c r="AR79" s="350">
        <f t="shared" si="55"/>
        <v>55723.199999999997</v>
      </c>
    </row>
    <row r="80" spans="1:44" x14ac:dyDescent="0.25">
      <c r="A80" s="1">
        <v>37</v>
      </c>
      <c r="B80" s="1">
        <v>38</v>
      </c>
      <c r="C80" s="1">
        <v>39</v>
      </c>
      <c r="D80" s="1">
        <v>43</v>
      </c>
      <c r="E80" s="1">
        <v>46</v>
      </c>
      <c r="F80" s="1">
        <v>50</v>
      </c>
      <c r="G80" s="19">
        <v>32146</v>
      </c>
      <c r="H80" s="1" t="s">
        <v>65</v>
      </c>
      <c r="I80" s="1"/>
      <c r="J80" s="1"/>
      <c r="L80" s="1">
        <v>370</v>
      </c>
      <c r="M80" s="40">
        <v>25.92</v>
      </c>
      <c r="N80" s="40">
        <f t="shared" si="50"/>
        <v>53913.600000000006</v>
      </c>
      <c r="O80" s="26">
        <f t="shared" si="46"/>
        <v>5.1271501590366021E-3</v>
      </c>
      <c r="P80" s="33">
        <f t="shared" si="51"/>
        <v>0</v>
      </c>
      <c r="Q80" s="227">
        <v>1262.01</v>
      </c>
      <c r="R80" s="175"/>
      <c r="S80" s="175"/>
      <c r="T80" s="175"/>
      <c r="U80" s="175"/>
      <c r="V80" s="228">
        <v>140.22</v>
      </c>
      <c r="W80" s="227">
        <v>32.9</v>
      </c>
      <c r="X80" s="175">
        <v>37.700000000000003</v>
      </c>
      <c r="Y80" s="228">
        <v>37.700000000000003</v>
      </c>
      <c r="Z80" s="67">
        <f t="shared" si="47"/>
        <v>36.549999999999997</v>
      </c>
      <c r="AA80" s="40">
        <f t="shared" si="48"/>
        <v>11.299999999999997</v>
      </c>
      <c r="AB80" s="40">
        <f t="shared" si="49"/>
        <v>25.25</v>
      </c>
      <c r="AC80" s="67">
        <v>1.5</v>
      </c>
      <c r="AD80" s="67">
        <v>1</v>
      </c>
      <c r="AE80" s="229">
        <f t="shared" si="52"/>
        <v>35.15</v>
      </c>
      <c r="AF80" s="67"/>
      <c r="AG80" s="67"/>
      <c r="AH80" s="67">
        <f t="shared" si="62"/>
        <v>802.86</v>
      </c>
      <c r="AI80" s="67"/>
      <c r="AJ80" s="175"/>
      <c r="AK80" s="344">
        <f>ROUND(((N80+P80)/12)*0.01,2)</f>
        <v>44.93</v>
      </c>
      <c r="AL80" s="67">
        <v>929.47</v>
      </c>
      <c r="AM80" s="67">
        <v>299.19</v>
      </c>
      <c r="AN80" s="230"/>
      <c r="AO80" s="72"/>
      <c r="AP80" s="350">
        <f t="shared" si="53"/>
        <v>0</v>
      </c>
      <c r="AQ80" s="350">
        <f t="shared" si="54"/>
        <v>0</v>
      </c>
      <c r="AR80" s="350">
        <f t="shared" si="55"/>
        <v>53913.600000000006</v>
      </c>
    </row>
    <row r="81" spans="1:44" x14ac:dyDescent="0.25">
      <c r="A81" s="1"/>
      <c r="B81" s="1"/>
      <c r="C81" s="1"/>
      <c r="D81" s="1">
        <v>47</v>
      </c>
      <c r="E81" s="1">
        <v>50</v>
      </c>
      <c r="F81" s="1">
        <v>54</v>
      </c>
      <c r="G81" s="19">
        <v>40357</v>
      </c>
      <c r="H81" s="1"/>
      <c r="I81" s="1"/>
      <c r="J81" s="1" t="s">
        <v>65</v>
      </c>
      <c r="L81" s="1">
        <v>653</v>
      </c>
      <c r="M81" s="40">
        <v>20.8</v>
      </c>
      <c r="N81" s="40">
        <f t="shared" si="50"/>
        <v>43264</v>
      </c>
      <c r="O81" s="26">
        <f t="shared" si="46"/>
        <v>4.1143797572515935E-3</v>
      </c>
      <c r="P81" s="33">
        <f t="shared" si="51"/>
        <v>0</v>
      </c>
      <c r="Q81" s="227">
        <v>1262.01</v>
      </c>
      <c r="R81" s="175"/>
      <c r="S81" s="175"/>
      <c r="T81" s="175"/>
      <c r="U81" s="175"/>
      <c r="V81" s="228">
        <v>140.22</v>
      </c>
      <c r="W81" s="227">
        <v>32.9</v>
      </c>
      <c r="X81" s="175">
        <v>37.700000000000003</v>
      </c>
      <c r="Y81" s="228">
        <v>37.700000000000003</v>
      </c>
      <c r="Z81" s="67">
        <f t="shared" si="47"/>
        <v>29.33</v>
      </c>
      <c r="AA81" s="40">
        <f t="shared" si="48"/>
        <v>11.299999999999997</v>
      </c>
      <c r="AB81" s="40">
        <f t="shared" si="49"/>
        <v>18.03</v>
      </c>
      <c r="AC81" s="67">
        <v>2.2999999999999998</v>
      </c>
      <c r="AD81" s="67">
        <v>1</v>
      </c>
      <c r="AE81" s="229">
        <f t="shared" si="52"/>
        <v>28.21</v>
      </c>
      <c r="AF81" s="67"/>
      <c r="AG81" s="67"/>
      <c r="AH81" s="67">
        <f t="shared" si="62"/>
        <v>644.27</v>
      </c>
      <c r="AI81" s="67"/>
      <c r="AJ81" s="175"/>
      <c r="AK81" s="400">
        <f>ROUND(((N81+P81)/12)*0.02,2)</f>
        <v>72.11</v>
      </c>
      <c r="AL81" s="67">
        <v>929.47</v>
      </c>
      <c r="AM81" s="67">
        <v>299.19</v>
      </c>
      <c r="AN81" s="230"/>
      <c r="AO81" s="72"/>
      <c r="AP81" s="350">
        <f t="shared" si="53"/>
        <v>0</v>
      </c>
      <c r="AQ81" s="350">
        <f t="shared" si="54"/>
        <v>0</v>
      </c>
      <c r="AR81" s="350">
        <f t="shared" si="55"/>
        <v>43264</v>
      </c>
    </row>
    <row r="82" spans="1:44" x14ac:dyDescent="0.25">
      <c r="A82" s="1"/>
      <c r="B82" s="1"/>
      <c r="C82" s="1"/>
      <c r="D82" s="1">
        <v>49</v>
      </c>
      <c r="E82" s="1">
        <v>52</v>
      </c>
      <c r="F82" s="1">
        <v>56</v>
      </c>
      <c r="G82" s="19">
        <v>40000</v>
      </c>
      <c r="H82" s="1"/>
      <c r="I82" s="1"/>
      <c r="J82" s="1" t="s">
        <v>65</v>
      </c>
      <c r="L82" s="1">
        <v>644</v>
      </c>
      <c r="M82" s="40">
        <v>31.7</v>
      </c>
      <c r="N82" s="40">
        <f t="shared" si="50"/>
        <v>65936</v>
      </c>
      <c r="O82" s="26">
        <f t="shared" si="46"/>
        <v>6.2704729954267081E-3</v>
      </c>
      <c r="P82" s="33">
        <f t="shared" si="51"/>
        <v>0</v>
      </c>
      <c r="Q82" s="227">
        <v>1262.01</v>
      </c>
      <c r="R82" s="175"/>
      <c r="S82" s="175"/>
      <c r="T82" s="175"/>
      <c r="U82" s="175"/>
      <c r="V82" s="228">
        <v>140.22</v>
      </c>
      <c r="W82" s="227">
        <v>32.9</v>
      </c>
      <c r="X82" s="175"/>
      <c r="Y82" s="228"/>
      <c r="Z82" s="67">
        <f t="shared" si="47"/>
        <v>44.7</v>
      </c>
      <c r="AA82" s="40">
        <f t="shared" si="48"/>
        <v>11.300000000000004</v>
      </c>
      <c r="AB82" s="40">
        <f t="shared" si="49"/>
        <v>33.4</v>
      </c>
      <c r="AC82" s="67">
        <v>4.3</v>
      </c>
      <c r="AD82" s="67">
        <v>1</v>
      </c>
      <c r="AE82" s="229">
        <f t="shared" si="52"/>
        <v>42.99</v>
      </c>
      <c r="AF82" s="67"/>
      <c r="AG82" s="67"/>
      <c r="AH82" s="67">
        <f t="shared" si="62"/>
        <v>981.9</v>
      </c>
      <c r="AI82" s="67"/>
      <c r="AJ82" s="175"/>
      <c r="AK82" s="67">
        <f t="shared" si="63"/>
        <v>164.84</v>
      </c>
      <c r="AL82" s="67">
        <v>929.47</v>
      </c>
      <c r="AM82" s="67">
        <v>299.19</v>
      </c>
      <c r="AN82" s="230"/>
      <c r="AO82" s="72"/>
      <c r="AP82" s="350">
        <f t="shared" si="53"/>
        <v>0</v>
      </c>
      <c r="AQ82" s="350">
        <f t="shared" si="54"/>
        <v>0</v>
      </c>
      <c r="AR82" s="350">
        <f t="shared" si="55"/>
        <v>65936</v>
      </c>
    </row>
    <row r="83" spans="1:44" x14ac:dyDescent="0.25">
      <c r="A83" s="1">
        <v>48</v>
      </c>
      <c r="B83" s="1">
        <v>49</v>
      </c>
      <c r="C83" s="1">
        <v>50</v>
      </c>
      <c r="D83" s="1">
        <v>54</v>
      </c>
      <c r="E83" s="1">
        <v>57</v>
      </c>
      <c r="F83" s="1">
        <v>61</v>
      </c>
      <c r="G83" s="19">
        <v>32203</v>
      </c>
      <c r="H83" s="1" t="s">
        <v>65</v>
      </c>
      <c r="I83" s="1"/>
      <c r="J83" s="1"/>
      <c r="L83" s="1">
        <v>371</v>
      </c>
      <c r="M83" s="40">
        <v>33.61</v>
      </c>
      <c r="N83" s="40">
        <f t="shared" si="50"/>
        <v>69908.800000000003</v>
      </c>
      <c r="O83" s="26">
        <f t="shared" si="46"/>
        <v>6.6482838289050996E-3</v>
      </c>
      <c r="P83" s="33">
        <f t="shared" si="51"/>
        <v>0</v>
      </c>
      <c r="Q83" s="227"/>
      <c r="R83" s="175"/>
      <c r="S83" s="175"/>
      <c r="T83" s="175">
        <v>931.64</v>
      </c>
      <c r="U83" s="175"/>
      <c r="V83" s="228">
        <v>103.52</v>
      </c>
      <c r="W83" s="227">
        <v>32.9</v>
      </c>
      <c r="X83" s="175">
        <v>37.700000000000003</v>
      </c>
      <c r="Y83" s="228">
        <v>37.700000000000003</v>
      </c>
      <c r="Z83" s="67">
        <f t="shared" si="47"/>
        <v>47.4</v>
      </c>
      <c r="AA83" s="40">
        <f t="shared" si="48"/>
        <v>11.299999999999997</v>
      </c>
      <c r="AB83" s="40">
        <f t="shared" si="49"/>
        <v>36.1</v>
      </c>
      <c r="AC83" s="67">
        <v>6.6</v>
      </c>
      <c r="AD83" s="67"/>
      <c r="AE83" s="229">
        <f t="shared" si="52"/>
        <v>45.58</v>
      </c>
      <c r="AF83" s="67"/>
      <c r="AG83" s="67"/>
      <c r="AH83" s="67">
        <f t="shared" si="62"/>
        <v>1041.06</v>
      </c>
      <c r="AI83" s="67"/>
      <c r="AJ83" s="175"/>
      <c r="AK83" s="67">
        <f t="shared" si="63"/>
        <v>174.77</v>
      </c>
      <c r="AL83" s="67">
        <v>929.47</v>
      </c>
      <c r="AM83" s="67">
        <v>299.19</v>
      </c>
      <c r="AN83" s="230"/>
      <c r="AO83" s="72"/>
      <c r="AP83" s="350">
        <f t="shared" si="53"/>
        <v>0</v>
      </c>
      <c r="AQ83" s="350">
        <f t="shared" si="54"/>
        <v>0</v>
      </c>
      <c r="AR83" s="350">
        <f t="shared" si="55"/>
        <v>69908.800000000003</v>
      </c>
    </row>
    <row r="84" spans="1:44" x14ac:dyDescent="0.25">
      <c r="A84" s="1"/>
      <c r="B84" s="1"/>
      <c r="C84" s="1"/>
      <c r="D84" s="1"/>
      <c r="E84" s="1"/>
      <c r="F84" s="1">
        <v>27</v>
      </c>
      <c r="G84" s="19">
        <v>41848</v>
      </c>
      <c r="H84" s="1"/>
      <c r="I84" s="1"/>
      <c r="J84" s="1" t="s">
        <v>65</v>
      </c>
      <c r="L84" s="1">
        <v>675</v>
      </c>
      <c r="M84" s="40">
        <v>18.77</v>
      </c>
      <c r="N84" s="40">
        <f t="shared" si="50"/>
        <v>39041.599999999999</v>
      </c>
      <c r="O84" s="26">
        <f t="shared" si="46"/>
        <v>3.7128321174813659E-3</v>
      </c>
      <c r="P84" s="33">
        <f t="shared" si="51"/>
        <v>0</v>
      </c>
      <c r="Q84" s="227"/>
      <c r="R84" s="175">
        <v>371.25</v>
      </c>
      <c r="S84" s="175"/>
      <c r="T84" s="175"/>
      <c r="U84" s="175"/>
      <c r="V84" s="228">
        <v>41.25</v>
      </c>
      <c r="W84" s="227">
        <v>32.9</v>
      </c>
      <c r="X84" s="175"/>
      <c r="Y84" s="228"/>
      <c r="Z84" s="67">
        <f t="shared" si="47"/>
        <v>26.47</v>
      </c>
      <c r="AA84" s="40">
        <f t="shared" si="48"/>
        <v>11.299999999999999</v>
      </c>
      <c r="AB84" s="40">
        <f t="shared" si="49"/>
        <v>15.17</v>
      </c>
      <c r="AC84" s="67"/>
      <c r="AD84" s="67"/>
      <c r="AE84" s="229">
        <f t="shared" si="52"/>
        <v>25.46</v>
      </c>
      <c r="AF84" s="67"/>
      <c r="AG84" s="67"/>
      <c r="AH84" s="67">
        <f t="shared" si="62"/>
        <v>581.39</v>
      </c>
      <c r="AI84" s="67"/>
      <c r="AJ84" s="175"/>
      <c r="AK84" s="67">
        <f t="shared" si="63"/>
        <v>97.6</v>
      </c>
      <c r="AL84" s="67">
        <v>929.47</v>
      </c>
      <c r="AM84" s="67">
        <v>299.19</v>
      </c>
      <c r="AN84" s="230"/>
      <c r="AO84" s="72"/>
      <c r="AP84" s="350">
        <f t="shared" si="53"/>
        <v>0</v>
      </c>
      <c r="AQ84" s="350">
        <f t="shared" si="54"/>
        <v>0</v>
      </c>
      <c r="AR84" s="350">
        <f t="shared" si="55"/>
        <v>39041.599999999999</v>
      </c>
    </row>
    <row r="85" spans="1:44" x14ac:dyDescent="0.25">
      <c r="A85" s="1"/>
      <c r="B85" s="1"/>
      <c r="C85" s="1"/>
      <c r="D85" s="1"/>
      <c r="E85" s="1"/>
      <c r="F85" s="1">
        <v>41</v>
      </c>
      <c r="G85" s="19">
        <v>41575</v>
      </c>
      <c r="H85" s="1"/>
      <c r="I85" s="1"/>
      <c r="J85" s="1" t="s">
        <v>65</v>
      </c>
      <c r="L85" s="1">
        <v>667</v>
      </c>
      <c r="M85" s="40">
        <v>27.19</v>
      </c>
      <c r="N85" s="40">
        <f t="shared" si="50"/>
        <v>56555.200000000004</v>
      </c>
      <c r="O85" s="26">
        <f t="shared" si="46"/>
        <v>5.378364692291868E-3</v>
      </c>
      <c r="P85" s="33">
        <f t="shared" si="51"/>
        <v>0</v>
      </c>
      <c r="Q85" s="227"/>
      <c r="R85" s="175"/>
      <c r="S85" s="175">
        <v>800.02</v>
      </c>
      <c r="T85" s="175"/>
      <c r="U85" s="175"/>
      <c r="V85" s="228">
        <v>88.89</v>
      </c>
      <c r="W85" s="227">
        <v>32.9</v>
      </c>
      <c r="X85" s="175">
        <v>37.700000000000003</v>
      </c>
      <c r="Y85" s="228">
        <v>37.700000000000003</v>
      </c>
      <c r="Z85" s="67">
        <f t="shared" si="47"/>
        <v>38.340000000000003</v>
      </c>
      <c r="AA85" s="40">
        <f t="shared" si="48"/>
        <v>11.300000000000004</v>
      </c>
      <c r="AB85" s="40">
        <f t="shared" si="49"/>
        <v>27.04</v>
      </c>
      <c r="AC85" s="67"/>
      <c r="AD85" s="67">
        <v>1</v>
      </c>
      <c r="AE85" s="229">
        <f t="shared" si="52"/>
        <v>36.869999999999997</v>
      </c>
      <c r="AF85" s="67"/>
      <c r="AG85" s="67"/>
      <c r="AH85" s="67">
        <f t="shared" si="62"/>
        <v>842.2</v>
      </c>
      <c r="AI85" s="67"/>
      <c r="AJ85" s="175"/>
      <c r="AK85" s="67">
        <f t="shared" si="63"/>
        <v>141.38999999999999</v>
      </c>
      <c r="AL85" s="67">
        <v>929.47</v>
      </c>
      <c r="AM85" s="67">
        <v>299.19</v>
      </c>
      <c r="AN85" s="230"/>
      <c r="AO85" s="72"/>
      <c r="AP85" s="350">
        <f t="shared" si="53"/>
        <v>0</v>
      </c>
      <c r="AQ85" s="350">
        <f t="shared" si="54"/>
        <v>0</v>
      </c>
      <c r="AR85" s="350">
        <f t="shared" si="55"/>
        <v>56555.200000000004</v>
      </c>
    </row>
    <row r="86" spans="1:44" x14ac:dyDescent="0.25">
      <c r="A86" s="1"/>
      <c r="B86" s="1"/>
      <c r="C86" s="1"/>
      <c r="D86" s="1"/>
      <c r="E86" s="1"/>
      <c r="F86" s="1">
        <v>23</v>
      </c>
      <c r="G86" s="19">
        <v>41603</v>
      </c>
      <c r="H86" s="1"/>
      <c r="I86" s="1"/>
      <c r="J86" s="1" t="s">
        <v>65</v>
      </c>
      <c r="L86" s="1">
        <v>668</v>
      </c>
      <c r="M86" s="40">
        <v>21.01</v>
      </c>
      <c r="N86" s="40">
        <f t="shared" si="50"/>
        <v>43700.800000000003</v>
      </c>
      <c r="O86" s="26">
        <f t="shared" si="46"/>
        <v>4.155919168262307E-3</v>
      </c>
      <c r="P86" s="33">
        <f t="shared" si="51"/>
        <v>0</v>
      </c>
      <c r="Q86" s="227"/>
      <c r="R86" s="175">
        <v>371.25</v>
      </c>
      <c r="S86" s="175"/>
      <c r="T86" s="175"/>
      <c r="U86" s="175"/>
      <c r="V86" s="228">
        <v>41.25</v>
      </c>
      <c r="W86" s="227">
        <v>32.9</v>
      </c>
      <c r="X86" s="175"/>
      <c r="Y86" s="228"/>
      <c r="Z86" s="67">
        <f t="shared" si="47"/>
        <v>29.63</v>
      </c>
      <c r="AA86" s="40">
        <f t="shared" si="48"/>
        <v>11.3</v>
      </c>
      <c r="AB86" s="40">
        <f t="shared" si="49"/>
        <v>18.329999999999998</v>
      </c>
      <c r="AC86" s="67"/>
      <c r="AD86" s="67"/>
      <c r="AE86" s="229">
        <f t="shared" si="52"/>
        <v>28.49</v>
      </c>
      <c r="AF86" s="67"/>
      <c r="AG86" s="67"/>
      <c r="AH86" s="67">
        <f t="shared" si="62"/>
        <v>650.78</v>
      </c>
      <c r="AI86" s="67"/>
      <c r="AJ86" s="175"/>
      <c r="AK86" s="67">
        <f t="shared" si="63"/>
        <v>109.25</v>
      </c>
      <c r="AL86" s="67">
        <v>929.47</v>
      </c>
      <c r="AM86" s="67">
        <v>299.19</v>
      </c>
      <c r="AN86" s="230"/>
      <c r="AO86" s="72"/>
      <c r="AP86" s="350">
        <f t="shared" si="53"/>
        <v>0</v>
      </c>
      <c r="AQ86" s="350">
        <f t="shared" si="54"/>
        <v>0</v>
      </c>
      <c r="AR86" s="350">
        <f t="shared" si="55"/>
        <v>43700.800000000003</v>
      </c>
    </row>
    <row r="87" spans="1:44" x14ac:dyDescent="0.25">
      <c r="A87" s="1">
        <v>43</v>
      </c>
      <c r="B87" s="1">
        <v>44</v>
      </c>
      <c r="C87" s="1">
        <v>45</v>
      </c>
      <c r="D87" s="1">
        <v>49</v>
      </c>
      <c r="E87" s="1">
        <v>52</v>
      </c>
      <c r="F87" s="1">
        <v>56</v>
      </c>
      <c r="G87" s="19">
        <v>33910</v>
      </c>
      <c r="H87" s="1" t="s">
        <v>65</v>
      </c>
      <c r="I87" s="1"/>
      <c r="J87" s="1"/>
      <c r="L87" s="1">
        <v>434</v>
      </c>
      <c r="M87" s="40">
        <v>27.65</v>
      </c>
      <c r="N87" s="40">
        <f t="shared" si="50"/>
        <v>57512</v>
      </c>
      <c r="O87" s="26">
        <f t="shared" si="46"/>
        <v>5.4693557830772389E-3</v>
      </c>
      <c r="P87" s="33">
        <f t="shared" si="51"/>
        <v>0</v>
      </c>
      <c r="Q87" s="227"/>
      <c r="R87" s="175"/>
      <c r="S87" s="175"/>
      <c r="T87" s="175">
        <v>931.64</v>
      </c>
      <c r="U87" s="175"/>
      <c r="V87" s="228">
        <v>103.52</v>
      </c>
      <c r="W87" s="227">
        <v>32.9</v>
      </c>
      <c r="X87" s="175">
        <v>37.700000000000003</v>
      </c>
      <c r="Y87" s="228">
        <v>37.700000000000003</v>
      </c>
      <c r="Z87" s="67">
        <f t="shared" si="47"/>
        <v>38.99</v>
      </c>
      <c r="AA87" s="40">
        <f t="shared" si="48"/>
        <v>11.3</v>
      </c>
      <c r="AB87" s="40">
        <f t="shared" si="49"/>
        <v>27.69</v>
      </c>
      <c r="AC87" s="67">
        <v>4.3</v>
      </c>
      <c r="AD87" s="67"/>
      <c r="AE87" s="229">
        <f t="shared" si="52"/>
        <v>37.5</v>
      </c>
      <c r="AF87" s="67"/>
      <c r="AG87" s="67"/>
      <c r="AH87" s="67">
        <f t="shared" si="62"/>
        <v>856.45</v>
      </c>
      <c r="AI87" s="67"/>
      <c r="AJ87" s="175"/>
      <c r="AK87" s="67">
        <f t="shared" si="63"/>
        <v>143.78</v>
      </c>
      <c r="AL87" s="67">
        <v>929.47</v>
      </c>
      <c r="AM87" s="67">
        <v>299.19</v>
      </c>
      <c r="AN87" s="230"/>
      <c r="AO87" s="72"/>
      <c r="AP87" s="350">
        <f t="shared" si="53"/>
        <v>0</v>
      </c>
      <c r="AQ87" s="350">
        <f t="shared" si="54"/>
        <v>0</v>
      </c>
      <c r="AR87" s="350">
        <f t="shared" si="55"/>
        <v>57512</v>
      </c>
    </row>
    <row r="88" spans="1:44" x14ac:dyDescent="0.25">
      <c r="A88" s="1"/>
      <c r="B88" s="1"/>
      <c r="C88" s="1"/>
      <c r="D88" s="1">
        <v>26</v>
      </c>
      <c r="E88" s="1">
        <v>29</v>
      </c>
      <c r="F88" s="1">
        <v>33</v>
      </c>
      <c r="G88" s="19">
        <v>39580</v>
      </c>
      <c r="H88" s="1"/>
      <c r="I88" s="1"/>
      <c r="J88" s="1" t="s">
        <v>65</v>
      </c>
      <c r="L88" s="1">
        <v>638</v>
      </c>
      <c r="M88" s="40">
        <v>32.340000000000003</v>
      </c>
      <c r="N88" s="40">
        <f t="shared" si="50"/>
        <v>67267.200000000012</v>
      </c>
      <c r="O88" s="26">
        <f t="shared" si="46"/>
        <v>6.3970692956498354E-3</v>
      </c>
      <c r="P88" s="33">
        <f t="shared" si="51"/>
        <v>0</v>
      </c>
      <c r="Q88" s="227">
        <v>1262.01</v>
      </c>
      <c r="R88" s="175"/>
      <c r="S88" s="175"/>
      <c r="T88" s="175"/>
      <c r="U88" s="175"/>
      <c r="V88" s="228">
        <v>140.22</v>
      </c>
      <c r="W88" s="227">
        <v>32.9</v>
      </c>
      <c r="X88" s="175">
        <v>37.700000000000003</v>
      </c>
      <c r="Y88" s="228">
        <v>37.700000000000003</v>
      </c>
      <c r="Z88" s="67">
        <f t="shared" si="47"/>
        <v>45.61</v>
      </c>
      <c r="AA88" s="40">
        <f t="shared" si="48"/>
        <v>11.299999999999997</v>
      </c>
      <c r="AB88" s="40">
        <f t="shared" si="49"/>
        <v>34.31</v>
      </c>
      <c r="AC88" s="67">
        <v>0.8</v>
      </c>
      <c r="AD88" s="67">
        <v>1</v>
      </c>
      <c r="AE88" s="229">
        <f t="shared" si="52"/>
        <v>43.86</v>
      </c>
      <c r="AF88" s="67"/>
      <c r="AG88" s="67"/>
      <c r="AH88" s="67">
        <f t="shared" si="62"/>
        <v>1001.72</v>
      </c>
      <c r="AI88" s="67"/>
      <c r="AJ88" s="175"/>
      <c r="AK88" s="67">
        <f t="shared" si="63"/>
        <v>168.17</v>
      </c>
      <c r="AL88" s="67">
        <v>929.47</v>
      </c>
      <c r="AM88" s="67">
        <v>299.19</v>
      </c>
      <c r="AN88" s="230"/>
      <c r="AO88" s="72"/>
      <c r="AP88" s="350">
        <f t="shared" si="53"/>
        <v>0</v>
      </c>
      <c r="AQ88" s="350">
        <f t="shared" si="54"/>
        <v>0</v>
      </c>
      <c r="AR88" s="350">
        <f t="shared" si="55"/>
        <v>67267.200000000012</v>
      </c>
    </row>
    <row r="89" spans="1:44" x14ac:dyDescent="0.25">
      <c r="A89" s="1">
        <v>32</v>
      </c>
      <c r="B89" s="1">
        <v>33</v>
      </c>
      <c r="C89" s="1">
        <v>34</v>
      </c>
      <c r="D89" s="1">
        <v>38</v>
      </c>
      <c r="E89" s="1">
        <v>41</v>
      </c>
      <c r="F89" s="1">
        <v>45</v>
      </c>
      <c r="G89" s="19">
        <v>35877</v>
      </c>
      <c r="H89" s="1" t="s">
        <v>65</v>
      </c>
      <c r="I89" s="1"/>
      <c r="J89" s="1"/>
      <c r="L89" s="1">
        <v>476</v>
      </c>
      <c r="M89" s="40">
        <v>31.93</v>
      </c>
      <c r="N89" s="40">
        <f t="shared" si="50"/>
        <v>66414.399999999994</v>
      </c>
      <c r="O89" s="26">
        <f t="shared" si="46"/>
        <v>6.3159685408193935E-3</v>
      </c>
      <c r="P89" s="33">
        <f t="shared" si="51"/>
        <v>0</v>
      </c>
      <c r="Q89" s="227">
        <v>1262.01</v>
      </c>
      <c r="R89" s="175"/>
      <c r="S89" s="175"/>
      <c r="T89" s="175"/>
      <c r="U89" s="175"/>
      <c r="V89" s="228">
        <v>140.22</v>
      </c>
      <c r="W89" s="227">
        <v>32.9</v>
      </c>
      <c r="X89" s="175">
        <v>37.700000000000003</v>
      </c>
      <c r="Y89" s="228">
        <v>37.700000000000003</v>
      </c>
      <c r="Z89" s="67">
        <f t="shared" si="47"/>
        <v>45.03</v>
      </c>
      <c r="AA89" s="40">
        <f t="shared" si="48"/>
        <v>11.300000000000004</v>
      </c>
      <c r="AB89" s="40">
        <f t="shared" si="49"/>
        <v>33.729999999999997</v>
      </c>
      <c r="AC89" s="67">
        <v>1</v>
      </c>
      <c r="AD89" s="67">
        <v>1</v>
      </c>
      <c r="AE89" s="229">
        <f t="shared" si="52"/>
        <v>43.3</v>
      </c>
      <c r="AF89" s="67"/>
      <c r="AG89" s="67"/>
      <c r="AH89" s="67">
        <f t="shared" si="62"/>
        <v>989.02</v>
      </c>
      <c r="AI89" s="67"/>
      <c r="AJ89" s="175"/>
      <c r="AK89" s="67">
        <f t="shared" si="63"/>
        <v>166.04</v>
      </c>
      <c r="AL89" s="67">
        <v>929.47</v>
      </c>
      <c r="AM89" s="67">
        <v>299.19</v>
      </c>
      <c r="AN89" s="230"/>
      <c r="AO89" s="72"/>
      <c r="AP89" s="350">
        <f t="shared" si="53"/>
        <v>0</v>
      </c>
      <c r="AQ89" s="350">
        <f t="shared" si="54"/>
        <v>0</v>
      </c>
      <c r="AR89" s="350">
        <f t="shared" si="55"/>
        <v>66414.399999999994</v>
      </c>
    </row>
    <row r="90" spans="1:44" x14ac:dyDescent="0.25">
      <c r="A90" s="1">
        <v>45</v>
      </c>
      <c r="B90" s="1">
        <v>46</v>
      </c>
      <c r="C90" s="1">
        <v>47</v>
      </c>
      <c r="D90" s="1">
        <v>51</v>
      </c>
      <c r="E90" s="1">
        <v>54</v>
      </c>
      <c r="F90" s="1">
        <v>58</v>
      </c>
      <c r="G90" s="19">
        <v>27561</v>
      </c>
      <c r="H90" s="1" t="s">
        <v>65</v>
      </c>
      <c r="I90" s="1"/>
      <c r="J90" s="1"/>
      <c r="L90" s="1">
        <v>160</v>
      </c>
      <c r="M90" s="40">
        <v>37.130000000000003</v>
      </c>
      <c r="N90" s="40">
        <f t="shared" si="50"/>
        <v>77230.400000000009</v>
      </c>
      <c r="O90" s="26">
        <f t="shared" si="46"/>
        <v>7.3445634801322934E-3</v>
      </c>
      <c r="P90" s="33">
        <f t="shared" si="51"/>
        <v>0</v>
      </c>
      <c r="Q90" s="227"/>
      <c r="R90" s="175"/>
      <c r="S90" s="175">
        <v>800.02</v>
      </c>
      <c r="T90" s="175"/>
      <c r="U90" s="175"/>
      <c r="V90" s="228">
        <v>88.89</v>
      </c>
      <c r="W90" s="227">
        <v>32.9</v>
      </c>
      <c r="X90" s="175">
        <v>37.700000000000003</v>
      </c>
      <c r="Y90" s="228">
        <v>37.700000000000003</v>
      </c>
      <c r="Z90" s="67">
        <f t="shared" si="47"/>
        <v>52.36</v>
      </c>
      <c r="AA90" s="40">
        <f t="shared" si="48"/>
        <v>11.299999999999997</v>
      </c>
      <c r="AB90" s="40">
        <f t="shared" si="49"/>
        <v>41.06</v>
      </c>
      <c r="AC90" s="67"/>
      <c r="AD90" s="67">
        <v>1</v>
      </c>
      <c r="AE90" s="229">
        <f t="shared" si="52"/>
        <v>50.35</v>
      </c>
      <c r="AF90" s="67"/>
      <c r="AG90" s="67">
        <f>ROUND((P90+N90)*$AG$1/12,2)</f>
        <v>1289.0999999999999</v>
      </c>
      <c r="AH90" s="67"/>
      <c r="AI90" s="67"/>
      <c r="AJ90" s="67">
        <f>ROUND(((P90+N90)/12)*0.03,2)</f>
        <v>193.08</v>
      </c>
      <c r="AK90" s="67"/>
      <c r="AL90" s="67">
        <v>929.47</v>
      </c>
      <c r="AM90" s="67">
        <v>299.19</v>
      </c>
      <c r="AN90" s="230"/>
      <c r="AO90" s="72"/>
      <c r="AP90" s="350">
        <f t="shared" si="53"/>
        <v>0</v>
      </c>
      <c r="AQ90" s="350">
        <f t="shared" si="54"/>
        <v>77230.400000000009</v>
      </c>
      <c r="AR90" s="350">
        <f t="shared" si="55"/>
        <v>0</v>
      </c>
    </row>
    <row r="91" spans="1:44" x14ac:dyDescent="0.25">
      <c r="A91" s="1">
        <v>46</v>
      </c>
      <c r="B91" s="1">
        <v>47</v>
      </c>
      <c r="C91" s="1">
        <v>48</v>
      </c>
      <c r="D91" s="1">
        <v>52</v>
      </c>
      <c r="E91" s="1">
        <v>55</v>
      </c>
      <c r="F91" s="1">
        <v>59</v>
      </c>
      <c r="G91" s="19">
        <v>36976</v>
      </c>
      <c r="H91" s="1"/>
      <c r="I91" s="1"/>
      <c r="J91" s="1" t="s">
        <v>65</v>
      </c>
      <c r="L91" s="1">
        <v>539</v>
      </c>
      <c r="M91" s="40">
        <v>33.369999999999997</v>
      </c>
      <c r="N91" s="40">
        <f t="shared" si="50"/>
        <v>69409.599999999991</v>
      </c>
      <c r="O91" s="26">
        <f t="shared" si="46"/>
        <v>6.6008102163214264E-3</v>
      </c>
      <c r="P91" s="33">
        <f t="shared" si="51"/>
        <v>0</v>
      </c>
      <c r="Q91" s="227">
        <v>1262.01</v>
      </c>
      <c r="R91" s="175"/>
      <c r="S91" s="175"/>
      <c r="T91" s="175"/>
      <c r="U91" s="175"/>
      <c r="V91" s="228">
        <v>140.22</v>
      </c>
      <c r="W91" s="227">
        <v>32.9</v>
      </c>
      <c r="X91" s="175">
        <v>37.700000000000003</v>
      </c>
      <c r="Y91" s="228">
        <v>37.700000000000003</v>
      </c>
      <c r="Z91" s="67">
        <f t="shared" si="47"/>
        <v>47.06</v>
      </c>
      <c r="AA91" s="40">
        <f t="shared" si="48"/>
        <v>11.300000000000004</v>
      </c>
      <c r="AB91" s="40">
        <f t="shared" si="49"/>
        <v>35.76</v>
      </c>
      <c r="AC91" s="67">
        <v>4.3</v>
      </c>
      <c r="AD91" s="67">
        <v>1</v>
      </c>
      <c r="AE91" s="229">
        <f t="shared" si="52"/>
        <v>45.26</v>
      </c>
      <c r="AF91" s="67"/>
      <c r="AG91" s="67"/>
      <c r="AH91" s="67">
        <f t="shared" ref="AH91:AH93" si="64">ROUND((P91+N91)*$AH$1/12,2)</f>
        <v>1033.6199999999999</v>
      </c>
      <c r="AI91" s="67"/>
      <c r="AJ91" s="175"/>
      <c r="AK91" s="67">
        <f t="shared" ref="AK91:AK93" si="65">ROUND(((N91+P91)/12)*0.03,2)</f>
        <v>173.52</v>
      </c>
      <c r="AL91" s="67">
        <v>929.47</v>
      </c>
      <c r="AM91" s="67">
        <v>299.19</v>
      </c>
      <c r="AN91" s="230"/>
      <c r="AO91" s="72"/>
      <c r="AP91" s="350">
        <f t="shared" si="53"/>
        <v>0</v>
      </c>
      <c r="AQ91" s="350">
        <f t="shared" si="54"/>
        <v>0</v>
      </c>
      <c r="AR91" s="350">
        <f t="shared" si="55"/>
        <v>69409.599999999991</v>
      </c>
    </row>
    <row r="92" spans="1:44" x14ac:dyDescent="0.25">
      <c r="A92" s="1"/>
      <c r="B92" s="1"/>
      <c r="C92" s="1"/>
      <c r="D92" s="1">
        <v>30</v>
      </c>
      <c r="E92" s="1">
        <v>33</v>
      </c>
      <c r="F92" s="1">
        <v>37</v>
      </c>
      <c r="G92" s="19">
        <v>40050</v>
      </c>
      <c r="H92" s="1"/>
      <c r="I92" s="1"/>
      <c r="J92" s="1" t="s">
        <v>65</v>
      </c>
      <c r="L92" s="1">
        <v>646</v>
      </c>
      <c r="M92" s="40">
        <v>25.26</v>
      </c>
      <c r="N92" s="40">
        <f t="shared" si="50"/>
        <v>52540.800000000003</v>
      </c>
      <c r="O92" s="26">
        <f t="shared" si="46"/>
        <v>4.9965977244315028E-3</v>
      </c>
      <c r="P92" s="33">
        <f t="shared" si="51"/>
        <v>0</v>
      </c>
      <c r="Q92" s="227">
        <v>1262.01</v>
      </c>
      <c r="R92" s="175"/>
      <c r="S92" s="175"/>
      <c r="T92" s="175"/>
      <c r="U92" s="175"/>
      <c r="V92" s="228">
        <v>140.22</v>
      </c>
      <c r="W92" s="227">
        <v>32.9</v>
      </c>
      <c r="X92" s="175">
        <v>37.700000000000003</v>
      </c>
      <c r="Y92" s="228">
        <v>37.700000000000003</v>
      </c>
      <c r="Z92" s="67">
        <f t="shared" si="47"/>
        <v>35.619999999999997</v>
      </c>
      <c r="AA92" s="40">
        <f t="shared" si="48"/>
        <v>11.299999999999997</v>
      </c>
      <c r="AB92" s="40">
        <f t="shared" si="49"/>
        <v>24.32</v>
      </c>
      <c r="AC92" s="67">
        <v>0.9</v>
      </c>
      <c r="AD92" s="67">
        <v>1</v>
      </c>
      <c r="AE92" s="229">
        <f t="shared" si="52"/>
        <v>34.26</v>
      </c>
      <c r="AF92" s="67"/>
      <c r="AG92" s="67"/>
      <c r="AH92" s="67">
        <f t="shared" si="64"/>
        <v>782.42</v>
      </c>
      <c r="AI92" s="67"/>
      <c r="AJ92" s="175"/>
      <c r="AK92" s="67">
        <f t="shared" si="65"/>
        <v>131.35</v>
      </c>
      <c r="AL92" s="67">
        <v>929.47</v>
      </c>
      <c r="AM92" s="67">
        <v>299.19</v>
      </c>
      <c r="AN92" s="230"/>
      <c r="AO92" s="72"/>
      <c r="AP92" s="350">
        <f t="shared" si="53"/>
        <v>0</v>
      </c>
      <c r="AQ92" s="350">
        <f t="shared" si="54"/>
        <v>0</v>
      </c>
      <c r="AR92" s="350">
        <f t="shared" si="55"/>
        <v>52540.800000000003</v>
      </c>
    </row>
    <row r="93" spans="1:44" x14ac:dyDescent="0.25">
      <c r="A93" s="1">
        <v>26</v>
      </c>
      <c r="B93" s="1">
        <v>27</v>
      </c>
      <c r="C93" s="1">
        <v>28</v>
      </c>
      <c r="D93" s="1">
        <v>32</v>
      </c>
      <c r="E93" s="1">
        <v>35</v>
      </c>
      <c r="F93" s="1">
        <v>39</v>
      </c>
      <c r="G93" s="19">
        <v>36150</v>
      </c>
      <c r="H93" s="1" t="s">
        <v>65</v>
      </c>
      <c r="I93" s="1"/>
      <c r="J93" s="1"/>
      <c r="L93" s="1">
        <v>447</v>
      </c>
      <c r="M93" s="40">
        <v>24.35</v>
      </c>
      <c r="N93" s="40">
        <f t="shared" si="50"/>
        <v>50648</v>
      </c>
      <c r="O93" s="26">
        <f t="shared" si="46"/>
        <v>4.8165936100517453E-3</v>
      </c>
      <c r="P93" s="33">
        <f t="shared" si="51"/>
        <v>0</v>
      </c>
      <c r="Q93" s="227"/>
      <c r="R93" s="175">
        <v>371.25</v>
      </c>
      <c r="S93" s="175"/>
      <c r="T93" s="175"/>
      <c r="U93" s="175"/>
      <c r="V93" s="228">
        <v>41.25</v>
      </c>
      <c r="W93" s="227">
        <v>32.9</v>
      </c>
      <c r="X93" s="175"/>
      <c r="Y93" s="228"/>
      <c r="Z93" s="67">
        <f t="shared" si="47"/>
        <v>34.340000000000003</v>
      </c>
      <c r="AA93" s="40">
        <f t="shared" si="48"/>
        <v>11.300000000000004</v>
      </c>
      <c r="AB93" s="40">
        <f t="shared" si="49"/>
        <v>23.04</v>
      </c>
      <c r="AC93" s="67"/>
      <c r="AD93" s="67"/>
      <c r="AE93" s="229">
        <f t="shared" si="52"/>
        <v>33.020000000000003</v>
      </c>
      <c r="AF93" s="67"/>
      <c r="AG93" s="67"/>
      <c r="AH93" s="67">
        <f t="shared" si="64"/>
        <v>754.23</v>
      </c>
      <c r="AI93" s="67"/>
      <c r="AJ93" s="175"/>
      <c r="AK93" s="67">
        <f t="shared" si="65"/>
        <v>126.62</v>
      </c>
      <c r="AL93" s="67">
        <v>929.47</v>
      </c>
      <c r="AM93" s="67">
        <v>299.19</v>
      </c>
      <c r="AN93" s="230"/>
      <c r="AO93" s="72"/>
      <c r="AP93" s="350">
        <f t="shared" si="53"/>
        <v>0</v>
      </c>
      <c r="AQ93" s="350">
        <f t="shared" si="54"/>
        <v>0</v>
      </c>
      <c r="AR93" s="350">
        <f t="shared" si="55"/>
        <v>50648</v>
      </c>
    </row>
    <row r="94" spans="1:44" x14ac:dyDescent="0.25">
      <c r="A94" s="1">
        <v>46</v>
      </c>
      <c r="B94" s="1">
        <v>47</v>
      </c>
      <c r="C94" s="1">
        <v>48</v>
      </c>
      <c r="D94" s="1">
        <v>52</v>
      </c>
      <c r="E94" s="1">
        <v>55</v>
      </c>
      <c r="F94" s="1">
        <v>59</v>
      </c>
      <c r="G94" s="19">
        <v>27659</v>
      </c>
      <c r="H94" s="1" t="s">
        <v>65</v>
      </c>
      <c r="I94" s="1"/>
      <c r="J94" s="1"/>
      <c r="L94" s="1">
        <v>201</v>
      </c>
      <c r="M94" s="40">
        <v>31.93</v>
      </c>
      <c r="N94" s="40">
        <f t="shared" si="50"/>
        <v>66414.399999999994</v>
      </c>
      <c r="O94" s="26">
        <f t="shared" si="46"/>
        <v>6.3159685408193935E-3</v>
      </c>
      <c r="P94" s="33">
        <f t="shared" si="51"/>
        <v>0</v>
      </c>
      <c r="Q94" s="227"/>
      <c r="R94" s="175"/>
      <c r="S94" s="175"/>
      <c r="T94" s="175">
        <v>931.64</v>
      </c>
      <c r="U94" s="175"/>
      <c r="V94" s="228">
        <v>103.52</v>
      </c>
      <c r="W94" s="227">
        <v>32.9</v>
      </c>
      <c r="X94" s="175">
        <v>37.700000000000003</v>
      </c>
      <c r="Y94" s="228">
        <v>37.700000000000003</v>
      </c>
      <c r="Z94" s="67">
        <f t="shared" si="47"/>
        <v>45.03</v>
      </c>
      <c r="AA94" s="40">
        <f t="shared" si="48"/>
        <v>11.300000000000004</v>
      </c>
      <c r="AB94" s="40">
        <f t="shared" si="49"/>
        <v>33.729999999999997</v>
      </c>
      <c r="AC94" s="67">
        <v>4.3</v>
      </c>
      <c r="AD94" s="67"/>
      <c r="AE94" s="229">
        <f t="shared" si="52"/>
        <v>43.3</v>
      </c>
      <c r="AF94" s="67"/>
      <c r="AG94" s="67">
        <f>ROUND((P94+N94)*$AG$1/12,2)</f>
        <v>1108.57</v>
      </c>
      <c r="AH94" s="67"/>
      <c r="AI94" s="67"/>
      <c r="AJ94" s="67">
        <f>ROUND(((P94+N94)/12)*0.03,2)</f>
        <v>166.04</v>
      </c>
      <c r="AK94" s="67"/>
      <c r="AL94" s="67">
        <v>929.47</v>
      </c>
      <c r="AM94" s="67">
        <v>299.19</v>
      </c>
      <c r="AN94" s="230"/>
      <c r="AO94" s="72"/>
      <c r="AP94" s="350">
        <f t="shared" si="53"/>
        <v>0</v>
      </c>
      <c r="AQ94" s="350">
        <f t="shared" si="54"/>
        <v>66414.399999999994</v>
      </c>
      <c r="AR94" s="350">
        <f t="shared" si="55"/>
        <v>0</v>
      </c>
    </row>
    <row r="95" spans="1:44" x14ac:dyDescent="0.25">
      <c r="A95" s="1">
        <v>52</v>
      </c>
      <c r="B95" s="1">
        <v>53</v>
      </c>
      <c r="C95" s="1">
        <v>54</v>
      </c>
      <c r="D95" s="1">
        <v>58</v>
      </c>
      <c r="E95" s="1">
        <v>61</v>
      </c>
      <c r="F95" s="1">
        <v>65</v>
      </c>
      <c r="G95" s="19">
        <v>32608</v>
      </c>
      <c r="H95" s="1" t="s">
        <v>65</v>
      </c>
      <c r="I95" s="1"/>
      <c r="J95" s="1"/>
      <c r="L95" s="1">
        <v>381</v>
      </c>
      <c r="M95" s="40">
        <v>31.75</v>
      </c>
      <c r="N95" s="40">
        <f t="shared" si="50"/>
        <v>66040</v>
      </c>
      <c r="O95" s="26">
        <f t="shared" si="46"/>
        <v>6.2803633313816398E-3</v>
      </c>
      <c r="P95" s="33">
        <f t="shared" si="51"/>
        <v>0</v>
      </c>
      <c r="Q95" s="227"/>
      <c r="R95" s="175"/>
      <c r="S95" s="175"/>
      <c r="T95" s="175">
        <v>931.64</v>
      </c>
      <c r="U95" s="175"/>
      <c r="V95" s="228">
        <v>103.52</v>
      </c>
      <c r="W95" s="227">
        <v>32.9</v>
      </c>
      <c r="X95" s="175">
        <v>37.700000000000003</v>
      </c>
      <c r="Y95" s="228">
        <v>37.700000000000003</v>
      </c>
      <c r="Z95" s="67">
        <f t="shared" si="47"/>
        <v>44.78</v>
      </c>
      <c r="AA95" s="40">
        <f t="shared" si="48"/>
        <v>11.300000000000004</v>
      </c>
      <c r="AB95" s="40">
        <f t="shared" si="49"/>
        <v>33.479999999999997</v>
      </c>
      <c r="AC95" s="67">
        <v>6.6</v>
      </c>
      <c r="AD95" s="67"/>
      <c r="AE95" s="229">
        <f t="shared" si="52"/>
        <v>43.06</v>
      </c>
      <c r="AF95" s="67"/>
      <c r="AG95" s="67"/>
      <c r="AH95" s="67">
        <f>ROUND((P95+N95)*$AH$1/12,2)</f>
        <v>983.45</v>
      </c>
      <c r="AI95" s="67"/>
      <c r="AJ95" s="175"/>
      <c r="AK95" s="67">
        <f>ROUND(((N95+P95)/12)*0.03,2)</f>
        <v>165.1</v>
      </c>
      <c r="AL95" s="67">
        <v>929.47</v>
      </c>
      <c r="AM95" s="67">
        <v>299.19</v>
      </c>
      <c r="AN95" s="230"/>
      <c r="AO95" s="72"/>
      <c r="AP95" s="350">
        <f t="shared" si="53"/>
        <v>0</v>
      </c>
      <c r="AQ95" s="350">
        <f t="shared" si="54"/>
        <v>0</v>
      </c>
      <c r="AR95" s="350">
        <f t="shared" si="55"/>
        <v>66040</v>
      </c>
    </row>
    <row r="96" spans="1:44" x14ac:dyDescent="0.25">
      <c r="A96" s="1">
        <v>42</v>
      </c>
      <c r="B96" s="1">
        <v>43</v>
      </c>
      <c r="C96" s="1">
        <v>44</v>
      </c>
      <c r="D96" s="1">
        <v>48</v>
      </c>
      <c r="E96" s="1">
        <v>51</v>
      </c>
      <c r="F96" s="1">
        <v>55</v>
      </c>
      <c r="G96" s="19">
        <v>30746</v>
      </c>
      <c r="H96" s="1" t="s">
        <v>65</v>
      </c>
      <c r="I96" s="1"/>
      <c r="J96" s="1"/>
      <c r="L96" s="1">
        <v>320</v>
      </c>
      <c r="M96" s="40">
        <v>29.24</v>
      </c>
      <c r="N96" s="40">
        <f t="shared" si="50"/>
        <v>60819.199999999997</v>
      </c>
      <c r="O96" s="26">
        <f t="shared" si="46"/>
        <v>5.7838684664440676E-3</v>
      </c>
      <c r="P96" s="33">
        <f t="shared" si="51"/>
        <v>0</v>
      </c>
      <c r="Q96" s="227">
        <v>1262.01</v>
      </c>
      <c r="R96" s="175"/>
      <c r="S96" s="175"/>
      <c r="T96" s="175"/>
      <c r="U96" s="175"/>
      <c r="V96" s="228">
        <v>140.22</v>
      </c>
      <c r="W96" s="227">
        <v>32.9</v>
      </c>
      <c r="X96" s="175">
        <v>37.700000000000003</v>
      </c>
      <c r="Y96" s="228">
        <v>37.700000000000003</v>
      </c>
      <c r="Z96" s="67">
        <f t="shared" si="47"/>
        <v>41.24</v>
      </c>
      <c r="AA96" s="40">
        <f t="shared" si="48"/>
        <v>11.3</v>
      </c>
      <c r="AB96" s="40">
        <f t="shared" si="49"/>
        <v>29.94</v>
      </c>
      <c r="AC96" s="67">
        <v>2.2999999999999998</v>
      </c>
      <c r="AD96" s="67">
        <v>1</v>
      </c>
      <c r="AE96" s="229">
        <f t="shared" si="52"/>
        <v>39.65</v>
      </c>
      <c r="AF96" s="67"/>
      <c r="AG96" s="67">
        <f>ROUND((P96+N96)*$AG$1/12,2)</f>
        <v>1015.17</v>
      </c>
      <c r="AH96" s="67"/>
      <c r="AI96" s="67"/>
      <c r="AJ96" s="67">
        <f>ROUND(((P96+N96)/12)*0.03,2)</f>
        <v>152.05000000000001</v>
      </c>
      <c r="AK96" s="67"/>
      <c r="AL96" s="67">
        <v>929.47</v>
      </c>
      <c r="AM96" s="67">
        <v>299.19</v>
      </c>
      <c r="AN96" s="230"/>
      <c r="AO96" s="72"/>
      <c r="AP96" s="350">
        <f t="shared" si="53"/>
        <v>0</v>
      </c>
      <c r="AQ96" s="350">
        <f t="shared" si="54"/>
        <v>60819.199999999997</v>
      </c>
      <c r="AR96" s="350">
        <f t="shared" si="55"/>
        <v>0</v>
      </c>
    </row>
    <row r="97" spans="1:44" x14ac:dyDescent="0.25">
      <c r="A97" s="1"/>
      <c r="B97" s="1"/>
      <c r="C97" s="1"/>
      <c r="D97" s="1"/>
      <c r="E97" s="1"/>
      <c r="F97" s="1">
        <v>43</v>
      </c>
      <c r="G97" s="19">
        <v>42009</v>
      </c>
      <c r="H97" s="1"/>
      <c r="I97" s="1"/>
      <c r="J97" s="1" t="s">
        <v>65</v>
      </c>
      <c r="L97" s="1">
        <v>679</v>
      </c>
      <c r="M97" s="40">
        <v>20.440000000000001</v>
      </c>
      <c r="N97" s="40">
        <f t="shared" si="50"/>
        <v>42515.200000000004</v>
      </c>
      <c r="O97" s="26">
        <f t="shared" si="46"/>
        <v>4.0431693383760859E-3</v>
      </c>
      <c r="P97" s="33">
        <f t="shared" si="51"/>
        <v>0</v>
      </c>
      <c r="Q97" s="227">
        <v>1262.01</v>
      </c>
      <c r="R97" s="175"/>
      <c r="S97" s="175"/>
      <c r="T97" s="175"/>
      <c r="U97" s="175"/>
      <c r="V97" s="228">
        <v>140.22</v>
      </c>
      <c r="W97" s="227">
        <v>32.9</v>
      </c>
      <c r="X97" s="175"/>
      <c r="Y97" s="228"/>
      <c r="Z97" s="67">
        <f t="shared" si="47"/>
        <v>28.83</v>
      </c>
      <c r="AA97" s="40">
        <f t="shared" si="48"/>
        <v>11.299999999999997</v>
      </c>
      <c r="AB97" s="40">
        <f t="shared" si="49"/>
        <v>17.53</v>
      </c>
      <c r="AC97" s="67">
        <v>1</v>
      </c>
      <c r="AD97" s="67">
        <v>1</v>
      </c>
      <c r="AE97" s="229">
        <f t="shared" si="52"/>
        <v>27.72</v>
      </c>
      <c r="AF97" s="67"/>
      <c r="AG97" s="67"/>
      <c r="AH97" s="67">
        <f t="shared" ref="AH97:AH98" si="66">ROUND((P97+N97)*$AH$1/12,2)</f>
        <v>633.12</v>
      </c>
      <c r="AI97" s="67"/>
      <c r="AJ97" s="175"/>
      <c r="AK97" s="67">
        <f t="shared" ref="AK97:AK98" si="67">ROUND(((N97+P97)/12)*0.03,2)</f>
        <v>106.29</v>
      </c>
      <c r="AL97" s="67">
        <v>929.47</v>
      </c>
      <c r="AM97" s="67">
        <v>299.19</v>
      </c>
      <c r="AN97" s="230"/>
      <c r="AO97" s="72"/>
      <c r="AP97" s="350">
        <f t="shared" si="53"/>
        <v>0</v>
      </c>
      <c r="AQ97" s="350">
        <f t="shared" si="54"/>
        <v>0</v>
      </c>
      <c r="AR97" s="350">
        <f t="shared" si="55"/>
        <v>42515.200000000004</v>
      </c>
    </row>
    <row r="98" spans="1:44" x14ac:dyDescent="0.25">
      <c r="A98" s="1"/>
      <c r="B98" s="1"/>
      <c r="C98" s="1"/>
      <c r="D98" s="1">
        <v>28</v>
      </c>
      <c r="E98" s="1">
        <v>31</v>
      </c>
      <c r="F98" s="1">
        <v>35</v>
      </c>
      <c r="G98" s="19">
        <v>39860</v>
      </c>
      <c r="H98" s="1"/>
      <c r="I98" s="1"/>
      <c r="J98" s="1" t="s">
        <v>65</v>
      </c>
      <c r="L98" s="1">
        <v>643</v>
      </c>
      <c r="M98" s="40">
        <v>32.700000000000003</v>
      </c>
      <c r="N98" s="40">
        <f t="shared" si="50"/>
        <v>68016</v>
      </c>
      <c r="O98" s="26">
        <f t="shared" si="46"/>
        <v>6.4682797145253421E-3</v>
      </c>
      <c r="P98" s="33">
        <f t="shared" si="51"/>
        <v>0</v>
      </c>
      <c r="Q98" s="227"/>
      <c r="R98" s="175"/>
      <c r="S98" s="175"/>
      <c r="T98" s="175">
        <v>931.64</v>
      </c>
      <c r="U98" s="175"/>
      <c r="V98" s="228">
        <v>103.52</v>
      </c>
      <c r="W98" s="227">
        <v>32.9</v>
      </c>
      <c r="X98" s="175">
        <v>37.700000000000003</v>
      </c>
      <c r="Y98" s="228">
        <v>37.700000000000003</v>
      </c>
      <c r="Z98" s="67">
        <f t="shared" si="47"/>
        <v>46.11</v>
      </c>
      <c r="AA98" s="40">
        <f t="shared" si="48"/>
        <v>11.299999999999997</v>
      </c>
      <c r="AB98" s="40">
        <f t="shared" si="49"/>
        <v>34.81</v>
      </c>
      <c r="AC98" s="67">
        <v>0.8</v>
      </c>
      <c r="AD98" s="67"/>
      <c r="AE98" s="229">
        <f t="shared" si="52"/>
        <v>44.35</v>
      </c>
      <c r="AF98" s="67"/>
      <c r="AG98" s="67"/>
      <c r="AH98" s="67">
        <f t="shared" si="66"/>
        <v>1012.87</v>
      </c>
      <c r="AI98" s="67"/>
      <c r="AJ98" s="175"/>
      <c r="AK98" s="67">
        <f t="shared" si="67"/>
        <v>170.04</v>
      </c>
      <c r="AL98" s="67">
        <v>929.47</v>
      </c>
      <c r="AM98" s="67">
        <v>299.19</v>
      </c>
      <c r="AN98" s="230"/>
      <c r="AO98" s="72"/>
      <c r="AP98" s="350">
        <f t="shared" si="53"/>
        <v>0</v>
      </c>
      <c r="AQ98" s="350">
        <f t="shared" si="54"/>
        <v>0</v>
      </c>
      <c r="AR98" s="350">
        <f t="shared" si="55"/>
        <v>68016</v>
      </c>
    </row>
    <row r="99" spans="1:44" x14ac:dyDescent="0.25">
      <c r="A99" s="1">
        <v>43</v>
      </c>
      <c r="B99" s="1">
        <v>44</v>
      </c>
      <c r="C99" s="1">
        <v>45</v>
      </c>
      <c r="D99" s="1">
        <v>49</v>
      </c>
      <c r="E99" s="1">
        <v>52</v>
      </c>
      <c r="F99" s="1">
        <v>56</v>
      </c>
      <c r="G99" s="19">
        <v>28493</v>
      </c>
      <c r="H99" s="1" t="s">
        <v>65</v>
      </c>
      <c r="I99" s="1"/>
      <c r="J99" s="1"/>
      <c r="L99" s="1">
        <v>244</v>
      </c>
      <c r="M99" s="40">
        <v>37.86</v>
      </c>
      <c r="N99" s="40">
        <f t="shared" si="50"/>
        <v>78748.800000000003</v>
      </c>
      <c r="O99" s="26">
        <f t="shared" si="46"/>
        <v>7.4889623850742954E-3</v>
      </c>
      <c r="P99" s="33">
        <f t="shared" si="51"/>
        <v>0</v>
      </c>
      <c r="Q99" s="227">
        <v>1262.01</v>
      </c>
      <c r="R99" s="175"/>
      <c r="S99" s="175"/>
      <c r="T99" s="175"/>
      <c r="U99" s="175"/>
      <c r="V99" s="228">
        <v>140.22</v>
      </c>
      <c r="W99" s="227">
        <v>32.9</v>
      </c>
      <c r="X99" s="175">
        <v>37.700000000000003</v>
      </c>
      <c r="Y99" s="228">
        <v>37.700000000000003</v>
      </c>
      <c r="Z99" s="67">
        <f t="shared" si="47"/>
        <v>53.39</v>
      </c>
      <c r="AA99" s="40">
        <f t="shared" si="48"/>
        <v>11.299999999999997</v>
      </c>
      <c r="AB99" s="40">
        <f t="shared" si="49"/>
        <v>42.09</v>
      </c>
      <c r="AC99" s="67">
        <v>4.3</v>
      </c>
      <c r="AD99" s="67">
        <v>1</v>
      </c>
      <c r="AE99" s="229">
        <f t="shared" si="52"/>
        <v>51.34</v>
      </c>
      <c r="AF99" s="67"/>
      <c r="AG99" s="67">
        <f>ROUND((P99+N99)*$AG$1/12,2)</f>
        <v>1314.45</v>
      </c>
      <c r="AH99" s="67"/>
      <c r="AI99" s="67"/>
      <c r="AJ99" s="67">
        <f>ROUND(((P99+N99)/12)*0.03,2)</f>
        <v>196.87</v>
      </c>
      <c r="AK99" s="67"/>
      <c r="AL99" s="67">
        <v>929.47</v>
      </c>
      <c r="AM99" s="67">
        <v>299.19</v>
      </c>
      <c r="AN99" s="230"/>
      <c r="AO99" s="72"/>
      <c r="AP99" s="350">
        <f t="shared" si="53"/>
        <v>0</v>
      </c>
      <c r="AQ99" s="350">
        <f t="shared" si="54"/>
        <v>78748.800000000003</v>
      </c>
      <c r="AR99" s="350">
        <f t="shared" si="55"/>
        <v>0</v>
      </c>
    </row>
    <row r="100" spans="1:44" x14ac:dyDescent="0.25">
      <c r="A100" s="1">
        <v>31</v>
      </c>
      <c r="B100" s="1">
        <v>32</v>
      </c>
      <c r="C100" s="1">
        <v>33</v>
      </c>
      <c r="D100" s="1">
        <v>37</v>
      </c>
      <c r="E100" s="1">
        <v>40</v>
      </c>
      <c r="F100" s="1">
        <v>44</v>
      </c>
      <c r="G100" s="19">
        <v>35213</v>
      </c>
      <c r="H100" s="1" t="s">
        <v>65</v>
      </c>
      <c r="I100" s="1"/>
      <c r="J100" s="1"/>
      <c r="L100" s="1">
        <v>427</v>
      </c>
      <c r="M100" s="40">
        <v>34.619999999999997</v>
      </c>
      <c r="N100" s="40">
        <f t="shared" si="50"/>
        <v>72009.599999999991</v>
      </c>
      <c r="O100" s="26">
        <f t="shared" si="46"/>
        <v>6.8480686151947195E-3</v>
      </c>
      <c r="P100" s="33">
        <f t="shared" si="51"/>
        <v>0</v>
      </c>
      <c r="Q100" s="227">
        <v>1262.01</v>
      </c>
      <c r="R100" s="175"/>
      <c r="S100" s="175"/>
      <c r="T100" s="175"/>
      <c r="U100" s="175"/>
      <c r="V100" s="228">
        <v>140.22</v>
      </c>
      <c r="W100" s="227">
        <v>32.9</v>
      </c>
      <c r="X100" s="175">
        <v>37.700000000000003</v>
      </c>
      <c r="Y100" s="228">
        <v>37.700000000000003</v>
      </c>
      <c r="Z100" s="67">
        <f t="shared" si="47"/>
        <v>48.82</v>
      </c>
      <c r="AA100" s="40">
        <f t="shared" si="48"/>
        <v>11.299999999999997</v>
      </c>
      <c r="AB100" s="40">
        <f t="shared" si="49"/>
        <v>37.520000000000003</v>
      </c>
      <c r="AC100" s="67">
        <v>1</v>
      </c>
      <c r="AD100" s="67">
        <v>1</v>
      </c>
      <c r="AE100" s="229">
        <f t="shared" si="52"/>
        <v>46.95</v>
      </c>
      <c r="AF100" s="67"/>
      <c r="AG100" s="67"/>
      <c r="AH100" s="67">
        <f>ROUND((P100+N100)*$AH$1/12,2)</f>
        <v>1072.3399999999999</v>
      </c>
      <c r="AI100" s="67"/>
      <c r="AJ100" s="175"/>
      <c r="AK100" s="67">
        <f>ROUND(((N100+P100)/12)*0.03,2)</f>
        <v>180.02</v>
      </c>
      <c r="AL100" s="67">
        <v>929.47</v>
      </c>
      <c r="AM100" s="67">
        <v>299.19</v>
      </c>
      <c r="AN100" s="230"/>
      <c r="AO100" s="72"/>
      <c r="AP100" s="350">
        <f t="shared" si="53"/>
        <v>0</v>
      </c>
      <c r="AQ100" s="350">
        <f t="shared" si="54"/>
        <v>0</v>
      </c>
      <c r="AR100" s="350">
        <f t="shared" si="55"/>
        <v>72009.599999999991</v>
      </c>
    </row>
    <row r="101" spans="1:44" x14ac:dyDescent="0.25">
      <c r="A101" s="1">
        <v>45</v>
      </c>
      <c r="B101" s="1">
        <v>46</v>
      </c>
      <c r="C101" s="1">
        <v>47</v>
      </c>
      <c r="D101" s="1">
        <v>51</v>
      </c>
      <c r="E101" s="1">
        <v>54</v>
      </c>
      <c r="F101" s="1">
        <v>58</v>
      </c>
      <c r="G101" s="19">
        <v>28520</v>
      </c>
      <c r="H101" s="1" t="s">
        <v>65</v>
      </c>
      <c r="I101" s="1"/>
      <c r="J101" s="1"/>
      <c r="L101" s="1">
        <v>156</v>
      </c>
      <c r="M101" s="40">
        <v>55.47</v>
      </c>
      <c r="N101" s="40">
        <f t="shared" si="50"/>
        <v>115377.59999999999</v>
      </c>
      <c r="O101" s="26">
        <f t="shared" si="46"/>
        <v>1.0972338708401246E-2</v>
      </c>
      <c r="P101" s="33">
        <f t="shared" si="51"/>
        <v>0</v>
      </c>
      <c r="Q101" s="227"/>
      <c r="R101" s="175"/>
      <c r="S101" s="175"/>
      <c r="T101" s="175">
        <v>931.64</v>
      </c>
      <c r="U101" s="175"/>
      <c r="V101" s="228">
        <v>103.52</v>
      </c>
      <c r="W101" s="227">
        <v>32.9</v>
      </c>
      <c r="X101" s="175">
        <v>37.700000000000003</v>
      </c>
      <c r="Y101" s="228">
        <v>37.700000000000003</v>
      </c>
      <c r="Z101" s="67">
        <f t="shared" si="47"/>
        <v>78.23</v>
      </c>
      <c r="AA101" s="40">
        <f t="shared" si="48"/>
        <v>11.299999999999997</v>
      </c>
      <c r="AB101" s="40">
        <f t="shared" si="49"/>
        <v>66.930000000000007</v>
      </c>
      <c r="AC101" s="67">
        <v>4.3</v>
      </c>
      <c r="AD101" s="67"/>
      <c r="AE101" s="229">
        <f t="shared" si="52"/>
        <v>75.23</v>
      </c>
      <c r="AF101" s="67"/>
      <c r="AG101" s="67">
        <f>ROUND((P101+N101)*$AG$1/12,2)</f>
        <v>1925.84</v>
      </c>
      <c r="AH101" s="67"/>
      <c r="AI101" s="67"/>
      <c r="AJ101" s="67">
        <f>ROUND(((P101+N101)/12)*0.03,2)</f>
        <v>288.44</v>
      </c>
      <c r="AK101" s="67"/>
      <c r="AL101" s="67">
        <v>929.47</v>
      </c>
      <c r="AM101" s="67">
        <v>299.19</v>
      </c>
      <c r="AN101" s="230"/>
      <c r="AO101" s="72"/>
      <c r="AP101" s="350">
        <f t="shared" si="53"/>
        <v>0</v>
      </c>
      <c r="AQ101" s="350">
        <f t="shared" si="54"/>
        <v>115377.59999999999</v>
      </c>
      <c r="AR101" s="350">
        <f t="shared" si="55"/>
        <v>0</v>
      </c>
    </row>
    <row r="102" spans="1:44" x14ac:dyDescent="0.25">
      <c r="A102" s="1"/>
      <c r="B102" s="1"/>
      <c r="C102" s="1"/>
      <c r="D102" s="1">
        <v>4</v>
      </c>
      <c r="E102" s="1">
        <v>7</v>
      </c>
      <c r="F102" s="1">
        <v>11</v>
      </c>
      <c r="G102" s="19">
        <v>38474</v>
      </c>
      <c r="H102" s="1"/>
      <c r="I102" s="1"/>
      <c r="J102" s="1" t="s">
        <v>65</v>
      </c>
      <c r="L102" s="1">
        <v>598</v>
      </c>
      <c r="M102" s="40">
        <v>33.68</v>
      </c>
      <c r="N102" s="40">
        <f t="shared" si="50"/>
        <v>70054.399999999994</v>
      </c>
      <c r="O102" s="26">
        <f t="shared" ref="O102:O133" si="68">+N102/$N$159</f>
        <v>6.6621302992420032E-3</v>
      </c>
      <c r="P102" s="33">
        <f t="shared" si="51"/>
        <v>0</v>
      </c>
      <c r="Q102" s="227">
        <v>1262.01</v>
      </c>
      <c r="R102" s="175"/>
      <c r="S102" s="175"/>
      <c r="T102" s="175"/>
      <c r="U102" s="175"/>
      <c r="V102" s="228">
        <v>140.22</v>
      </c>
      <c r="W102" s="227">
        <v>32.9</v>
      </c>
      <c r="X102" s="175">
        <v>37.700000000000003</v>
      </c>
      <c r="Y102" s="228">
        <v>37.700000000000003</v>
      </c>
      <c r="Z102" s="67">
        <f t="shared" ref="Z102:Z133" si="69">ROUND((N102+P102)*3*$Z$2,2)</f>
        <v>47.5</v>
      </c>
      <c r="AA102" s="40">
        <f t="shared" ref="AA102:AA133" si="70">+Z102-AB102</f>
        <v>11.299999999999997</v>
      </c>
      <c r="AB102" s="40">
        <f t="shared" ref="AB102:AB133" si="71">ROUND((((N102+P102)*3)-$AB$5)*$Z$2,2)</f>
        <v>36.200000000000003</v>
      </c>
      <c r="AC102" s="67">
        <v>1</v>
      </c>
      <c r="AD102" s="67">
        <v>1</v>
      </c>
      <c r="AE102" s="229">
        <f t="shared" si="52"/>
        <v>45.68</v>
      </c>
      <c r="AF102" s="67"/>
      <c r="AG102" s="67"/>
      <c r="AH102" s="67">
        <f>ROUND((P102+N102)*$AH$1/12,2)</f>
        <v>1043.23</v>
      </c>
      <c r="AI102" s="67"/>
      <c r="AJ102" s="175"/>
      <c r="AK102" s="67">
        <f>ROUND(((N102+P102)/12)*0.03,2)</f>
        <v>175.14</v>
      </c>
      <c r="AL102" s="67">
        <v>929.47</v>
      </c>
      <c r="AM102" s="67">
        <v>299.19</v>
      </c>
      <c r="AN102" s="230"/>
      <c r="AO102" s="72"/>
      <c r="AP102" s="350">
        <f t="shared" si="53"/>
        <v>0</v>
      </c>
      <c r="AQ102" s="350">
        <f t="shared" si="54"/>
        <v>0</v>
      </c>
      <c r="AR102" s="350">
        <f t="shared" si="55"/>
        <v>70054.399999999994</v>
      </c>
    </row>
    <row r="103" spans="1:44" x14ac:dyDescent="0.25">
      <c r="A103" s="1">
        <v>48</v>
      </c>
      <c r="B103" s="1">
        <v>49</v>
      </c>
      <c r="C103" s="1">
        <v>50</v>
      </c>
      <c r="D103" s="1">
        <v>54</v>
      </c>
      <c r="E103" s="1">
        <v>57</v>
      </c>
      <c r="F103" s="1">
        <v>61</v>
      </c>
      <c r="G103" s="19">
        <v>32933</v>
      </c>
      <c r="H103" s="1"/>
      <c r="I103" s="1" t="s">
        <v>65</v>
      </c>
      <c r="J103" s="1"/>
      <c r="L103" s="1">
        <v>617</v>
      </c>
      <c r="M103" s="40">
        <v>26.65</v>
      </c>
      <c r="N103" s="40">
        <f t="shared" si="50"/>
        <v>55432</v>
      </c>
      <c r="O103" s="26">
        <f t="shared" si="68"/>
        <v>5.2715490639786049E-3</v>
      </c>
      <c r="P103" s="33">
        <f t="shared" si="51"/>
        <v>0</v>
      </c>
      <c r="Q103" s="227"/>
      <c r="R103" s="175"/>
      <c r="S103" s="175"/>
      <c r="T103" s="175">
        <v>931.64</v>
      </c>
      <c r="U103" s="175"/>
      <c r="V103" s="228">
        <v>103.52</v>
      </c>
      <c r="W103" s="227">
        <v>32.9</v>
      </c>
      <c r="X103" s="175">
        <v>37.700000000000003</v>
      </c>
      <c r="Y103" s="228">
        <v>37.700000000000003</v>
      </c>
      <c r="Z103" s="67">
        <f t="shared" si="69"/>
        <v>37.58</v>
      </c>
      <c r="AA103" s="40">
        <f t="shared" si="70"/>
        <v>11.299999999999997</v>
      </c>
      <c r="AB103" s="40">
        <f t="shared" si="71"/>
        <v>26.28</v>
      </c>
      <c r="AC103" s="67">
        <v>6.6</v>
      </c>
      <c r="AD103" s="67"/>
      <c r="AE103" s="229">
        <f t="shared" si="52"/>
        <v>36.14</v>
      </c>
      <c r="AF103" s="67">
        <f>ROUND((P103+N103)*$AF$1/12,2)</f>
        <v>925.25</v>
      </c>
      <c r="AG103" s="67"/>
      <c r="AH103" s="67"/>
      <c r="AI103" s="67">
        <f>ROUND(((P103+N103)/12)*0.03,2)</f>
        <v>138.58000000000001</v>
      </c>
      <c r="AJ103" s="175"/>
      <c r="AK103" s="67"/>
      <c r="AL103" s="67">
        <v>929.47</v>
      </c>
      <c r="AM103" s="67">
        <v>299.19</v>
      </c>
      <c r="AN103" s="230"/>
      <c r="AO103" s="72"/>
      <c r="AP103" s="350">
        <f t="shared" si="53"/>
        <v>55432</v>
      </c>
      <c r="AQ103" s="350">
        <f t="shared" si="54"/>
        <v>0</v>
      </c>
      <c r="AR103" s="350">
        <f t="shared" si="55"/>
        <v>0</v>
      </c>
    </row>
    <row r="104" spans="1:44" x14ac:dyDescent="0.25">
      <c r="A104" s="1">
        <v>41</v>
      </c>
      <c r="B104" s="1">
        <v>42</v>
      </c>
      <c r="C104" s="1">
        <v>43</v>
      </c>
      <c r="D104" s="1">
        <v>47</v>
      </c>
      <c r="E104" s="1">
        <v>50</v>
      </c>
      <c r="F104" s="1">
        <v>54</v>
      </c>
      <c r="G104" s="19">
        <v>30263</v>
      </c>
      <c r="H104" s="1" t="s">
        <v>65</v>
      </c>
      <c r="I104" s="1"/>
      <c r="J104" s="1"/>
      <c r="L104" s="1">
        <v>261</v>
      </c>
      <c r="M104" s="40">
        <v>30.91</v>
      </c>
      <c r="N104" s="40">
        <f t="shared" si="50"/>
        <v>64292.800000000003</v>
      </c>
      <c r="O104" s="26">
        <f t="shared" si="68"/>
        <v>6.1142056873387867E-3</v>
      </c>
      <c r="P104" s="33">
        <f t="shared" si="51"/>
        <v>0</v>
      </c>
      <c r="Q104" s="227">
        <v>1262.01</v>
      </c>
      <c r="R104" s="175"/>
      <c r="S104" s="175"/>
      <c r="T104" s="175"/>
      <c r="U104" s="175"/>
      <c r="V104" s="228">
        <v>140.22</v>
      </c>
      <c r="W104" s="227">
        <v>32.9</v>
      </c>
      <c r="X104" s="175">
        <v>37.700000000000003</v>
      </c>
      <c r="Y104" s="228">
        <v>37.700000000000003</v>
      </c>
      <c r="Z104" s="67">
        <f t="shared" si="69"/>
        <v>43.59</v>
      </c>
      <c r="AA104" s="40">
        <f t="shared" si="70"/>
        <v>11.300000000000004</v>
      </c>
      <c r="AB104" s="40">
        <f t="shared" si="71"/>
        <v>32.29</v>
      </c>
      <c r="AC104" s="67">
        <v>2.2999999999999998</v>
      </c>
      <c r="AD104" s="67">
        <v>1</v>
      </c>
      <c r="AE104" s="229">
        <f t="shared" si="52"/>
        <v>41.92</v>
      </c>
      <c r="AF104" s="67"/>
      <c r="AG104" s="67">
        <f>ROUND((P104+N104)*$AG$1/12,2)</f>
        <v>1073.1500000000001</v>
      </c>
      <c r="AH104" s="67"/>
      <c r="AI104" s="67"/>
      <c r="AJ104" s="67">
        <f>ROUND(((P104+N104)/12)*0.03,2)</f>
        <v>160.72999999999999</v>
      </c>
      <c r="AK104" s="67"/>
      <c r="AL104" s="67">
        <v>929.47</v>
      </c>
      <c r="AM104" s="67">
        <v>299.19</v>
      </c>
      <c r="AN104" s="230"/>
      <c r="AO104" s="72"/>
      <c r="AP104" s="350">
        <f t="shared" si="53"/>
        <v>0</v>
      </c>
      <c r="AQ104" s="350">
        <f t="shared" si="54"/>
        <v>64292.800000000003</v>
      </c>
      <c r="AR104" s="350">
        <f t="shared" si="55"/>
        <v>0</v>
      </c>
    </row>
    <row r="105" spans="1:44" x14ac:dyDescent="0.25">
      <c r="A105" s="1">
        <v>37</v>
      </c>
      <c r="B105" s="1">
        <v>38</v>
      </c>
      <c r="C105" s="1">
        <v>39</v>
      </c>
      <c r="D105" s="1">
        <v>43</v>
      </c>
      <c r="E105" s="1">
        <v>46</v>
      </c>
      <c r="F105" s="1">
        <v>50</v>
      </c>
      <c r="G105" s="19">
        <v>33861</v>
      </c>
      <c r="H105" s="1" t="s">
        <v>65</v>
      </c>
      <c r="I105" s="1"/>
      <c r="J105" s="1"/>
      <c r="L105" s="1">
        <v>432</v>
      </c>
      <c r="M105" s="40">
        <v>25.92</v>
      </c>
      <c r="N105" s="40">
        <f t="shared" si="50"/>
        <v>53913.600000000006</v>
      </c>
      <c r="O105" s="26">
        <f t="shared" si="68"/>
        <v>5.1271501590366021E-3</v>
      </c>
      <c r="P105" s="33">
        <f t="shared" si="51"/>
        <v>0</v>
      </c>
      <c r="Q105" s="227">
        <v>1262.01</v>
      </c>
      <c r="R105" s="175"/>
      <c r="S105" s="175"/>
      <c r="T105" s="175"/>
      <c r="U105" s="175"/>
      <c r="V105" s="228">
        <v>140.22</v>
      </c>
      <c r="W105" s="227">
        <v>32.9</v>
      </c>
      <c r="X105" s="175">
        <v>37.700000000000003</v>
      </c>
      <c r="Y105" s="228">
        <v>37.700000000000003</v>
      </c>
      <c r="Z105" s="67">
        <f t="shared" si="69"/>
        <v>36.549999999999997</v>
      </c>
      <c r="AA105" s="40">
        <f t="shared" si="70"/>
        <v>11.299999999999997</v>
      </c>
      <c r="AB105" s="40">
        <f t="shared" si="71"/>
        <v>25.25</v>
      </c>
      <c r="AC105" s="67">
        <v>1.5</v>
      </c>
      <c r="AD105" s="67">
        <v>1</v>
      </c>
      <c r="AE105" s="229">
        <f t="shared" si="52"/>
        <v>35.15</v>
      </c>
      <c r="AF105" s="67"/>
      <c r="AG105" s="67"/>
      <c r="AH105" s="67">
        <f>ROUND((P105+N105)*$AH$1/12,2)</f>
        <v>802.86</v>
      </c>
      <c r="AI105" s="67"/>
      <c r="AJ105" s="175"/>
      <c r="AK105" s="67">
        <f>ROUND(((N105+P105)/12)*0.03,2)</f>
        <v>134.78</v>
      </c>
      <c r="AL105" s="67">
        <v>929.47</v>
      </c>
      <c r="AM105" s="67">
        <v>299.19</v>
      </c>
      <c r="AN105" s="230"/>
      <c r="AO105" s="72"/>
      <c r="AP105" s="350">
        <f t="shared" si="53"/>
        <v>0</v>
      </c>
      <c r="AQ105" s="350">
        <f t="shared" si="54"/>
        <v>0</v>
      </c>
      <c r="AR105" s="350">
        <f t="shared" si="55"/>
        <v>53913.600000000006</v>
      </c>
    </row>
    <row r="106" spans="1:44" x14ac:dyDescent="0.25">
      <c r="A106" s="1">
        <v>41</v>
      </c>
      <c r="B106" s="1">
        <v>42</v>
      </c>
      <c r="C106" s="1">
        <v>43</v>
      </c>
      <c r="D106" s="1">
        <v>47</v>
      </c>
      <c r="E106" s="1">
        <v>50</v>
      </c>
      <c r="F106" s="1">
        <v>54</v>
      </c>
      <c r="G106" s="19">
        <v>34827</v>
      </c>
      <c r="H106" s="1"/>
      <c r="I106" s="1" t="s">
        <v>65</v>
      </c>
      <c r="J106" s="1"/>
      <c r="L106" s="1">
        <v>491</v>
      </c>
      <c r="M106" s="40">
        <v>32.340000000000003</v>
      </c>
      <c r="N106" s="40">
        <f t="shared" si="50"/>
        <v>67267.200000000012</v>
      </c>
      <c r="O106" s="26">
        <f t="shared" si="68"/>
        <v>6.3970692956498354E-3</v>
      </c>
      <c r="P106" s="33">
        <f t="shared" si="51"/>
        <v>0</v>
      </c>
      <c r="Q106" s="227"/>
      <c r="R106" s="175"/>
      <c r="S106" s="175"/>
      <c r="T106" s="175">
        <v>931.64</v>
      </c>
      <c r="U106" s="175"/>
      <c r="V106" s="228">
        <v>103.52</v>
      </c>
      <c r="W106" s="227">
        <v>32.9</v>
      </c>
      <c r="X106" s="175">
        <v>37.700000000000003</v>
      </c>
      <c r="Y106" s="228">
        <v>37.700000000000003</v>
      </c>
      <c r="Z106" s="67">
        <f t="shared" si="69"/>
        <v>45.61</v>
      </c>
      <c r="AA106" s="40">
        <f t="shared" si="70"/>
        <v>11.299999999999997</v>
      </c>
      <c r="AB106" s="40">
        <f t="shared" si="71"/>
        <v>34.31</v>
      </c>
      <c r="AC106" s="67">
        <v>2.2999999999999998</v>
      </c>
      <c r="AD106" s="67"/>
      <c r="AE106" s="229">
        <f t="shared" si="52"/>
        <v>43.86</v>
      </c>
      <c r="AF106" s="67">
        <f t="shared" ref="AF106:AF107" si="72">ROUND((P106+N106)*$AF$1/12,2)</f>
        <v>1122.8</v>
      </c>
      <c r="AG106" s="67"/>
      <c r="AH106" s="67"/>
      <c r="AI106" s="67">
        <f t="shared" ref="AI106:AI107" si="73">ROUND(((P106+N106)/12)*0.03,2)</f>
        <v>168.17</v>
      </c>
      <c r="AJ106" s="175"/>
      <c r="AK106" s="67"/>
      <c r="AL106" s="67">
        <v>929.46</v>
      </c>
      <c r="AM106" s="67">
        <v>299.18</v>
      </c>
      <c r="AN106" s="230"/>
      <c r="AO106" s="72"/>
      <c r="AP106" s="350">
        <f t="shared" si="53"/>
        <v>67267.200000000012</v>
      </c>
      <c r="AQ106" s="350">
        <f t="shared" si="54"/>
        <v>0</v>
      </c>
      <c r="AR106" s="350">
        <f t="shared" si="55"/>
        <v>0</v>
      </c>
    </row>
    <row r="107" spans="1:44" x14ac:dyDescent="0.25">
      <c r="A107" s="1">
        <v>54</v>
      </c>
      <c r="B107" s="1">
        <v>55</v>
      </c>
      <c r="C107" s="1">
        <v>56</v>
      </c>
      <c r="D107" s="1">
        <v>60</v>
      </c>
      <c r="E107" s="1">
        <v>63</v>
      </c>
      <c r="F107" s="1">
        <v>67</v>
      </c>
      <c r="G107" s="19">
        <v>28738</v>
      </c>
      <c r="H107" s="1"/>
      <c r="I107" s="1" t="s">
        <v>65</v>
      </c>
      <c r="J107" s="1"/>
      <c r="L107" s="1">
        <v>600</v>
      </c>
      <c r="M107" s="40">
        <v>69.959999999999994</v>
      </c>
      <c r="N107" s="40">
        <f t="shared" si="50"/>
        <v>145516.79999999999</v>
      </c>
      <c r="O107" s="26">
        <f t="shared" si="68"/>
        <v>1.3838558068140456E-2</v>
      </c>
      <c r="P107" s="33">
        <f t="shared" si="51"/>
        <v>0</v>
      </c>
      <c r="Q107" s="227"/>
      <c r="R107" s="175"/>
      <c r="S107" s="175"/>
      <c r="T107" s="175">
        <v>931.64</v>
      </c>
      <c r="U107" s="175"/>
      <c r="V107" s="228">
        <v>103.52</v>
      </c>
      <c r="W107" s="227">
        <v>32.9</v>
      </c>
      <c r="X107" s="175">
        <v>37.700000000000003</v>
      </c>
      <c r="Y107" s="228">
        <v>37.700000000000003</v>
      </c>
      <c r="Z107" s="67">
        <f t="shared" si="69"/>
        <v>98.66</v>
      </c>
      <c r="AA107" s="40">
        <f t="shared" si="70"/>
        <v>11.299999999999997</v>
      </c>
      <c r="AB107" s="40">
        <f t="shared" si="71"/>
        <v>87.36</v>
      </c>
      <c r="AC107" s="67">
        <v>12.7</v>
      </c>
      <c r="AD107" s="67"/>
      <c r="AE107" s="229">
        <f t="shared" si="52"/>
        <v>94.88</v>
      </c>
      <c r="AF107" s="67">
        <f t="shared" si="72"/>
        <v>2428.92</v>
      </c>
      <c r="AG107" s="67"/>
      <c r="AH107" s="67"/>
      <c r="AI107" s="67">
        <f t="shared" si="73"/>
        <v>363.79</v>
      </c>
      <c r="AJ107" s="175"/>
      <c r="AK107" s="67"/>
      <c r="AL107" s="67">
        <v>929.46</v>
      </c>
      <c r="AM107" s="67">
        <v>299.18</v>
      </c>
      <c r="AN107" s="230"/>
      <c r="AO107" s="72"/>
      <c r="AP107" s="350">
        <f t="shared" si="53"/>
        <v>145516.79999999999</v>
      </c>
      <c r="AQ107" s="350">
        <f t="shared" si="54"/>
        <v>0</v>
      </c>
      <c r="AR107" s="350">
        <f t="shared" si="55"/>
        <v>0</v>
      </c>
    </row>
    <row r="108" spans="1:44" x14ac:dyDescent="0.25">
      <c r="A108" s="1">
        <v>42</v>
      </c>
      <c r="B108" s="1">
        <v>43</v>
      </c>
      <c r="C108" s="1">
        <v>44</v>
      </c>
      <c r="D108" s="1">
        <v>48</v>
      </c>
      <c r="E108" s="1">
        <v>51</v>
      </c>
      <c r="F108" s="1">
        <v>55</v>
      </c>
      <c r="G108" s="19">
        <v>32632</v>
      </c>
      <c r="H108" s="1" t="s">
        <v>65</v>
      </c>
      <c r="I108" s="1"/>
      <c r="J108" s="1"/>
      <c r="L108" s="1">
        <v>383</v>
      </c>
      <c r="M108" s="40">
        <v>32.28</v>
      </c>
      <c r="N108" s="40">
        <f t="shared" si="50"/>
        <v>67142.400000000009</v>
      </c>
      <c r="O108" s="26">
        <f t="shared" si="68"/>
        <v>6.3852008925039169E-3</v>
      </c>
      <c r="P108" s="33">
        <f t="shared" si="51"/>
        <v>0</v>
      </c>
      <c r="Q108" s="227">
        <v>1262.01</v>
      </c>
      <c r="R108" s="175"/>
      <c r="S108" s="175"/>
      <c r="T108" s="175"/>
      <c r="U108" s="175"/>
      <c r="V108" s="228">
        <v>140.22</v>
      </c>
      <c r="W108" s="227">
        <v>32.9</v>
      </c>
      <c r="X108" s="175">
        <v>37.700000000000003</v>
      </c>
      <c r="Y108" s="228">
        <v>37.700000000000003</v>
      </c>
      <c r="Z108" s="67">
        <f t="shared" si="69"/>
        <v>45.52</v>
      </c>
      <c r="AA108" s="40">
        <f t="shared" si="70"/>
        <v>11.300000000000004</v>
      </c>
      <c r="AB108" s="40">
        <f t="shared" si="71"/>
        <v>34.22</v>
      </c>
      <c r="AC108" s="67">
        <v>2.2999999999999998</v>
      </c>
      <c r="AD108" s="67">
        <v>1</v>
      </c>
      <c r="AE108" s="229">
        <f t="shared" si="52"/>
        <v>43.78</v>
      </c>
      <c r="AF108" s="67"/>
      <c r="AG108" s="67"/>
      <c r="AH108" s="67">
        <f t="shared" ref="AH108:AH111" si="74">ROUND((P108+N108)*$AH$1/12,2)</f>
        <v>999.86</v>
      </c>
      <c r="AI108" s="67"/>
      <c r="AJ108" s="175"/>
      <c r="AK108" s="67">
        <f t="shared" ref="AK108:AK111" si="75">ROUND(((N108+P108)/12)*0.03,2)</f>
        <v>167.86</v>
      </c>
      <c r="AL108" s="67">
        <v>929.46</v>
      </c>
      <c r="AM108" s="67">
        <v>299.18</v>
      </c>
      <c r="AN108" s="230"/>
      <c r="AO108" s="72"/>
      <c r="AP108" s="350">
        <f t="shared" si="53"/>
        <v>0</v>
      </c>
      <c r="AQ108" s="350">
        <f t="shared" si="54"/>
        <v>0</v>
      </c>
      <c r="AR108" s="350">
        <f t="shared" si="55"/>
        <v>67142.400000000009</v>
      </c>
    </row>
    <row r="109" spans="1:44" x14ac:dyDescent="0.25">
      <c r="A109" s="1">
        <v>31</v>
      </c>
      <c r="B109" s="1">
        <v>32</v>
      </c>
      <c r="C109" s="1">
        <v>33</v>
      </c>
      <c r="D109" s="1">
        <v>37</v>
      </c>
      <c r="E109" s="1">
        <v>40</v>
      </c>
      <c r="F109" s="1">
        <v>44</v>
      </c>
      <c r="G109" s="19">
        <v>34575</v>
      </c>
      <c r="H109" s="1" t="s">
        <v>65</v>
      </c>
      <c r="I109" s="1"/>
      <c r="J109" s="1"/>
      <c r="L109" s="1">
        <v>445</v>
      </c>
      <c r="M109" s="40">
        <v>36.090000000000003</v>
      </c>
      <c r="N109" s="40">
        <f t="shared" si="50"/>
        <v>75067.200000000012</v>
      </c>
      <c r="O109" s="26">
        <f t="shared" si="68"/>
        <v>7.1388444922697138E-3</v>
      </c>
      <c r="P109" s="33">
        <f t="shared" si="51"/>
        <v>0</v>
      </c>
      <c r="Q109" s="227">
        <v>1262.01</v>
      </c>
      <c r="R109" s="175"/>
      <c r="S109" s="175"/>
      <c r="T109" s="175"/>
      <c r="U109" s="175"/>
      <c r="V109" s="228">
        <v>140.22</v>
      </c>
      <c r="W109" s="227">
        <v>32.9</v>
      </c>
      <c r="X109" s="175">
        <v>37.700000000000003</v>
      </c>
      <c r="Y109" s="228">
        <v>37.700000000000003</v>
      </c>
      <c r="Z109" s="67">
        <f t="shared" si="69"/>
        <v>50.9</v>
      </c>
      <c r="AA109" s="40">
        <f t="shared" si="70"/>
        <v>11.299999999999997</v>
      </c>
      <c r="AB109" s="40">
        <f t="shared" si="71"/>
        <v>39.6</v>
      </c>
      <c r="AC109" s="67">
        <v>1</v>
      </c>
      <c r="AD109" s="67">
        <v>1</v>
      </c>
      <c r="AE109" s="229">
        <f t="shared" si="52"/>
        <v>48.94</v>
      </c>
      <c r="AF109" s="67"/>
      <c r="AG109" s="67"/>
      <c r="AH109" s="67">
        <f t="shared" si="74"/>
        <v>1117.8800000000001</v>
      </c>
      <c r="AI109" s="67"/>
      <c r="AJ109" s="175"/>
      <c r="AK109" s="67">
        <f t="shared" si="75"/>
        <v>187.67</v>
      </c>
      <c r="AL109" s="67">
        <v>929.46</v>
      </c>
      <c r="AM109" s="67">
        <v>299.18</v>
      </c>
      <c r="AN109" s="230"/>
      <c r="AO109" s="72"/>
      <c r="AP109" s="350">
        <f t="shared" si="53"/>
        <v>0</v>
      </c>
      <c r="AQ109" s="350">
        <f t="shared" si="54"/>
        <v>0</v>
      </c>
      <c r="AR109" s="350">
        <f t="shared" si="55"/>
        <v>75067.200000000012</v>
      </c>
    </row>
    <row r="110" spans="1:44" x14ac:dyDescent="0.25">
      <c r="A110" s="1"/>
      <c r="B110" s="1"/>
      <c r="C110" s="1"/>
      <c r="D110" s="1"/>
      <c r="E110" s="1"/>
      <c r="F110" s="1">
        <v>24</v>
      </c>
      <c r="G110" s="19">
        <v>42116</v>
      </c>
      <c r="H110" s="1"/>
      <c r="I110" s="1"/>
      <c r="J110" s="1" t="s">
        <v>65</v>
      </c>
      <c r="L110" s="1">
        <v>684</v>
      </c>
      <c r="M110" s="40">
        <v>26.58</v>
      </c>
      <c r="N110" s="40">
        <f t="shared" si="50"/>
        <v>55286.399999999994</v>
      </c>
      <c r="O110" s="26">
        <f t="shared" si="68"/>
        <v>5.2577025936416995E-3</v>
      </c>
      <c r="P110" s="33">
        <f t="shared" si="51"/>
        <v>0</v>
      </c>
      <c r="Q110" s="227"/>
      <c r="R110" s="175">
        <v>371.25</v>
      </c>
      <c r="S110" s="175"/>
      <c r="T110" s="175"/>
      <c r="U110" s="175"/>
      <c r="V110" s="228">
        <v>41.25</v>
      </c>
      <c r="W110" s="227">
        <v>32.9</v>
      </c>
      <c r="X110" s="175"/>
      <c r="Y110" s="228"/>
      <c r="Z110" s="67">
        <f t="shared" si="69"/>
        <v>37.479999999999997</v>
      </c>
      <c r="AA110" s="40">
        <f t="shared" si="70"/>
        <v>11.299999999999997</v>
      </c>
      <c r="AB110" s="40">
        <f t="shared" si="71"/>
        <v>26.18</v>
      </c>
      <c r="AC110" s="67"/>
      <c r="AD110" s="67"/>
      <c r="AE110" s="229">
        <f t="shared" si="52"/>
        <v>36.049999999999997</v>
      </c>
      <c r="AF110" s="67"/>
      <c r="AG110" s="67"/>
      <c r="AH110" s="67">
        <f t="shared" si="74"/>
        <v>823.31</v>
      </c>
      <c r="AI110" s="67"/>
      <c r="AJ110" s="175"/>
      <c r="AK110" s="67">
        <f t="shared" si="75"/>
        <v>138.22</v>
      </c>
      <c r="AL110" s="67">
        <v>929.46</v>
      </c>
      <c r="AM110" s="67">
        <v>299.18</v>
      </c>
      <c r="AN110" s="230"/>
      <c r="AO110" s="72"/>
      <c r="AP110" s="350">
        <f t="shared" si="53"/>
        <v>0</v>
      </c>
      <c r="AQ110" s="350">
        <f t="shared" si="54"/>
        <v>0</v>
      </c>
      <c r="AR110" s="350">
        <f t="shared" si="55"/>
        <v>55286.399999999994</v>
      </c>
    </row>
    <row r="111" spans="1:44" x14ac:dyDescent="0.25">
      <c r="A111" s="1"/>
      <c r="B111" s="1"/>
      <c r="C111" s="1"/>
      <c r="D111" s="1">
        <v>23</v>
      </c>
      <c r="E111" s="1">
        <v>26</v>
      </c>
      <c r="F111" s="1">
        <v>30</v>
      </c>
      <c r="G111" s="19">
        <v>39755</v>
      </c>
      <c r="H111" s="1"/>
      <c r="I111" s="1"/>
      <c r="J111" s="1" t="s">
        <v>65</v>
      </c>
      <c r="L111" s="1">
        <v>640</v>
      </c>
      <c r="M111" s="40">
        <v>33.68</v>
      </c>
      <c r="N111" s="40">
        <f t="shared" si="50"/>
        <v>70054.399999999994</v>
      </c>
      <c r="O111" s="26">
        <f t="shared" si="68"/>
        <v>6.6621302992420032E-3</v>
      </c>
      <c r="P111" s="33">
        <f t="shared" si="51"/>
        <v>0</v>
      </c>
      <c r="Q111" s="227">
        <v>1262.01</v>
      </c>
      <c r="R111" s="175"/>
      <c r="S111" s="175"/>
      <c r="T111" s="175"/>
      <c r="U111" s="175"/>
      <c r="V111" s="228">
        <v>140.22</v>
      </c>
      <c r="W111" s="227">
        <v>32.9</v>
      </c>
      <c r="X111" s="175">
        <v>37.700000000000003</v>
      </c>
      <c r="Y111" s="228">
        <v>37.700000000000003</v>
      </c>
      <c r="Z111" s="67">
        <f t="shared" si="69"/>
        <v>47.5</v>
      </c>
      <c r="AA111" s="40">
        <f t="shared" si="70"/>
        <v>11.299999999999997</v>
      </c>
      <c r="AB111" s="40">
        <f t="shared" si="71"/>
        <v>36.200000000000003</v>
      </c>
      <c r="AC111" s="67">
        <v>0.6</v>
      </c>
      <c r="AD111" s="67">
        <v>1</v>
      </c>
      <c r="AE111" s="229">
        <f t="shared" si="52"/>
        <v>45.68</v>
      </c>
      <c r="AF111" s="67"/>
      <c r="AG111" s="67"/>
      <c r="AH111" s="67">
        <f t="shared" si="74"/>
        <v>1043.23</v>
      </c>
      <c r="AI111" s="67"/>
      <c r="AJ111" s="175"/>
      <c r="AK111" s="67">
        <f t="shared" si="75"/>
        <v>175.14</v>
      </c>
      <c r="AL111" s="67">
        <v>929.46</v>
      </c>
      <c r="AM111" s="67">
        <v>299.18</v>
      </c>
      <c r="AN111" s="230"/>
      <c r="AO111" s="72"/>
      <c r="AP111" s="350">
        <f t="shared" si="53"/>
        <v>0</v>
      </c>
      <c r="AQ111" s="350">
        <f t="shared" si="54"/>
        <v>0</v>
      </c>
      <c r="AR111" s="350">
        <f t="shared" si="55"/>
        <v>70054.399999999994</v>
      </c>
    </row>
    <row r="112" spans="1:44" x14ac:dyDescent="0.25">
      <c r="A112" s="1">
        <v>44</v>
      </c>
      <c r="B112" s="1">
        <v>45</v>
      </c>
      <c r="C112" s="1">
        <v>46</v>
      </c>
      <c r="D112" s="1">
        <v>50</v>
      </c>
      <c r="E112" s="1">
        <v>53</v>
      </c>
      <c r="F112" s="1">
        <v>57</v>
      </c>
      <c r="G112" s="19">
        <v>27925</v>
      </c>
      <c r="H112" s="1" t="s">
        <v>65</v>
      </c>
      <c r="I112" s="1"/>
      <c r="J112" s="1"/>
      <c r="L112" s="1">
        <v>185</v>
      </c>
      <c r="M112" s="40">
        <v>49.24</v>
      </c>
      <c r="N112" s="40">
        <f t="shared" si="50"/>
        <v>102419.2</v>
      </c>
      <c r="O112" s="26">
        <f t="shared" si="68"/>
        <v>9.7400028484167529E-3</v>
      </c>
      <c r="P112" s="33">
        <f t="shared" si="51"/>
        <v>0</v>
      </c>
      <c r="Q112" s="227"/>
      <c r="R112" s="175"/>
      <c r="S112" s="175"/>
      <c r="T112" s="175">
        <v>931.64</v>
      </c>
      <c r="U112" s="175"/>
      <c r="V112" s="228">
        <v>103.52</v>
      </c>
      <c r="W112" s="227">
        <v>32.9</v>
      </c>
      <c r="X112" s="175"/>
      <c r="Y112" s="228"/>
      <c r="Z112" s="67">
        <f t="shared" si="69"/>
        <v>69.44</v>
      </c>
      <c r="AA112" s="40">
        <f t="shared" si="70"/>
        <v>11.299999999999997</v>
      </c>
      <c r="AB112" s="40">
        <f t="shared" si="71"/>
        <v>58.14</v>
      </c>
      <c r="AC112" s="67">
        <v>4.3</v>
      </c>
      <c r="AD112" s="67"/>
      <c r="AE112" s="229">
        <f t="shared" si="52"/>
        <v>66.78</v>
      </c>
      <c r="AF112" s="67"/>
      <c r="AG112" s="67">
        <f>ROUND((P112+N112)*$AG$1/12,2)</f>
        <v>1709.55</v>
      </c>
      <c r="AH112" s="67"/>
      <c r="AI112" s="67"/>
      <c r="AJ112" s="67">
        <f>ROUND(((P112+N112)/12)*0.03,2)</f>
        <v>256.05</v>
      </c>
      <c r="AK112" s="67"/>
      <c r="AL112" s="67">
        <v>929.46</v>
      </c>
      <c r="AM112" s="67">
        <v>299.18</v>
      </c>
      <c r="AN112" s="230"/>
      <c r="AO112" s="72"/>
      <c r="AP112" s="350">
        <f t="shared" si="53"/>
        <v>0</v>
      </c>
      <c r="AQ112" s="350">
        <f t="shared" si="54"/>
        <v>102419.2</v>
      </c>
      <c r="AR112" s="350">
        <f t="shared" si="55"/>
        <v>0</v>
      </c>
    </row>
    <row r="113" spans="1:44" x14ac:dyDescent="0.25">
      <c r="A113" s="1">
        <v>45</v>
      </c>
      <c r="B113" s="1">
        <v>46</v>
      </c>
      <c r="C113" s="1">
        <v>47</v>
      </c>
      <c r="D113" s="1">
        <v>51</v>
      </c>
      <c r="E113" s="1">
        <v>54</v>
      </c>
      <c r="F113" s="1">
        <v>58</v>
      </c>
      <c r="G113" s="19">
        <v>31049</v>
      </c>
      <c r="H113" s="1"/>
      <c r="I113" s="1" t="s">
        <v>65</v>
      </c>
      <c r="J113" s="1"/>
      <c r="L113" s="1">
        <v>409</v>
      </c>
      <c r="M113" s="40">
        <v>24.01</v>
      </c>
      <c r="N113" s="40">
        <f t="shared" si="50"/>
        <v>49940.800000000003</v>
      </c>
      <c r="O113" s="26">
        <f t="shared" si="68"/>
        <v>4.7493393255582106E-3</v>
      </c>
      <c r="P113" s="33">
        <f t="shared" si="51"/>
        <v>0</v>
      </c>
      <c r="Q113" s="227">
        <v>1262.01</v>
      </c>
      <c r="R113" s="175"/>
      <c r="S113" s="175"/>
      <c r="T113" s="175"/>
      <c r="U113" s="175"/>
      <c r="V113" s="228">
        <v>140.22</v>
      </c>
      <c r="W113" s="227">
        <v>32.9</v>
      </c>
      <c r="X113" s="175">
        <v>37.700000000000003</v>
      </c>
      <c r="Y113" s="228">
        <v>37.700000000000003</v>
      </c>
      <c r="Z113" s="67">
        <f t="shared" si="69"/>
        <v>33.86</v>
      </c>
      <c r="AA113" s="40">
        <f t="shared" si="70"/>
        <v>11.3</v>
      </c>
      <c r="AB113" s="40">
        <f t="shared" si="71"/>
        <v>22.56</v>
      </c>
      <c r="AC113" s="67">
        <v>4.3</v>
      </c>
      <c r="AD113" s="67">
        <v>1</v>
      </c>
      <c r="AE113" s="229">
        <f t="shared" si="52"/>
        <v>32.56</v>
      </c>
      <c r="AF113" s="67">
        <f t="shared" ref="AF113:AF114" si="76">ROUND((P113+N113)*$AF$1/12,2)</f>
        <v>833.6</v>
      </c>
      <c r="AG113" s="67"/>
      <c r="AH113" s="67"/>
      <c r="AI113" s="67">
        <f t="shared" ref="AI113:AI114" si="77">ROUND(((P113+N113)/12)*0.03,2)</f>
        <v>124.85</v>
      </c>
      <c r="AJ113" s="175"/>
      <c r="AK113" s="67"/>
      <c r="AL113" s="67">
        <v>929.46</v>
      </c>
      <c r="AM113" s="67">
        <v>299.18</v>
      </c>
      <c r="AN113" s="230"/>
      <c r="AO113" s="72"/>
      <c r="AP113" s="350">
        <f t="shared" si="53"/>
        <v>49940.800000000003</v>
      </c>
      <c r="AQ113" s="350">
        <f t="shared" si="54"/>
        <v>0</v>
      </c>
      <c r="AR113" s="350">
        <f t="shared" si="55"/>
        <v>0</v>
      </c>
    </row>
    <row r="114" spans="1:44" x14ac:dyDescent="0.25">
      <c r="A114" s="1">
        <v>42</v>
      </c>
      <c r="B114" s="1">
        <v>43</v>
      </c>
      <c r="C114" s="1">
        <v>44</v>
      </c>
      <c r="D114" s="1">
        <v>48</v>
      </c>
      <c r="E114" s="1">
        <v>51</v>
      </c>
      <c r="F114" s="1">
        <v>55</v>
      </c>
      <c r="G114" s="19">
        <v>30424</v>
      </c>
      <c r="H114" s="1"/>
      <c r="I114" s="1" t="s">
        <v>65</v>
      </c>
      <c r="J114" s="1"/>
      <c r="L114" s="1">
        <v>328</v>
      </c>
      <c r="M114" s="40">
        <v>26.71</v>
      </c>
      <c r="N114" s="40">
        <f t="shared" si="50"/>
        <v>55556.800000000003</v>
      </c>
      <c r="O114" s="26">
        <f t="shared" si="68"/>
        <v>5.2834174671245234E-3</v>
      </c>
      <c r="P114" s="33">
        <f t="shared" si="51"/>
        <v>0</v>
      </c>
      <c r="Q114" s="227">
        <v>1262.01</v>
      </c>
      <c r="R114" s="175"/>
      <c r="S114" s="175"/>
      <c r="T114" s="175"/>
      <c r="U114" s="175"/>
      <c r="V114" s="228">
        <v>140.22</v>
      </c>
      <c r="W114" s="227">
        <v>32.9</v>
      </c>
      <c r="X114" s="175">
        <v>37.700000000000003</v>
      </c>
      <c r="Y114" s="228">
        <v>37.700000000000003</v>
      </c>
      <c r="Z114" s="67">
        <f t="shared" si="69"/>
        <v>37.67</v>
      </c>
      <c r="AA114" s="40">
        <f t="shared" si="70"/>
        <v>11.3</v>
      </c>
      <c r="AB114" s="40">
        <f t="shared" si="71"/>
        <v>26.37</v>
      </c>
      <c r="AC114" s="67">
        <v>2.2999999999999998</v>
      </c>
      <c r="AD114" s="67">
        <v>1</v>
      </c>
      <c r="AE114" s="229">
        <f t="shared" si="52"/>
        <v>36.22</v>
      </c>
      <c r="AF114" s="67">
        <f t="shared" si="76"/>
        <v>927.34</v>
      </c>
      <c r="AG114" s="67"/>
      <c r="AH114" s="67"/>
      <c r="AI114" s="67">
        <f t="shared" si="77"/>
        <v>138.88999999999999</v>
      </c>
      <c r="AJ114" s="175"/>
      <c r="AK114" s="67"/>
      <c r="AL114" s="67">
        <v>929.46</v>
      </c>
      <c r="AM114" s="67">
        <v>299.18</v>
      </c>
      <c r="AN114" s="230"/>
      <c r="AO114" s="72"/>
      <c r="AP114" s="350">
        <f t="shared" si="53"/>
        <v>55556.800000000003</v>
      </c>
      <c r="AQ114" s="350">
        <f t="shared" si="54"/>
        <v>0</v>
      </c>
      <c r="AR114" s="350">
        <f t="shared" si="55"/>
        <v>0</v>
      </c>
    </row>
    <row r="115" spans="1:44" x14ac:dyDescent="0.25">
      <c r="A115" s="1">
        <v>42</v>
      </c>
      <c r="B115" s="1">
        <v>43</v>
      </c>
      <c r="C115" s="1">
        <v>44</v>
      </c>
      <c r="D115" s="1">
        <v>48</v>
      </c>
      <c r="E115" s="1">
        <v>51</v>
      </c>
      <c r="F115" s="1">
        <v>55</v>
      </c>
      <c r="G115" s="19">
        <v>28906</v>
      </c>
      <c r="H115" s="1" t="s">
        <v>65</v>
      </c>
      <c r="I115" s="1"/>
      <c r="J115" s="1"/>
      <c r="L115" s="1">
        <v>281</v>
      </c>
      <c r="M115" s="40">
        <v>37.31</v>
      </c>
      <c r="N115" s="40">
        <f t="shared" si="50"/>
        <v>77604.800000000003</v>
      </c>
      <c r="O115" s="26">
        <f t="shared" si="68"/>
        <v>7.3801686895700472E-3</v>
      </c>
      <c r="P115" s="33">
        <f t="shared" si="51"/>
        <v>0</v>
      </c>
      <c r="Q115" s="227">
        <v>1262.01</v>
      </c>
      <c r="R115" s="175"/>
      <c r="S115" s="175"/>
      <c r="T115" s="175"/>
      <c r="U115" s="175"/>
      <c r="V115" s="228">
        <v>140.22</v>
      </c>
      <c r="W115" s="227">
        <v>32.9</v>
      </c>
      <c r="X115" s="175">
        <v>37.700000000000003</v>
      </c>
      <c r="Y115" s="228">
        <v>37.700000000000003</v>
      </c>
      <c r="Z115" s="67">
        <f t="shared" si="69"/>
        <v>52.62</v>
      </c>
      <c r="AA115" s="40">
        <f t="shared" si="70"/>
        <v>11.299999999999997</v>
      </c>
      <c r="AB115" s="40">
        <f t="shared" si="71"/>
        <v>41.32</v>
      </c>
      <c r="AC115" s="67">
        <v>2.2999999999999998</v>
      </c>
      <c r="AD115" s="67">
        <v>1</v>
      </c>
      <c r="AE115" s="229">
        <f t="shared" si="52"/>
        <v>50.6</v>
      </c>
      <c r="AF115" s="67"/>
      <c r="AG115" s="67">
        <f>ROUND((P115+N115)*$AG$1/12,2)</f>
        <v>1295.3499999999999</v>
      </c>
      <c r="AH115" s="67"/>
      <c r="AI115" s="67"/>
      <c r="AJ115" s="67">
        <f>ROUND(((P115+N115)/12)*0.03,2)</f>
        <v>194.01</v>
      </c>
      <c r="AK115" s="67"/>
      <c r="AL115" s="67">
        <v>929.46</v>
      </c>
      <c r="AM115" s="67">
        <v>299.18</v>
      </c>
      <c r="AN115" s="230"/>
      <c r="AO115" s="72"/>
      <c r="AP115" s="350">
        <f t="shared" si="53"/>
        <v>0</v>
      </c>
      <c r="AQ115" s="350">
        <f t="shared" si="54"/>
        <v>77604.800000000003</v>
      </c>
      <c r="AR115" s="350">
        <f t="shared" si="55"/>
        <v>0</v>
      </c>
    </row>
    <row r="116" spans="1:44" x14ac:dyDescent="0.25">
      <c r="A116" s="1">
        <v>34</v>
      </c>
      <c r="B116" s="1">
        <v>35</v>
      </c>
      <c r="C116" s="1">
        <v>36</v>
      </c>
      <c r="D116" s="1">
        <v>40</v>
      </c>
      <c r="E116" s="1">
        <v>43</v>
      </c>
      <c r="F116" s="1">
        <v>47</v>
      </c>
      <c r="G116" s="19">
        <v>36668</v>
      </c>
      <c r="H116" s="1"/>
      <c r="I116" s="1"/>
      <c r="J116" s="1" t="s">
        <v>65</v>
      </c>
      <c r="L116" s="1">
        <v>473</v>
      </c>
      <c r="M116" s="40">
        <v>28.58</v>
      </c>
      <c r="N116" s="40">
        <f t="shared" si="50"/>
        <v>59446.399999999994</v>
      </c>
      <c r="O116" s="26">
        <f t="shared" si="68"/>
        <v>5.6533160318389683E-3</v>
      </c>
      <c r="P116" s="33">
        <f t="shared" si="51"/>
        <v>0</v>
      </c>
      <c r="Q116" s="227">
        <v>1262.01</v>
      </c>
      <c r="R116" s="175"/>
      <c r="S116" s="175"/>
      <c r="T116" s="175"/>
      <c r="U116" s="175"/>
      <c r="V116" s="228">
        <v>140.22</v>
      </c>
      <c r="W116" s="227">
        <v>32.9</v>
      </c>
      <c r="X116" s="175">
        <v>37.700000000000003</v>
      </c>
      <c r="Y116" s="228">
        <v>37.700000000000003</v>
      </c>
      <c r="Z116" s="67">
        <f t="shared" si="69"/>
        <v>40.299999999999997</v>
      </c>
      <c r="AA116" s="40">
        <f t="shared" si="70"/>
        <v>11.299999999999997</v>
      </c>
      <c r="AB116" s="40">
        <f t="shared" si="71"/>
        <v>29</v>
      </c>
      <c r="AC116" s="67">
        <v>1.5</v>
      </c>
      <c r="AD116" s="67">
        <v>1</v>
      </c>
      <c r="AE116" s="229">
        <f t="shared" si="52"/>
        <v>38.76</v>
      </c>
      <c r="AF116" s="67"/>
      <c r="AG116" s="67"/>
      <c r="AH116" s="67">
        <f>ROUND((P116+N116)*$AH$1/12,2)</f>
        <v>885.26</v>
      </c>
      <c r="AI116" s="67"/>
      <c r="AJ116" s="175"/>
      <c r="AK116" s="67">
        <f>ROUND(((N116+P116)/12)*0.03,2)</f>
        <v>148.62</v>
      </c>
      <c r="AL116" s="67">
        <v>929.46</v>
      </c>
      <c r="AM116" s="67">
        <v>299.18</v>
      </c>
      <c r="AN116" s="230"/>
      <c r="AO116" s="72"/>
      <c r="AP116" s="350">
        <f t="shared" si="53"/>
        <v>0</v>
      </c>
      <c r="AQ116" s="350">
        <f t="shared" si="54"/>
        <v>0</v>
      </c>
      <c r="AR116" s="350">
        <f t="shared" si="55"/>
        <v>59446.399999999994</v>
      </c>
    </row>
    <row r="117" spans="1:44" x14ac:dyDescent="0.25">
      <c r="A117" s="1">
        <v>47</v>
      </c>
      <c r="B117" s="1">
        <v>48</v>
      </c>
      <c r="C117" s="1">
        <v>49</v>
      </c>
      <c r="D117" s="1">
        <v>53</v>
      </c>
      <c r="E117" s="1">
        <v>56</v>
      </c>
      <c r="F117" s="1">
        <v>60</v>
      </c>
      <c r="G117" s="19">
        <v>27242</v>
      </c>
      <c r="H117" s="1"/>
      <c r="I117" s="1" t="s">
        <v>65</v>
      </c>
      <c r="J117" s="1"/>
      <c r="L117" s="1">
        <v>319</v>
      </c>
      <c r="M117" s="40">
        <v>45.79</v>
      </c>
      <c r="N117" s="40">
        <f t="shared" si="50"/>
        <v>95243.199999999997</v>
      </c>
      <c r="O117" s="26">
        <f t="shared" si="68"/>
        <v>9.0575696675264661E-3</v>
      </c>
      <c r="P117" s="33">
        <f t="shared" si="51"/>
        <v>0</v>
      </c>
      <c r="Q117" s="227"/>
      <c r="R117" s="175"/>
      <c r="S117" s="175"/>
      <c r="T117" s="175">
        <v>931.64</v>
      </c>
      <c r="U117" s="175"/>
      <c r="V117" s="228">
        <v>103.52</v>
      </c>
      <c r="W117" s="227">
        <v>32.9</v>
      </c>
      <c r="X117" s="175">
        <v>37.700000000000003</v>
      </c>
      <c r="Y117" s="228">
        <v>37.700000000000003</v>
      </c>
      <c r="Z117" s="67">
        <f t="shared" si="69"/>
        <v>64.569999999999993</v>
      </c>
      <c r="AA117" s="40">
        <f t="shared" si="70"/>
        <v>11.29999999999999</v>
      </c>
      <c r="AB117" s="40">
        <f t="shared" si="71"/>
        <v>53.27</v>
      </c>
      <c r="AC117" s="67">
        <v>4.3</v>
      </c>
      <c r="AD117" s="67"/>
      <c r="AE117" s="229">
        <f t="shared" si="52"/>
        <v>62.1</v>
      </c>
      <c r="AF117" s="67">
        <f>ROUND((P117+N117)*$AF$1/12,2)</f>
        <v>1589.77</v>
      </c>
      <c r="AG117" s="67"/>
      <c r="AH117" s="67"/>
      <c r="AI117" s="67">
        <f>ROUND(((P117+N117)/12)*0.03,2)</f>
        <v>238.11</v>
      </c>
      <c r="AJ117" s="175"/>
      <c r="AK117" s="67"/>
      <c r="AL117" s="67">
        <v>929.46</v>
      </c>
      <c r="AM117" s="67">
        <v>299.18</v>
      </c>
      <c r="AN117" s="230"/>
      <c r="AO117" s="72"/>
      <c r="AP117" s="350">
        <f t="shared" si="53"/>
        <v>95243.199999999997</v>
      </c>
      <c r="AQ117" s="350">
        <f t="shared" si="54"/>
        <v>0</v>
      </c>
      <c r="AR117" s="350">
        <f t="shared" si="55"/>
        <v>0</v>
      </c>
    </row>
    <row r="118" spans="1:44" x14ac:dyDescent="0.25">
      <c r="A118" s="1">
        <v>49</v>
      </c>
      <c r="B118" s="1">
        <v>50</v>
      </c>
      <c r="C118" s="1">
        <v>51</v>
      </c>
      <c r="D118" s="1">
        <v>55</v>
      </c>
      <c r="E118" s="1">
        <v>58</v>
      </c>
      <c r="F118" s="1">
        <v>62</v>
      </c>
      <c r="G118" s="19">
        <v>28493</v>
      </c>
      <c r="H118" s="1" t="s">
        <v>65</v>
      </c>
      <c r="I118" s="1"/>
      <c r="J118" s="1"/>
      <c r="L118" s="1">
        <v>246</v>
      </c>
      <c r="M118" s="40">
        <v>23.98</v>
      </c>
      <c r="N118" s="40">
        <f t="shared" si="50"/>
        <v>49878.400000000001</v>
      </c>
      <c r="O118" s="26">
        <f t="shared" si="68"/>
        <v>4.7434051239852509E-3</v>
      </c>
      <c r="P118" s="33">
        <f t="shared" si="51"/>
        <v>0</v>
      </c>
      <c r="Q118" s="227"/>
      <c r="R118" s="175"/>
      <c r="S118" s="175"/>
      <c r="T118" s="175">
        <v>931.64</v>
      </c>
      <c r="U118" s="175"/>
      <c r="V118" s="228">
        <v>103.52</v>
      </c>
      <c r="W118" s="227">
        <v>32.9</v>
      </c>
      <c r="X118" s="175">
        <v>37.700000000000003</v>
      </c>
      <c r="Y118" s="228">
        <v>37.700000000000003</v>
      </c>
      <c r="Z118" s="67">
        <f t="shared" si="69"/>
        <v>33.82</v>
      </c>
      <c r="AA118" s="40">
        <f t="shared" si="70"/>
        <v>11.3</v>
      </c>
      <c r="AB118" s="40">
        <f t="shared" si="71"/>
        <v>22.52</v>
      </c>
      <c r="AC118" s="67">
        <v>6.6</v>
      </c>
      <c r="AD118" s="67"/>
      <c r="AE118" s="229">
        <f t="shared" si="52"/>
        <v>32.520000000000003</v>
      </c>
      <c r="AF118" s="67"/>
      <c r="AG118" s="67">
        <f>ROUND((P118+N118)*$AG$1/12,2)</f>
        <v>832.55</v>
      </c>
      <c r="AH118" s="67"/>
      <c r="AI118" s="67"/>
      <c r="AJ118" s="67">
        <f>ROUND(((P118+N118)/12)*0.03,2)</f>
        <v>124.7</v>
      </c>
      <c r="AK118" s="67"/>
      <c r="AL118" s="67">
        <v>929.46</v>
      </c>
      <c r="AM118" s="67">
        <v>299.18</v>
      </c>
      <c r="AN118" s="230"/>
      <c r="AO118" s="72"/>
      <c r="AP118" s="350">
        <f t="shared" si="53"/>
        <v>0</v>
      </c>
      <c r="AQ118" s="350">
        <f t="shared" si="54"/>
        <v>49878.400000000001</v>
      </c>
      <c r="AR118" s="350">
        <f t="shared" si="55"/>
        <v>0</v>
      </c>
    </row>
    <row r="119" spans="1:44" x14ac:dyDescent="0.25">
      <c r="A119" s="1">
        <v>40</v>
      </c>
      <c r="B119" s="1">
        <v>41</v>
      </c>
      <c r="C119" s="1">
        <v>42</v>
      </c>
      <c r="D119" s="1">
        <v>46</v>
      </c>
      <c r="E119" s="1">
        <v>49</v>
      </c>
      <c r="F119" s="1">
        <v>53</v>
      </c>
      <c r="G119" s="19">
        <v>32933</v>
      </c>
      <c r="H119" s="1"/>
      <c r="I119" s="1" t="s">
        <v>65</v>
      </c>
      <c r="J119" s="1"/>
      <c r="L119" s="1">
        <v>496</v>
      </c>
      <c r="M119" s="40">
        <v>36.299999999999997</v>
      </c>
      <c r="N119" s="40">
        <f t="shared" si="50"/>
        <v>75504</v>
      </c>
      <c r="O119" s="26">
        <f t="shared" si="68"/>
        <v>7.1803839032804255E-3</v>
      </c>
      <c r="P119" s="33">
        <f t="shared" si="51"/>
        <v>0</v>
      </c>
      <c r="Q119" s="227"/>
      <c r="R119" s="175"/>
      <c r="S119" s="175"/>
      <c r="T119" s="175">
        <v>931.64</v>
      </c>
      <c r="U119" s="175"/>
      <c r="V119" s="228">
        <v>103.52</v>
      </c>
      <c r="W119" s="227">
        <v>32.9</v>
      </c>
      <c r="X119" s="175">
        <v>37.700000000000003</v>
      </c>
      <c r="Y119" s="228">
        <v>37.700000000000003</v>
      </c>
      <c r="Z119" s="67">
        <f t="shared" si="69"/>
        <v>51.19</v>
      </c>
      <c r="AA119" s="40">
        <f t="shared" si="70"/>
        <v>11.299999999999997</v>
      </c>
      <c r="AB119" s="40">
        <f t="shared" si="71"/>
        <v>39.89</v>
      </c>
      <c r="AC119" s="67">
        <v>2.2999999999999998</v>
      </c>
      <c r="AD119" s="67"/>
      <c r="AE119" s="229">
        <f t="shared" si="52"/>
        <v>49.23</v>
      </c>
      <c r="AF119" s="67">
        <f>ROUND((P119+N119)*$AF$1/12,2)</f>
        <v>1260.29</v>
      </c>
      <c r="AG119" s="67"/>
      <c r="AH119" s="67"/>
      <c r="AI119" s="67">
        <f>ROUND(((P119+N119)/12)*0.03,2)</f>
        <v>188.76</v>
      </c>
      <c r="AJ119" s="175"/>
      <c r="AK119" s="67"/>
      <c r="AL119" s="67">
        <v>929.46</v>
      </c>
      <c r="AM119" s="67">
        <v>299.18</v>
      </c>
      <c r="AN119" s="230"/>
      <c r="AO119" s="72"/>
      <c r="AP119" s="350">
        <f t="shared" si="53"/>
        <v>75504</v>
      </c>
      <c r="AQ119" s="350">
        <f t="shared" si="54"/>
        <v>0</v>
      </c>
      <c r="AR119" s="350">
        <f t="shared" si="55"/>
        <v>0</v>
      </c>
    </row>
    <row r="120" spans="1:44" x14ac:dyDescent="0.25">
      <c r="A120" s="1">
        <v>44</v>
      </c>
      <c r="B120" s="1">
        <v>45</v>
      </c>
      <c r="C120" s="1">
        <v>46</v>
      </c>
      <c r="D120" s="1">
        <v>50</v>
      </c>
      <c r="E120" s="1">
        <v>53</v>
      </c>
      <c r="F120" s="1">
        <v>57</v>
      </c>
      <c r="G120" s="19">
        <v>33000</v>
      </c>
      <c r="H120" s="1" t="s">
        <v>65</v>
      </c>
      <c r="I120" s="1"/>
      <c r="J120" s="1"/>
      <c r="L120" s="1">
        <v>396</v>
      </c>
      <c r="M120" s="40">
        <v>31.93</v>
      </c>
      <c r="N120" s="40">
        <f t="shared" si="50"/>
        <v>66414.399999999994</v>
      </c>
      <c r="O120" s="26">
        <f t="shared" si="68"/>
        <v>6.3159685408193935E-3</v>
      </c>
      <c r="P120" s="33">
        <f t="shared" si="51"/>
        <v>0</v>
      </c>
      <c r="Q120" s="227"/>
      <c r="R120" s="175"/>
      <c r="S120" s="175"/>
      <c r="T120" s="175">
        <v>931.64</v>
      </c>
      <c r="U120" s="175"/>
      <c r="V120" s="228">
        <v>103.52</v>
      </c>
      <c r="W120" s="227">
        <v>32.9</v>
      </c>
      <c r="X120" s="175">
        <v>37.700000000000003</v>
      </c>
      <c r="Y120" s="228">
        <v>37.700000000000003</v>
      </c>
      <c r="Z120" s="67">
        <f t="shared" si="69"/>
        <v>45.03</v>
      </c>
      <c r="AA120" s="40">
        <f t="shared" si="70"/>
        <v>11.300000000000004</v>
      </c>
      <c r="AB120" s="40">
        <f t="shared" si="71"/>
        <v>33.729999999999997</v>
      </c>
      <c r="AC120" s="67">
        <v>4.3</v>
      </c>
      <c r="AD120" s="67"/>
      <c r="AE120" s="229">
        <f t="shared" si="52"/>
        <v>43.3</v>
      </c>
      <c r="AF120" s="67"/>
      <c r="AG120" s="67"/>
      <c r="AH120" s="67">
        <f>ROUND((P120+N120)*$AH$1/12,2)</f>
        <v>989.02</v>
      </c>
      <c r="AI120" s="67"/>
      <c r="AJ120" s="175"/>
      <c r="AK120" s="67">
        <f>ROUND(((N120+P120)/12)*0.03,2)</f>
        <v>166.04</v>
      </c>
      <c r="AL120" s="67">
        <v>929.46</v>
      </c>
      <c r="AM120" s="67">
        <v>299.18</v>
      </c>
      <c r="AN120" s="230"/>
      <c r="AO120" s="72"/>
      <c r="AP120" s="350">
        <f t="shared" si="53"/>
        <v>0</v>
      </c>
      <c r="AQ120" s="350">
        <f t="shared" si="54"/>
        <v>0</v>
      </c>
      <c r="AR120" s="350">
        <f t="shared" si="55"/>
        <v>66414.399999999994</v>
      </c>
    </row>
    <row r="121" spans="1:44" x14ac:dyDescent="0.25">
      <c r="A121" s="1">
        <v>37</v>
      </c>
      <c r="B121" s="1">
        <v>38</v>
      </c>
      <c r="C121" s="1">
        <v>39</v>
      </c>
      <c r="D121" s="1">
        <v>43</v>
      </c>
      <c r="E121" s="1">
        <v>46</v>
      </c>
      <c r="F121" s="1">
        <v>50</v>
      </c>
      <c r="G121" s="19">
        <v>31376</v>
      </c>
      <c r="H121" s="1" t="s">
        <v>65</v>
      </c>
      <c r="I121" s="1"/>
      <c r="J121" s="1"/>
      <c r="L121" s="1">
        <v>352</v>
      </c>
      <c r="M121" s="40">
        <v>25.7</v>
      </c>
      <c r="N121" s="40">
        <f t="shared" si="50"/>
        <v>53456</v>
      </c>
      <c r="O121" s="26">
        <f t="shared" si="68"/>
        <v>5.0836326808349017E-3</v>
      </c>
      <c r="P121" s="33">
        <f t="shared" si="51"/>
        <v>0</v>
      </c>
      <c r="Q121" s="227">
        <v>1262.01</v>
      </c>
      <c r="R121" s="175"/>
      <c r="S121" s="175"/>
      <c r="T121" s="175"/>
      <c r="U121" s="175"/>
      <c r="V121" s="228">
        <v>140.22</v>
      </c>
      <c r="W121" s="227">
        <v>32.9</v>
      </c>
      <c r="X121" s="175">
        <v>37.700000000000003</v>
      </c>
      <c r="Y121" s="228">
        <v>37.700000000000003</v>
      </c>
      <c r="Z121" s="67">
        <f t="shared" si="69"/>
        <v>36.24</v>
      </c>
      <c r="AA121" s="40">
        <f t="shared" si="70"/>
        <v>11.3</v>
      </c>
      <c r="AB121" s="40">
        <f t="shared" si="71"/>
        <v>24.94</v>
      </c>
      <c r="AC121" s="67">
        <v>1.5</v>
      </c>
      <c r="AD121" s="67">
        <v>1</v>
      </c>
      <c r="AE121" s="229">
        <f t="shared" si="52"/>
        <v>34.85</v>
      </c>
      <c r="AF121" s="67"/>
      <c r="AG121" s="67">
        <f>ROUND((P121+N121)*$AG$1/12,2)</f>
        <v>892.27</v>
      </c>
      <c r="AH121" s="67"/>
      <c r="AI121" s="67"/>
      <c r="AJ121" s="67">
        <f>ROUND(((P121+N121)/12)*0.03,2)</f>
        <v>133.63999999999999</v>
      </c>
      <c r="AK121" s="67"/>
      <c r="AL121" s="67">
        <v>929.46</v>
      </c>
      <c r="AM121" s="67">
        <v>299.18</v>
      </c>
      <c r="AN121" s="230"/>
      <c r="AO121" s="72"/>
      <c r="AP121" s="350">
        <f t="shared" si="53"/>
        <v>0</v>
      </c>
      <c r="AQ121" s="350">
        <f t="shared" si="54"/>
        <v>53456</v>
      </c>
      <c r="AR121" s="350">
        <f t="shared" si="55"/>
        <v>0</v>
      </c>
    </row>
    <row r="122" spans="1:44" x14ac:dyDescent="0.25">
      <c r="A122" s="1">
        <v>39</v>
      </c>
      <c r="B122" s="1">
        <v>40</v>
      </c>
      <c r="C122" s="1">
        <v>41</v>
      </c>
      <c r="D122" s="1">
        <v>45</v>
      </c>
      <c r="E122" s="1">
        <v>48</v>
      </c>
      <c r="F122" s="1">
        <v>52</v>
      </c>
      <c r="G122" s="19">
        <v>35312</v>
      </c>
      <c r="H122" s="1"/>
      <c r="I122" s="1" t="s">
        <v>65</v>
      </c>
      <c r="J122" s="1"/>
      <c r="L122" s="1">
        <v>498</v>
      </c>
      <c r="M122" s="40">
        <v>31.93</v>
      </c>
      <c r="N122" s="40">
        <f t="shared" si="50"/>
        <v>66414.399999999994</v>
      </c>
      <c r="O122" s="26">
        <f t="shared" si="68"/>
        <v>6.3159685408193935E-3</v>
      </c>
      <c r="P122" s="33">
        <f t="shared" si="51"/>
        <v>0</v>
      </c>
      <c r="Q122" s="227"/>
      <c r="R122" s="175"/>
      <c r="S122" s="175"/>
      <c r="T122" s="175">
        <v>931.64</v>
      </c>
      <c r="U122" s="175"/>
      <c r="V122" s="228">
        <v>103.52</v>
      </c>
      <c r="W122" s="227">
        <v>32.9</v>
      </c>
      <c r="X122" s="175">
        <v>37.700000000000003</v>
      </c>
      <c r="Y122" s="228">
        <v>37.700000000000003</v>
      </c>
      <c r="Z122" s="67">
        <f t="shared" si="69"/>
        <v>45.03</v>
      </c>
      <c r="AA122" s="40">
        <f t="shared" si="70"/>
        <v>11.300000000000004</v>
      </c>
      <c r="AB122" s="40">
        <f t="shared" si="71"/>
        <v>33.729999999999997</v>
      </c>
      <c r="AC122" s="67">
        <v>2.2999999999999998</v>
      </c>
      <c r="AD122" s="67">
        <v>1</v>
      </c>
      <c r="AE122" s="229">
        <f t="shared" si="52"/>
        <v>43.3</v>
      </c>
      <c r="AF122" s="67">
        <f>ROUND((P122+N122)*$AF$1/12,2)</f>
        <v>1108.57</v>
      </c>
      <c r="AG122" s="67"/>
      <c r="AH122" s="67"/>
      <c r="AI122" s="67">
        <f>ROUND(((P122+N122)/12)*0.03,2)</f>
        <v>166.04</v>
      </c>
      <c r="AJ122" s="175"/>
      <c r="AK122" s="67"/>
      <c r="AL122" s="67">
        <v>929.46</v>
      </c>
      <c r="AM122" s="67">
        <v>299.18</v>
      </c>
      <c r="AN122" s="230"/>
      <c r="AO122" s="72"/>
      <c r="AP122" s="350">
        <f t="shared" si="53"/>
        <v>66414.399999999994</v>
      </c>
      <c r="AQ122" s="350">
        <f t="shared" si="54"/>
        <v>0</v>
      </c>
      <c r="AR122" s="350">
        <f t="shared" si="55"/>
        <v>0</v>
      </c>
    </row>
    <row r="123" spans="1:44" x14ac:dyDescent="0.25">
      <c r="A123" s="1">
        <v>49</v>
      </c>
      <c r="B123" s="1">
        <v>50</v>
      </c>
      <c r="C123" s="1">
        <v>51</v>
      </c>
      <c r="D123" s="1">
        <v>55</v>
      </c>
      <c r="E123" s="1">
        <v>58</v>
      </c>
      <c r="F123" s="1">
        <v>62</v>
      </c>
      <c r="G123" s="19">
        <v>27547</v>
      </c>
      <c r="H123" s="1" t="s">
        <v>65</v>
      </c>
      <c r="I123" s="1"/>
      <c r="J123" s="1"/>
      <c r="L123" s="1">
        <v>180</v>
      </c>
      <c r="M123" s="40">
        <v>32.47</v>
      </c>
      <c r="N123" s="40">
        <f t="shared" si="50"/>
        <v>67537.599999999991</v>
      </c>
      <c r="O123" s="26">
        <f t="shared" si="68"/>
        <v>6.4227841691326558E-3</v>
      </c>
      <c r="P123" s="33">
        <f t="shared" si="51"/>
        <v>0</v>
      </c>
      <c r="Q123" s="227"/>
      <c r="R123" s="175"/>
      <c r="S123" s="175"/>
      <c r="T123" s="175">
        <v>931.64</v>
      </c>
      <c r="U123" s="175"/>
      <c r="V123" s="228">
        <v>103.52</v>
      </c>
      <c r="W123" s="227">
        <v>32.9</v>
      </c>
      <c r="X123" s="175">
        <v>37.700000000000003</v>
      </c>
      <c r="Y123" s="228">
        <v>37.700000000000003</v>
      </c>
      <c r="Z123" s="67">
        <f t="shared" si="69"/>
        <v>45.79</v>
      </c>
      <c r="AA123" s="40">
        <f t="shared" si="70"/>
        <v>11.299999999999997</v>
      </c>
      <c r="AB123" s="40">
        <f t="shared" si="71"/>
        <v>34.49</v>
      </c>
      <c r="AC123" s="67">
        <v>6.6</v>
      </c>
      <c r="AD123" s="67"/>
      <c r="AE123" s="229">
        <f t="shared" si="52"/>
        <v>44.03</v>
      </c>
      <c r="AF123" s="67"/>
      <c r="AG123" s="67">
        <f>ROUND((P123+N123)*$AG$1/12,2)</f>
        <v>1127.32</v>
      </c>
      <c r="AH123" s="67"/>
      <c r="AI123" s="67"/>
      <c r="AJ123" s="67">
        <f>ROUND(((P123+N123)/12)*0.03,2)</f>
        <v>168.84</v>
      </c>
      <c r="AK123" s="67"/>
      <c r="AL123" s="67">
        <v>929.46</v>
      </c>
      <c r="AM123" s="67">
        <v>299.18</v>
      </c>
      <c r="AN123" s="230"/>
      <c r="AO123" s="72"/>
      <c r="AP123" s="350">
        <f t="shared" si="53"/>
        <v>0</v>
      </c>
      <c r="AQ123" s="350">
        <f t="shared" si="54"/>
        <v>67537.599999999991</v>
      </c>
      <c r="AR123" s="350">
        <f t="shared" si="55"/>
        <v>0</v>
      </c>
    </row>
    <row r="124" spans="1:44" x14ac:dyDescent="0.25">
      <c r="A124" s="1">
        <v>40</v>
      </c>
      <c r="B124" s="1">
        <v>41</v>
      </c>
      <c r="C124" s="1">
        <v>42</v>
      </c>
      <c r="D124" s="1">
        <v>46</v>
      </c>
      <c r="E124" s="1">
        <v>49</v>
      </c>
      <c r="F124" s="1">
        <v>53</v>
      </c>
      <c r="G124" s="19">
        <v>33714</v>
      </c>
      <c r="H124" s="1"/>
      <c r="I124" s="1" t="s">
        <v>65</v>
      </c>
      <c r="J124" s="1"/>
      <c r="L124" s="1">
        <v>422</v>
      </c>
      <c r="M124" s="40">
        <v>26.43</v>
      </c>
      <c r="N124" s="40">
        <f t="shared" si="50"/>
        <v>54974.400000000001</v>
      </c>
      <c r="O124" s="26">
        <f t="shared" si="68"/>
        <v>5.2280315857769055E-3</v>
      </c>
      <c r="P124" s="33">
        <f t="shared" si="51"/>
        <v>0</v>
      </c>
      <c r="Q124" s="227"/>
      <c r="R124" s="175"/>
      <c r="S124" s="175">
        <v>800.02</v>
      </c>
      <c r="T124" s="175"/>
      <c r="U124" s="175"/>
      <c r="V124" s="228">
        <v>88.89</v>
      </c>
      <c r="W124" s="227">
        <v>32.9</v>
      </c>
      <c r="X124" s="175">
        <v>37.700000000000003</v>
      </c>
      <c r="Y124" s="228">
        <v>37.700000000000003</v>
      </c>
      <c r="Z124" s="67">
        <f t="shared" si="69"/>
        <v>37.270000000000003</v>
      </c>
      <c r="AA124" s="40">
        <f t="shared" si="70"/>
        <v>11.300000000000004</v>
      </c>
      <c r="AB124" s="40">
        <f t="shared" si="71"/>
        <v>25.97</v>
      </c>
      <c r="AC124" s="67"/>
      <c r="AD124" s="67">
        <v>1</v>
      </c>
      <c r="AE124" s="229">
        <f t="shared" si="52"/>
        <v>35.840000000000003</v>
      </c>
      <c r="AF124" s="67">
        <f>ROUND((P124+N124)*$AF$1/12,2)</f>
        <v>917.61</v>
      </c>
      <c r="AG124" s="67"/>
      <c r="AH124" s="67"/>
      <c r="AI124" s="67">
        <f>ROUND(((P124+N124)/12)*0.03,2)</f>
        <v>137.44</v>
      </c>
      <c r="AJ124" s="175"/>
      <c r="AK124" s="67"/>
      <c r="AL124" s="67">
        <v>929.46</v>
      </c>
      <c r="AM124" s="67">
        <v>299.18</v>
      </c>
      <c r="AN124" s="230"/>
      <c r="AO124" s="72"/>
      <c r="AP124" s="350">
        <f t="shared" si="53"/>
        <v>54974.400000000001</v>
      </c>
      <c r="AQ124" s="350">
        <f t="shared" si="54"/>
        <v>0</v>
      </c>
      <c r="AR124" s="350">
        <f t="shared" si="55"/>
        <v>0</v>
      </c>
    </row>
    <row r="125" spans="1:44" x14ac:dyDescent="0.25">
      <c r="A125" s="1"/>
      <c r="B125" s="1"/>
      <c r="C125" s="1"/>
      <c r="D125" s="1"/>
      <c r="E125" s="1"/>
      <c r="F125" s="1">
        <v>35</v>
      </c>
      <c r="G125" s="19">
        <v>41358</v>
      </c>
      <c r="H125" s="1"/>
      <c r="I125" s="1"/>
      <c r="J125" s="1" t="s">
        <v>65</v>
      </c>
      <c r="L125" s="1">
        <v>657</v>
      </c>
      <c r="M125" s="40">
        <v>58.9</v>
      </c>
      <c r="N125" s="40">
        <f t="shared" si="50"/>
        <v>122512</v>
      </c>
      <c r="O125" s="26">
        <f t="shared" si="68"/>
        <v>1.1650815754909562E-2</v>
      </c>
      <c r="P125" s="33">
        <f t="shared" si="51"/>
        <v>0</v>
      </c>
      <c r="Q125" s="227">
        <v>1262.01</v>
      </c>
      <c r="R125" s="175"/>
      <c r="S125" s="175"/>
      <c r="T125" s="175"/>
      <c r="U125" s="175"/>
      <c r="V125" s="228">
        <v>140.22</v>
      </c>
      <c r="W125" s="227">
        <v>32.9</v>
      </c>
      <c r="X125" s="175">
        <v>37.700000000000003</v>
      </c>
      <c r="Y125" s="228">
        <v>37.700000000000003</v>
      </c>
      <c r="Z125" s="67">
        <f t="shared" si="69"/>
        <v>83.06</v>
      </c>
      <c r="AA125" s="40">
        <f t="shared" si="70"/>
        <v>11.299999999999997</v>
      </c>
      <c r="AB125" s="40">
        <f t="shared" si="71"/>
        <v>71.760000000000005</v>
      </c>
      <c r="AC125" s="67">
        <v>0.8</v>
      </c>
      <c r="AD125" s="67">
        <v>1</v>
      </c>
      <c r="AE125" s="229">
        <f t="shared" si="52"/>
        <v>79.88</v>
      </c>
      <c r="AF125" s="67"/>
      <c r="AG125" s="67"/>
      <c r="AH125" s="67">
        <f>ROUND((P125+N125)*$AH$1/12,2)</f>
        <v>1824.41</v>
      </c>
      <c r="AI125" s="67"/>
      <c r="AJ125" s="175"/>
      <c r="AK125" s="67">
        <f>ROUND(((N125+P125)/12)*0.03,2)</f>
        <v>306.27999999999997</v>
      </c>
      <c r="AL125" s="67">
        <v>929.46</v>
      </c>
      <c r="AM125" s="67">
        <v>299.18</v>
      </c>
      <c r="AN125" s="230"/>
      <c r="AO125" s="72"/>
      <c r="AP125" s="350">
        <f t="shared" si="53"/>
        <v>0</v>
      </c>
      <c r="AQ125" s="350">
        <f t="shared" si="54"/>
        <v>0</v>
      </c>
      <c r="AR125" s="350">
        <f t="shared" si="55"/>
        <v>122512</v>
      </c>
    </row>
    <row r="126" spans="1:44" x14ac:dyDescent="0.25">
      <c r="A126" s="1">
        <v>43</v>
      </c>
      <c r="B126" s="1">
        <v>44</v>
      </c>
      <c r="C126" s="1">
        <v>45</v>
      </c>
      <c r="D126" s="1">
        <v>49</v>
      </c>
      <c r="E126" s="1">
        <v>52</v>
      </c>
      <c r="F126" s="1">
        <v>56</v>
      </c>
      <c r="G126" s="19">
        <v>28829</v>
      </c>
      <c r="H126" s="1"/>
      <c r="I126" s="1" t="s">
        <v>65</v>
      </c>
      <c r="J126" s="1"/>
      <c r="L126" s="1">
        <v>318</v>
      </c>
      <c r="M126" s="40">
        <v>37.130000000000003</v>
      </c>
      <c r="N126" s="40">
        <f t="shared" si="50"/>
        <v>77230.400000000009</v>
      </c>
      <c r="O126" s="26">
        <f t="shared" si="68"/>
        <v>7.3445634801322934E-3</v>
      </c>
      <c r="P126" s="33">
        <f t="shared" si="51"/>
        <v>0</v>
      </c>
      <c r="Q126" s="227"/>
      <c r="R126" s="175"/>
      <c r="S126" s="175"/>
      <c r="T126" s="175">
        <v>931.64</v>
      </c>
      <c r="U126" s="175"/>
      <c r="V126" s="228">
        <v>103.52</v>
      </c>
      <c r="W126" s="227">
        <v>32.9</v>
      </c>
      <c r="X126" s="175">
        <v>37.700000000000003</v>
      </c>
      <c r="Y126" s="228">
        <v>37.700000000000003</v>
      </c>
      <c r="Z126" s="67">
        <f t="shared" si="69"/>
        <v>52.36</v>
      </c>
      <c r="AA126" s="40">
        <f t="shared" si="70"/>
        <v>11.299999999999997</v>
      </c>
      <c r="AB126" s="40">
        <f t="shared" si="71"/>
        <v>41.06</v>
      </c>
      <c r="AC126" s="67">
        <v>4.3</v>
      </c>
      <c r="AD126" s="67"/>
      <c r="AE126" s="229">
        <f t="shared" si="52"/>
        <v>50.35</v>
      </c>
      <c r="AF126" s="67">
        <f>ROUND((P126+N126)*$AF$1/12,2)</f>
        <v>1289.0999999999999</v>
      </c>
      <c r="AG126" s="67"/>
      <c r="AH126" s="67"/>
      <c r="AI126" s="67">
        <f>ROUND(((P126+N126)/12)*0.03,2)</f>
        <v>193.08</v>
      </c>
      <c r="AJ126" s="175"/>
      <c r="AK126" s="67"/>
      <c r="AL126" s="67">
        <v>929.46</v>
      </c>
      <c r="AM126" s="67">
        <v>299.18</v>
      </c>
      <c r="AN126" s="230"/>
      <c r="AO126" s="72"/>
      <c r="AP126" s="350">
        <f t="shared" si="53"/>
        <v>77230.400000000009</v>
      </c>
      <c r="AQ126" s="350">
        <f t="shared" si="54"/>
        <v>0</v>
      </c>
      <c r="AR126" s="350">
        <f t="shared" si="55"/>
        <v>0</v>
      </c>
    </row>
    <row r="127" spans="1:44" x14ac:dyDescent="0.25">
      <c r="A127" s="1">
        <v>47</v>
      </c>
      <c r="B127" s="1">
        <v>48</v>
      </c>
      <c r="C127" s="1">
        <v>49</v>
      </c>
      <c r="D127" s="1">
        <v>53</v>
      </c>
      <c r="E127" s="1">
        <v>56</v>
      </c>
      <c r="F127" s="1">
        <v>60</v>
      </c>
      <c r="G127" s="19">
        <v>33406</v>
      </c>
      <c r="H127" s="1" t="s">
        <v>65</v>
      </c>
      <c r="I127" s="1"/>
      <c r="J127" s="1"/>
      <c r="L127" s="1">
        <v>417</v>
      </c>
      <c r="M127" s="40">
        <v>31.7</v>
      </c>
      <c r="N127" s="40">
        <f t="shared" si="50"/>
        <v>65936</v>
      </c>
      <c r="O127" s="26">
        <f t="shared" si="68"/>
        <v>6.2704729954267081E-3</v>
      </c>
      <c r="P127" s="33">
        <f t="shared" si="51"/>
        <v>0</v>
      </c>
      <c r="Q127" s="227"/>
      <c r="R127" s="175"/>
      <c r="S127" s="175"/>
      <c r="T127" s="175">
        <v>931.64</v>
      </c>
      <c r="U127" s="175"/>
      <c r="V127" s="228">
        <v>103.52</v>
      </c>
      <c r="W127" s="227">
        <v>32.9</v>
      </c>
      <c r="X127" s="175"/>
      <c r="Y127" s="228"/>
      <c r="Z127" s="67">
        <f t="shared" si="69"/>
        <v>44.7</v>
      </c>
      <c r="AA127" s="40">
        <f t="shared" si="70"/>
        <v>11.300000000000004</v>
      </c>
      <c r="AB127" s="40">
        <f t="shared" si="71"/>
        <v>33.4</v>
      </c>
      <c r="AC127" s="67">
        <v>4.3</v>
      </c>
      <c r="AD127" s="67"/>
      <c r="AE127" s="229">
        <f t="shared" si="52"/>
        <v>42.99</v>
      </c>
      <c r="AF127" s="67"/>
      <c r="AG127" s="67"/>
      <c r="AH127" s="67">
        <f t="shared" ref="AH127:AH129" si="78">ROUND((P127+N127)*$AH$1/12,2)</f>
        <v>981.9</v>
      </c>
      <c r="AI127" s="67"/>
      <c r="AJ127" s="175"/>
      <c r="AK127" s="67">
        <f t="shared" ref="AK127:AK129" si="79">ROUND(((N127+P127)/12)*0.03,2)</f>
        <v>164.84</v>
      </c>
      <c r="AL127" s="67">
        <v>929.46</v>
      </c>
      <c r="AM127" s="67">
        <v>299.18</v>
      </c>
      <c r="AN127" s="230"/>
      <c r="AO127" s="72"/>
      <c r="AP127" s="350">
        <f t="shared" si="53"/>
        <v>0</v>
      </c>
      <c r="AQ127" s="350">
        <f t="shared" si="54"/>
        <v>0</v>
      </c>
      <c r="AR127" s="350">
        <f t="shared" si="55"/>
        <v>65936</v>
      </c>
    </row>
    <row r="128" spans="1:44" x14ac:dyDescent="0.25">
      <c r="A128" s="1"/>
      <c r="B128" s="1"/>
      <c r="C128" s="1"/>
      <c r="D128" s="1"/>
      <c r="E128" s="1"/>
      <c r="F128" s="1">
        <v>53</v>
      </c>
      <c r="G128" s="19">
        <v>41099</v>
      </c>
      <c r="H128" s="1"/>
      <c r="I128" s="1"/>
      <c r="J128" s="1" t="s">
        <v>65</v>
      </c>
      <c r="L128" s="1">
        <v>656</v>
      </c>
      <c r="M128" s="40">
        <v>132.21</v>
      </c>
      <c r="N128" s="40">
        <f t="shared" si="50"/>
        <v>274996.8</v>
      </c>
      <c r="O128" s="26">
        <f t="shared" si="68"/>
        <v>2.6152026332030443E-2</v>
      </c>
      <c r="P128" s="33">
        <f t="shared" si="51"/>
        <v>0</v>
      </c>
      <c r="Q128" s="227">
        <v>1262.01</v>
      </c>
      <c r="R128" s="175"/>
      <c r="S128" s="175"/>
      <c r="T128" s="175"/>
      <c r="U128" s="175"/>
      <c r="V128" s="228">
        <v>140.22</v>
      </c>
      <c r="W128" s="227">
        <v>32.9</v>
      </c>
      <c r="X128" s="175">
        <v>37.700000000000003</v>
      </c>
      <c r="Y128" s="228">
        <v>37.700000000000003</v>
      </c>
      <c r="Z128" s="67">
        <f t="shared" si="69"/>
        <v>186.45</v>
      </c>
      <c r="AA128" s="40">
        <f t="shared" si="70"/>
        <v>11.299999999999983</v>
      </c>
      <c r="AB128" s="40">
        <f t="shared" si="71"/>
        <v>175.15</v>
      </c>
      <c r="AC128" s="67">
        <v>2.2999999999999998</v>
      </c>
      <c r="AD128" s="67">
        <v>1</v>
      </c>
      <c r="AE128" s="229">
        <f t="shared" si="52"/>
        <v>179.3</v>
      </c>
      <c r="AF128" s="67"/>
      <c r="AG128" s="67"/>
      <c r="AH128" s="67">
        <f t="shared" si="78"/>
        <v>4095.16</v>
      </c>
      <c r="AI128" s="67"/>
      <c r="AJ128" s="175"/>
      <c r="AK128" s="67">
        <f t="shared" si="79"/>
        <v>687.49</v>
      </c>
      <c r="AL128" s="67">
        <v>929.46</v>
      </c>
      <c r="AM128" s="67">
        <v>299.18</v>
      </c>
      <c r="AN128" s="230"/>
      <c r="AO128" s="72"/>
      <c r="AP128" s="350">
        <f t="shared" si="53"/>
        <v>0</v>
      </c>
      <c r="AQ128" s="350">
        <f t="shared" si="54"/>
        <v>0</v>
      </c>
      <c r="AR128" s="350">
        <f t="shared" si="55"/>
        <v>274996.8</v>
      </c>
    </row>
    <row r="129" spans="1:44" x14ac:dyDescent="0.25">
      <c r="A129" s="1">
        <v>40</v>
      </c>
      <c r="B129" s="1">
        <v>41</v>
      </c>
      <c r="C129" s="1">
        <v>42</v>
      </c>
      <c r="D129" s="1">
        <v>46</v>
      </c>
      <c r="E129" s="1">
        <v>49</v>
      </c>
      <c r="F129" s="1">
        <v>53</v>
      </c>
      <c r="G129" s="19">
        <v>32664</v>
      </c>
      <c r="H129" s="1" t="s">
        <v>65</v>
      </c>
      <c r="I129" s="1"/>
      <c r="J129" s="1"/>
      <c r="L129" s="1">
        <v>388</v>
      </c>
      <c r="M129" s="40">
        <v>26.65</v>
      </c>
      <c r="N129" s="40">
        <f t="shared" si="50"/>
        <v>55432</v>
      </c>
      <c r="O129" s="26">
        <f t="shared" si="68"/>
        <v>5.2715490639786049E-3</v>
      </c>
      <c r="P129" s="33">
        <f t="shared" si="51"/>
        <v>0</v>
      </c>
      <c r="Q129" s="227"/>
      <c r="R129" s="175"/>
      <c r="S129" s="175"/>
      <c r="T129" s="175">
        <v>931.64</v>
      </c>
      <c r="U129" s="175"/>
      <c r="V129" s="228">
        <v>103.52</v>
      </c>
      <c r="W129" s="227">
        <v>32.9</v>
      </c>
      <c r="X129" s="175">
        <v>37.700000000000003</v>
      </c>
      <c r="Y129" s="228">
        <v>37.700000000000003</v>
      </c>
      <c r="Z129" s="67">
        <f t="shared" si="69"/>
        <v>37.58</v>
      </c>
      <c r="AA129" s="40">
        <f t="shared" si="70"/>
        <v>11.299999999999997</v>
      </c>
      <c r="AB129" s="40">
        <f t="shared" si="71"/>
        <v>26.28</v>
      </c>
      <c r="AC129" s="67">
        <v>2.2999999999999998</v>
      </c>
      <c r="AD129" s="67"/>
      <c r="AE129" s="229">
        <f t="shared" si="52"/>
        <v>36.14</v>
      </c>
      <c r="AF129" s="67"/>
      <c r="AG129" s="67"/>
      <c r="AH129" s="67">
        <f t="shared" si="78"/>
        <v>825.47</v>
      </c>
      <c r="AI129" s="67"/>
      <c r="AJ129" s="175"/>
      <c r="AK129" s="67">
        <f t="shared" si="79"/>
        <v>138.58000000000001</v>
      </c>
      <c r="AL129" s="67">
        <v>929.46</v>
      </c>
      <c r="AM129" s="67">
        <v>299.18</v>
      </c>
      <c r="AN129" s="230"/>
      <c r="AO129" s="72"/>
      <c r="AP129" s="350">
        <f t="shared" si="53"/>
        <v>0</v>
      </c>
      <c r="AQ129" s="350">
        <f t="shared" si="54"/>
        <v>0</v>
      </c>
      <c r="AR129" s="350">
        <f t="shared" si="55"/>
        <v>55432</v>
      </c>
    </row>
    <row r="130" spans="1:44" x14ac:dyDescent="0.25">
      <c r="A130" s="1">
        <v>39</v>
      </c>
      <c r="B130" s="1">
        <v>40</v>
      </c>
      <c r="C130" s="1">
        <v>41</v>
      </c>
      <c r="D130" s="1">
        <v>45</v>
      </c>
      <c r="E130" s="1">
        <v>48</v>
      </c>
      <c r="F130" s="1">
        <v>52</v>
      </c>
      <c r="G130" s="19">
        <v>30837</v>
      </c>
      <c r="H130" s="1" t="s">
        <v>65</v>
      </c>
      <c r="I130" s="1"/>
      <c r="J130" s="1"/>
      <c r="L130" s="1">
        <v>337</v>
      </c>
      <c r="M130" s="40">
        <v>31.93</v>
      </c>
      <c r="N130" s="40">
        <f t="shared" si="50"/>
        <v>66414.399999999994</v>
      </c>
      <c r="O130" s="26">
        <f t="shared" si="68"/>
        <v>6.3159685408193935E-3</v>
      </c>
      <c r="P130" s="33">
        <f t="shared" si="51"/>
        <v>0</v>
      </c>
      <c r="Q130" s="227"/>
      <c r="R130" s="175"/>
      <c r="S130" s="175"/>
      <c r="T130" s="175">
        <v>931.64</v>
      </c>
      <c r="U130" s="175"/>
      <c r="V130" s="228">
        <v>103.52</v>
      </c>
      <c r="W130" s="227">
        <v>32.9</v>
      </c>
      <c r="X130" s="175">
        <v>37.700000000000003</v>
      </c>
      <c r="Y130" s="228">
        <v>37.700000000000003</v>
      </c>
      <c r="Z130" s="67">
        <f t="shared" si="69"/>
        <v>45.03</v>
      </c>
      <c r="AA130" s="40">
        <f t="shared" si="70"/>
        <v>11.300000000000004</v>
      </c>
      <c r="AB130" s="40">
        <f t="shared" si="71"/>
        <v>33.729999999999997</v>
      </c>
      <c r="AC130" s="67">
        <v>2.2999999999999998</v>
      </c>
      <c r="AD130" s="67">
        <v>1</v>
      </c>
      <c r="AE130" s="229">
        <f t="shared" si="52"/>
        <v>43.3</v>
      </c>
      <c r="AF130" s="67"/>
      <c r="AG130" s="67">
        <f>ROUND((P130+N130)*$AG$1/12,2)</f>
        <v>1108.57</v>
      </c>
      <c r="AH130" s="67"/>
      <c r="AI130" s="67"/>
      <c r="AJ130" s="67">
        <f>ROUND(((P130+N130)/12)*0.03,2)</f>
        <v>166.04</v>
      </c>
      <c r="AK130" s="67"/>
      <c r="AL130" s="67">
        <v>929.46</v>
      </c>
      <c r="AM130" s="67">
        <v>299.18</v>
      </c>
      <c r="AN130" s="230"/>
      <c r="AO130" s="72"/>
      <c r="AP130" s="350">
        <f t="shared" si="53"/>
        <v>0</v>
      </c>
      <c r="AQ130" s="350">
        <f t="shared" si="54"/>
        <v>66414.399999999994</v>
      </c>
      <c r="AR130" s="350">
        <f t="shared" si="55"/>
        <v>0</v>
      </c>
    </row>
    <row r="131" spans="1:44" x14ac:dyDescent="0.25">
      <c r="A131" s="1"/>
      <c r="B131" s="1"/>
      <c r="C131" s="1"/>
      <c r="D131" s="1"/>
      <c r="E131" s="1"/>
      <c r="F131" s="1">
        <v>38</v>
      </c>
      <c r="G131" s="19">
        <v>41561</v>
      </c>
      <c r="H131" s="1"/>
      <c r="I131" s="1"/>
      <c r="J131" s="1" t="s">
        <v>65</v>
      </c>
      <c r="L131" s="1">
        <v>665</v>
      </c>
      <c r="M131" s="40">
        <v>26.28</v>
      </c>
      <c r="N131" s="40">
        <f t="shared" si="50"/>
        <v>54662.400000000001</v>
      </c>
      <c r="O131" s="26">
        <f t="shared" si="68"/>
        <v>5.1983605779121105E-3</v>
      </c>
      <c r="P131" s="33">
        <f t="shared" si="51"/>
        <v>0</v>
      </c>
      <c r="Q131" s="227">
        <v>1262.01</v>
      </c>
      <c r="R131" s="175"/>
      <c r="S131" s="175"/>
      <c r="T131" s="175"/>
      <c r="U131" s="175"/>
      <c r="V131" s="228">
        <v>140.22</v>
      </c>
      <c r="W131" s="227">
        <v>32.9</v>
      </c>
      <c r="X131" s="175">
        <v>37.700000000000003</v>
      </c>
      <c r="Y131" s="228">
        <v>37.700000000000003</v>
      </c>
      <c r="Z131" s="67">
        <f t="shared" si="69"/>
        <v>37.06</v>
      </c>
      <c r="AA131" s="40">
        <f t="shared" si="70"/>
        <v>11.3</v>
      </c>
      <c r="AB131" s="40">
        <f t="shared" si="71"/>
        <v>25.76</v>
      </c>
      <c r="AC131" s="67">
        <v>0.9</v>
      </c>
      <c r="AD131" s="67">
        <v>1</v>
      </c>
      <c r="AE131" s="229">
        <f t="shared" si="52"/>
        <v>35.64</v>
      </c>
      <c r="AF131" s="67"/>
      <c r="AG131" s="67"/>
      <c r="AH131" s="67">
        <f t="shared" ref="AH131:AH133" si="80">ROUND((P131+N131)*$AH$1/12,2)</f>
        <v>814.01</v>
      </c>
      <c r="AI131" s="67"/>
      <c r="AJ131" s="175"/>
      <c r="AK131" s="67">
        <f t="shared" ref="AK131:AK133" si="81">ROUND(((N131+P131)/12)*0.03,2)</f>
        <v>136.66</v>
      </c>
      <c r="AL131" s="67">
        <v>929.46</v>
      </c>
      <c r="AM131" s="67">
        <v>299.18</v>
      </c>
      <c r="AN131" s="230"/>
      <c r="AO131" s="72"/>
      <c r="AP131" s="350">
        <f t="shared" si="53"/>
        <v>0</v>
      </c>
      <c r="AQ131" s="350">
        <f t="shared" si="54"/>
        <v>0</v>
      </c>
      <c r="AR131" s="350">
        <f t="shared" si="55"/>
        <v>54662.400000000001</v>
      </c>
    </row>
    <row r="132" spans="1:44" x14ac:dyDescent="0.25">
      <c r="A132" s="1"/>
      <c r="B132" s="1"/>
      <c r="C132" s="1"/>
      <c r="D132" s="1"/>
      <c r="E132" s="1"/>
      <c r="F132" s="1">
        <v>27</v>
      </c>
      <c r="G132" s="19">
        <v>41932</v>
      </c>
      <c r="H132" s="1"/>
      <c r="I132" s="1"/>
      <c r="J132" s="1" t="s">
        <v>65</v>
      </c>
      <c r="L132" s="1">
        <v>677</v>
      </c>
      <c r="M132" s="40">
        <v>19.420000000000002</v>
      </c>
      <c r="N132" s="40">
        <f t="shared" si="50"/>
        <v>40393.600000000006</v>
      </c>
      <c r="O132" s="26">
        <f t="shared" si="68"/>
        <v>3.8414064848954791E-3</v>
      </c>
      <c r="P132" s="33">
        <f t="shared" si="51"/>
        <v>0</v>
      </c>
      <c r="Q132" s="227"/>
      <c r="R132" s="175"/>
      <c r="S132" s="175"/>
      <c r="T132" s="175">
        <v>931.64</v>
      </c>
      <c r="U132" s="175"/>
      <c r="V132" s="228">
        <v>103.52</v>
      </c>
      <c r="W132" s="227">
        <v>32.9</v>
      </c>
      <c r="X132" s="175">
        <v>37.700000000000003</v>
      </c>
      <c r="Y132" s="228">
        <v>37.700000000000003</v>
      </c>
      <c r="Z132" s="67">
        <f t="shared" si="69"/>
        <v>27.39</v>
      </c>
      <c r="AA132" s="40">
        <f t="shared" si="70"/>
        <v>11.3</v>
      </c>
      <c r="AB132" s="40">
        <f t="shared" si="71"/>
        <v>16.09</v>
      </c>
      <c r="AC132" s="67">
        <v>0.6</v>
      </c>
      <c r="AD132" s="67"/>
      <c r="AE132" s="229">
        <f t="shared" si="52"/>
        <v>26.34</v>
      </c>
      <c r="AF132" s="67"/>
      <c r="AG132" s="67"/>
      <c r="AH132" s="67">
        <f t="shared" si="80"/>
        <v>601.53</v>
      </c>
      <c r="AI132" s="67"/>
      <c r="AJ132" s="175"/>
      <c r="AK132" s="67">
        <f t="shared" si="81"/>
        <v>100.98</v>
      </c>
      <c r="AL132" s="67">
        <v>929.46</v>
      </c>
      <c r="AM132" s="67">
        <v>299.18</v>
      </c>
      <c r="AN132" s="230"/>
      <c r="AO132" s="72"/>
      <c r="AP132" s="350">
        <f t="shared" si="53"/>
        <v>0</v>
      </c>
      <c r="AQ132" s="350">
        <f t="shared" si="54"/>
        <v>0</v>
      </c>
      <c r="AR132" s="350">
        <f t="shared" si="55"/>
        <v>40393.600000000006</v>
      </c>
    </row>
    <row r="133" spans="1:44" x14ac:dyDescent="0.25">
      <c r="A133" s="1"/>
      <c r="B133" s="1"/>
      <c r="C133" s="1"/>
      <c r="D133" s="1"/>
      <c r="E133" s="1"/>
      <c r="F133" s="1">
        <v>45</v>
      </c>
      <c r="G133" s="19">
        <v>40877</v>
      </c>
      <c r="H133" s="1"/>
      <c r="I133" s="1"/>
      <c r="J133" s="1" t="s">
        <v>65</v>
      </c>
      <c r="L133" s="1">
        <v>216</v>
      </c>
      <c r="M133" s="40">
        <v>71.680000000000007</v>
      </c>
      <c r="N133" s="40">
        <f t="shared" si="50"/>
        <v>149094.40000000002</v>
      </c>
      <c r="O133" s="26">
        <f t="shared" si="68"/>
        <v>1.4178785624990111E-2</v>
      </c>
      <c r="P133" s="33">
        <f t="shared" si="51"/>
        <v>0</v>
      </c>
      <c r="Q133" s="227"/>
      <c r="R133" s="175"/>
      <c r="S133" s="175">
        <v>800.02</v>
      </c>
      <c r="T133" s="175"/>
      <c r="U133" s="175"/>
      <c r="V133" s="228">
        <v>88.89</v>
      </c>
      <c r="W133" s="227">
        <v>32.9</v>
      </c>
      <c r="X133" s="175">
        <v>37.700000000000003</v>
      </c>
      <c r="Y133" s="228">
        <v>37.700000000000003</v>
      </c>
      <c r="Z133" s="67">
        <f t="shared" si="69"/>
        <v>101.09</v>
      </c>
      <c r="AA133" s="40">
        <f t="shared" si="70"/>
        <v>11.299999999999997</v>
      </c>
      <c r="AB133" s="40">
        <f t="shared" si="71"/>
        <v>89.79</v>
      </c>
      <c r="AC133" s="67"/>
      <c r="AD133" s="67">
        <v>1</v>
      </c>
      <c r="AE133" s="229">
        <f t="shared" si="52"/>
        <v>97.21</v>
      </c>
      <c r="AF133" s="67"/>
      <c r="AG133" s="67"/>
      <c r="AH133" s="67">
        <f t="shared" si="80"/>
        <v>2220.2600000000002</v>
      </c>
      <c r="AI133" s="67"/>
      <c r="AJ133" s="175"/>
      <c r="AK133" s="67">
        <f t="shared" si="81"/>
        <v>372.74</v>
      </c>
      <c r="AL133" s="67">
        <v>929.46</v>
      </c>
      <c r="AM133" s="67">
        <v>299.18</v>
      </c>
      <c r="AN133" s="230"/>
      <c r="AO133" s="72"/>
      <c r="AP133" s="350">
        <f t="shared" si="53"/>
        <v>0</v>
      </c>
      <c r="AQ133" s="350">
        <f t="shared" si="54"/>
        <v>0</v>
      </c>
      <c r="AR133" s="350">
        <f t="shared" si="55"/>
        <v>149094.40000000002</v>
      </c>
    </row>
    <row r="134" spans="1:44" x14ac:dyDescent="0.25">
      <c r="A134" s="1">
        <v>39</v>
      </c>
      <c r="B134" s="1">
        <v>40</v>
      </c>
      <c r="C134" s="1">
        <v>41</v>
      </c>
      <c r="D134" s="1">
        <v>45</v>
      </c>
      <c r="E134" s="1">
        <v>48</v>
      </c>
      <c r="F134" s="1">
        <v>52</v>
      </c>
      <c r="G134" s="19">
        <v>33009</v>
      </c>
      <c r="H134" s="1"/>
      <c r="I134" s="1" t="s">
        <v>65</v>
      </c>
      <c r="J134" s="1"/>
      <c r="L134" s="1">
        <v>618</v>
      </c>
      <c r="M134" s="40">
        <v>51.93</v>
      </c>
      <c r="N134" s="40">
        <f t="shared" si="50"/>
        <v>108014.39999999999</v>
      </c>
      <c r="O134" s="26">
        <f t="shared" ref="O134:O148" si="82">+N134/$N$159</f>
        <v>1.0272102922792081E-2</v>
      </c>
      <c r="P134" s="33">
        <f t="shared" si="51"/>
        <v>0</v>
      </c>
      <c r="Q134" s="227">
        <v>1262.01</v>
      </c>
      <c r="R134" s="175"/>
      <c r="S134" s="175"/>
      <c r="T134" s="175"/>
      <c r="U134" s="175"/>
      <c r="V134" s="228">
        <v>140.22</v>
      </c>
      <c r="W134" s="227">
        <v>32.9</v>
      </c>
      <c r="X134" s="175">
        <v>37.700000000000003</v>
      </c>
      <c r="Y134" s="228">
        <v>37.700000000000003</v>
      </c>
      <c r="Z134" s="67">
        <f t="shared" ref="Z134:Z152" si="83">ROUND((N134+P134)*3*$Z$2,2)</f>
        <v>73.23</v>
      </c>
      <c r="AA134" s="40">
        <f t="shared" ref="AA134:AA154" si="84">+Z134-AB134</f>
        <v>11.300000000000004</v>
      </c>
      <c r="AB134" s="40">
        <f>ROUND((((N134+P134)*3)-$AB$5)*$Z$2,2)</f>
        <v>61.93</v>
      </c>
      <c r="AC134" s="67">
        <v>2.2999999999999998</v>
      </c>
      <c r="AD134" s="67">
        <v>1</v>
      </c>
      <c r="AE134" s="229">
        <f t="shared" si="52"/>
        <v>70.430000000000007</v>
      </c>
      <c r="AF134" s="67">
        <f>ROUND((P134+N134)*$AF$1/12,2)</f>
        <v>1802.94</v>
      </c>
      <c r="AG134" s="67"/>
      <c r="AH134" s="67"/>
      <c r="AI134" s="67">
        <f>ROUND(((P134+N134)/12)*0.03,2)</f>
        <v>270.04000000000002</v>
      </c>
      <c r="AJ134" s="175"/>
      <c r="AK134" s="67"/>
      <c r="AL134" s="67">
        <v>929.46</v>
      </c>
      <c r="AM134" s="67">
        <v>299.18</v>
      </c>
      <c r="AN134" s="230"/>
      <c r="AO134" s="72"/>
      <c r="AP134" s="350">
        <f t="shared" si="53"/>
        <v>108014.39999999999</v>
      </c>
      <c r="AQ134" s="350">
        <f t="shared" si="54"/>
        <v>0</v>
      </c>
      <c r="AR134" s="350">
        <f t="shared" si="55"/>
        <v>0</v>
      </c>
    </row>
    <row r="135" spans="1:44" x14ac:dyDescent="0.25">
      <c r="A135" s="1"/>
      <c r="B135" s="1"/>
      <c r="C135" s="1"/>
      <c r="D135" s="1"/>
      <c r="E135" s="1"/>
      <c r="F135" s="1">
        <v>21</v>
      </c>
      <c r="G135" s="19">
        <v>41540</v>
      </c>
      <c r="H135" s="1"/>
      <c r="I135" s="1"/>
      <c r="J135" s="1" t="s">
        <v>65</v>
      </c>
      <c r="L135" s="1">
        <v>659</v>
      </c>
      <c r="M135" s="40">
        <v>21.01</v>
      </c>
      <c r="N135" s="40">
        <f t="shared" ref="N135:N155" si="85">M135*2080</f>
        <v>43700.800000000003</v>
      </c>
      <c r="O135" s="26">
        <f t="shared" si="82"/>
        <v>4.155919168262307E-3</v>
      </c>
      <c r="P135" s="33">
        <f t="shared" ref="P135:P155" si="86">+$P$5*O135</f>
        <v>0</v>
      </c>
      <c r="Q135" s="227"/>
      <c r="R135" s="175">
        <v>371.25</v>
      </c>
      <c r="S135" s="175"/>
      <c r="T135" s="175"/>
      <c r="U135" s="175"/>
      <c r="V135" s="228">
        <v>41.25</v>
      </c>
      <c r="W135" s="227">
        <v>32.9</v>
      </c>
      <c r="X135" s="175"/>
      <c r="Y135" s="228"/>
      <c r="Z135" s="67">
        <f t="shared" si="83"/>
        <v>29.63</v>
      </c>
      <c r="AA135" s="40">
        <f t="shared" si="84"/>
        <v>11.3</v>
      </c>
      <c r="AB135" s="40">
        <f t="shared" ref="AB135:AB154" si="87">ROUND((((N135+P135)*3)-$AB$5)*$Z$2,2)</f>
        <v>18.329999999999998</v>
      </c>
      <c r="AC135" s="67"/>
      <c r="AD135" s="67"/>
      <c r="AE135" s="229">
        <f t="shared" ref="AE135:AE155" si="88">ROUND((P135+N135)*$AE$1/100,2)</f>
        <v>28.49</v>
      </c>
      <c r="AF135" s="67"/>
      <c r="AG135" s="67"/>
      <c r="AH135" s="67">
        <f>ROUND((P135+N135)*$AH$1/12,2)</f>
        <v>650.78</v>
      </c>
      <c r="AI135" s="67"/>
      <c r="AJ135" s="175"/>
      <c r="AK135" s="67">
        <f>ROUND(((N135+P135)/12)*0.03,2)</f>
        <v>109.25</v>
      </c>
      <c r="AL135" s="67">
        <v>929.46</v>
      </c>
      <c r="AM135" s="67">
        <v>299.18</v>
      </c>
      <c r="AN135" s="230"/>
      <c r="AO135" s="72"/>
      <c r="AP135" s="350">
        <f t="shared" ref="AP135:AP155" si="89">+IF(AI135&gt;0,N135,0)</f>
        <v>0</v>
      </c>
      <c r="AQ135" s="350">
        <f t="shared" ref="AQ135:AQ155" si="90">+IF(AJ135&gt;0,N135,0)</f>
        <v>0</v>
      </c>
      <c r="AR135" s="350">
        <f t="shared" ref="AR135:AR155" si="91">+IF(AK135&gt;0,N135,0)</f>
        <v>43700.800000000003</v>
      </c>
    </row>
    <row r="136" spans="1:44" x14ac:dyDescent="0.25">
      <c r="A136" s="1">
        <v>42</v>
      </c>
      <c r="B136" s="1">
        <v>43</v>
      </c>
      <c r="C136" s="1">
        <v>44</v>
      </c>
      <c r="D136" s="1">
        <v>48</v>
      </c>
      <c r="E136" s="1">
        <v>51</v>
      </c>
      <c r="F136" s="1">
        <v>55</v>
      </c>
      <c r="G136" s="19">
        <v>30305</v>
      </c>
      <c r="H136" s="1" t="s">
        <v>65</v>
      </c>
      <c r="I136" s="1"/>
      <c r="J136" s="1"/>
      <c r="L136" s="1">
        <v>259</v>
      </c>
      <c r="M136" s="40">
        <v>36.619999999999997</v>
      </c>
      <c r="N136" s="40">
        <f t="shared" si="85"/>
        <v>76169.599999999991</v>
      </c>
      <c r="O136" s="26">
        <f t="shared" si="82"/>
        <v>7.2436820533919883E-3</v>
      </c>
      <c r="P136" s="33">
        <f t="shared" si="86"/>
        <v>0</v>
      </c>
      <c r="Q136" s="227">
        <v>1262.01</v>
      </c>
      <c r="R136" s="175"/>
      <c r="S136" s="175"/>
      <c r="T136" s="175"/>
      <c r="U136" s="175"/>
      <c r="V136" s="228">
        <v>140.22</v>
      </c>
      <c r="W136" s="227">
        <v>32.9</v>
      </c>
      <c r="X136" s="175">
        <v>37.700000000000003</v>
      </c>
      <c r="Y136" s="228">
        <v>37.700000000000003</v>
      </c>
      <c r="Z136" s="67">
        <f t="shared" si="83"/>
        <v>51.64</v>
      </c>
      <c r="AA136" s="40">
        <f t="shared" si="84"/>
        <v>11.299999999999997</v>
      </c>
      <c r="AB136" s="40">
        <f t="shared" si="87"/>
        <v>40.340000000000003</v>
      </c>
      <c r="AC136" s="67">
        <v>2.2999999999999998</v>
      </c>
      <c r="AD136" s="67">
        <v>1</v>
      </c>
      <c r="AE136" s="229">
        <f t="shared" si="88"/>
        <v>49.66</v>
      </c>
      <c r="AF136" s="67"/>
      <c r="AG136" s="67">
        <f>ROUND((P136+N136)*$AG$1/12,2)</f>
        <v>1271.4000000000001</v>
      </c>
      <c r="AH136" s="67"/>
      <c r="AI136" s="67"/>
      <c r="AJ136" s="67">
        <f>ROUND(((P136+N136)/12)*0.03,2)</f>
        <v>190.42</v>
      </c>
      <c r="AK136" s="67"/>
      <c r="AL136" s="67">
        <v>929.46</v>
      </c>
      <c r="AM136" s="67">
        <v>299.18</v>
      </c>
      <c r="AN136" s="230"/>
      <c r="AO136" s="72"/>
      <c r="AP136" s="350">
        <f t="shared" si="89"/>
        <v>0</v>
      </c>
      <c r="AQ136" s="350">
        <f t="shared" si="90"/>
        <v>76169.599999999991</v>
      </c>
      <c r="AR136" s="350">
        <f t="shared" si="91"/>
        <v>0</v>
      </c>
    </row>
    <row r="137" spans="1:44" x14ac:dyDescent="0.25">
      <c r="A137" s="1"/>
      <c r="B137" s="1"/>
      <c r="C137" s="1"/>
      <c r="D137" s="1"/>
      <c r="E137" s="1"/>
      <c r="F137" s="1">
        <v>31</v>
      </c>
      <c r="G137" s="19">
        <v>41540</v>
      </c>
      <c r="H137" s="1"/>
      <c r="I137" s="1"/>
      <c r="J137" s="1" t="s">
        <v>65</v>
      </c>
      <c r="L137" s="1">
        <v>661</v>
      </c>
      <c r="M137" s="40">
        <v>31.92</v>
      </c>
      <c r="N137" s="40">
        <f t="shared" si="85"/>
        <v>66393.600000000006</v>
      </c>
      <c r="O137" s="26">
        <f t="shared" si="82"/>
        <v>6.3139904736284084E-3</v>
      </c>
      <c r="P137" s="33">
        <f t="shared" si="86"/>
        <v>0</v>
      </c>
      <c r="Q137" s="227">
        <v>1262.01</v>
      </c>
      <c r="R137" s="175"/>
      <c r="S137" s="175"/>
      <c r="T137" s="175"/>
      <c r="U137" s="175"/>
      <c r="V137" s="228">
        <v>140.22</v>
      </c>
      <c r="W137" s="227">
        <v>32.9</v>
      </c>
      <c r="X137" s="175">
        <v>37.700000000000003</v>
      </c>
      <c r="Y137" s="228">
        <v>37.700000000000003</v>
      </c>
      <c r="Z137" s="67">
        <f t="shared" si="83"/>
        <v>45.01</v>
      </c>
      <c r="AA137" s="40">
        <f t="shared" si="84"/>
        <v>11.299999999999997</v>
      </c>
      <c r="AB137" s="40">
        <f>ROUND((((N137+P137)*3)-$AB$5)*$Z$2,2)</f>
        <v>33.71</v>
      </c>
      <c r="AC137" s="67">
        <v>0.8</v>
      </c>
      <c r="AD137" s="67">
        <v>1</v>
      </c>
      <c r="AE137" s="229">
        <f t="shared" si="88"/>
        <v>43.29</v>
      </c>
      <c r="AF137" s="67"/>
      <c r="AG137" s="67"/>
      <c r="AH137" s="67">
        <f>ROUND((P137+N137)*$AH$1/12,2)</f>
        <v>988.71</v>
      </c>
      <c r="AI137" s="67"/>
      <c r="AJ137" s="175"/>
      <c r="AK137" s="67">
        <f>ROUND(((N137+P137)/12)*0.03,2)</f>
        <v>165.98</v>
      </c>
      <c r="AL137" s="67">
        <v>929.46</v>
      </c>
      <c r="AM137" s="67">
        <v>299.18</v>
      </c>
      <c r="AN137" s="230"/>
      <c r="AO137" s="72"/>
      <c r="AP137" s="350">
        <f t="shared" si="89"/>
        <v>0</v>
      </c>
      <c r="AQ137" s="350">
        <f t="shared" si="90"/>
        <v>0</v>
      </c>
      <c r="AR137" s="350">
        <f t="shared" si="91"/>
        <v>66393.600000000006</v>
      </c>
    </row>
    <row r="138" spans="1:44" x14ac:dyDescent="0.25">
      <c r="A138" s="1">
        <v>47</v>
      </c>
      <c r="B138" s="1">
        <v>48</v>
      </c>
      <c r="C138" s="1">
        <v>49</v>
      </c>
      <c r="D138" s="1">
        <v>53</v>
      </c>
      <c r="E138" s="1">
        <v>56</v>
      </c>
      <c r="F138" s="1">
        <v>60</v>
      </c>
      <c r="G138" s="19">
        <v>29640</v>
      </c>
      <c r="H138" s="1"/>
      <c r="I138" s="1" t="s">
        <v>65</v>
      </c>
      <c r="J138" s="1"/>
      <c r="L138" s="1">
        <v>218</v>
      </c>
      <c r="M138" s="40">
        <v>39.01</v>
      </c>
      <c r="N138" s="40">
        <f t="shared" si="85"/>
        <v>81140.800000000003</v>
      </c>
      <c r="O138" s="26">
        <f t="shared" si="82"/>
        <v>7.7164401120377252E-3</v>
      </c>
      <c r="P138" s="33">
        <f t="shared" si="86"/>
        <v>0</v>
      </c>
      <c r="Q138" s="227"/>
      <c r="R138" s="175"/>
      <c r="S138" s="175"/>
      <c r="T138" s="175">
        <v>931.64</v>
      </c>
      <c r="U138" s="175"/>
      <c r="V138" s="228">
        <v>103.52</v>
      </c>
      <c r="W138" s="227">
        <v>32.9</v>
      </c>
      <c r="X138" s="175">
        <v>37.700000000000003</v>
      </c>
      <c r="Y138" s="228">
        <v>37.700000000000003</v>
      </c>
      <c r="Z138" s="67">
        <f t="shared" si="83"/>
        <v>55.01</v>
      </c>
      <c r="AA138" s="40">
        <f t="shared" si="84"/>
        <v>11.299999999999997</v>
      </c>
      <c r="AB138" s="40">
        <f t="shared" si="87"/>
        <v>43.71</v>
      </c>
      <c r="AC138" s="67">
        <v>4.3</v>
      </c>
      <c r="AD138" s="67"/>
      <c r="AE138" s="229">
        <f t="shared" si="88"/>
        <v>52.9</v>
      </c>
      <c r="AF138" s="67">
        <f t="shared" ref="AF138:AF139" si="92">ROUND((P138+N138)*$AF$1/12,2)</f>
        <v>1354.38</v>
      </c>
      <c r="AG138" s="67"/>
      <c r="AH138" s="67"/>
      <c r="AI138" s="67">
        <f t="shared" ref="AI138:AI139" si="93">ROUND(((P138+N138)/12)*0.03,2)</f>
        <v>202.85</v>
      </c>
      <c r="AJ138" s="175"/>
      <c r="AK138" s="67"/>
      <c r="AL138" s="67">
        <v>929.46</v>
      </c>
      <c r="AM138" s="67">
        <v>299.18</v>
      </c>
      <c r="AN138" s="230"/>
      <c r="AO138" s="72"/>
      <c r="AP138" s="350">
        <f t="shared" si="89"/>
        <v>81140.800000000003</v>
      </c>
      <c r="AQ138" s="350">
        <f t="shared" si="90"/>
        <v>0</v>
      </c>
      <c r="AR138" s="350">
        <f t="shared" si="91"/>
        <v>0</v>
      </c>
    </row>
    <row r="139" spans="1:44" x14ac:dyDescent="0.25">
      <c r="A139" s="1">
        <v>45</v>
      </c>
      <c r="B139" s="1">
        <v>46</v>
      </c>
      <c r="C139" s="1">
        <v>47</v>
      </c>
      <c r="D139" s="1">
        <v>51</v>
      </c>
      <c r="E139" s="1">
        <v>54</v>
      </c>
      <c r="F139" s="1">
        <v>58</v>
      </c>
      <c r="G139" s="19">
        <v>30868</v>
      </c>
      <c r="H139" s="1"/>
      <c r="I139" s="1" t="s">
        <v>65</v>
      </c>
      <c r="J139" s="1"/>
      <c r="L139" s="1">
        <v>509</v>
      </c>
      <c r="M139" s="40">
        <v>31.93</v>
      </c>
      <c r="N139" s="40">
        <f t="shared" si="85"/>
        <v>66414.399999999994</v>
      </c>
      <c r="O139" s="26">
        <f t="shared" si="82"/>
        <v>6.3159685408193935E-3</v>
      </c>
      <c r="P139" s="33">
        <f t="shared" si="86"/>
        <v>0</v>
      </c>
      <c r="Q139" s="227"/>
      <c r="R139" s="175"/>
      <c r="S139" s="175"/>
      <c r="T139" s="175">
        <v>931.64</v>
      </c>
      <c r="U139" s="175"/>
      <c r="V139" s="228">
        <v>103.52</v>
      </c>
      <c r="W139" s="227">
        <v>32.9</v>
      </c>
      <c r="X139" s="175">
        <v>37.700000000000003</v>
      </c>
      <c r="Y139" s="228">
        <v>37.700000000000003</v>
      </c>
      <c r="Z139" s="67">
        <f t="shared" si="83"/>
        <v>45.03</v>
      </c>
      <c r="AA139" s="40">
        <f t="shared" si="84"/>
        <v>11.300000000000004</v>
      </c>
      <c r="AB139" s="40">
        <f t="shared" si="87"/>
        <v>33.729999999999997</v>
      </c>
      <c r="AC139" s="67">
        <v>4.3</v>
      </c>
      <c r="AD139" s="67"/>
      <c r="AE139" s="229">
        <f t="shared" si="88"/>
        <v>43.3</v>
      </c>
      <c r="AF139" s="67">
        <f t="shared" si="92"/>
        <v>1108.57</v>
      </c>
      <c r="AG139" s="67"/>
      <c r="AH139" s="67"/>
      <c r="AI139" s="67">
        <f t="shared" si="93"/>
        <v>166.04</v>
      </c>
      <c r="AJ139" s="175"/>
      <c r="AK139" s="67"/>
      <c r="AL139" s="67">
        <v>929.46</v>
      </c>
      <c r="AM139" s="67">
        <v>299.18</v>
      </c>
      <c r="AN139" s="230"/>
      <c r="AO139" s="72"/>
      <c r="AP139" s="350">
        <f t="shared" si="89"/>
        <v>66414.399999999994</v>
      </c>
      <c r="AQ139" s="350">
        <f t="shared" si="90"/>
        <v>0</v>
      </c>
      <c r="AR139" s="350">
        <f t="shared" si="91"/>
        <v>0</v>
      </c>
    </row>
    <row r="140" spans="1:44" x14ac:dyDescent="0.25">
      <c r="A140" s="1">
        <v>50</v>
      </c>
      <c r="B140" s="1">
        <v>51</v>
      </c>
      <c r="C140" s="1">
        <v>52</v>
      </c>
      <c r="D140" s="1">
        <v>56</v>
      </c>
      <c r="E140" s="1">
        <v>59</v>
      </c>
      <c r="F140" s="1">
        <v>63</v>
      </c>
      <c r="G140" s="19">
        <v>28415</v>
      </c>
      <c r="H140" s="1" t="s">
        <v>65</v>
      </c>
      <c r="I140" s="1"/>
      <c r="J140" s="1"/>
      <c r="L140" s="1">
        <v>178</v>
      </c>
      <c r="M140" s="40">
        <v>71.540000000000006</v>
      </c>
      <c r="N140" s="40">
        <f t="shared" si="85"/>
        <v>148803.20000000001</v>
      </c>
      <c r="O140" s="26">
        <f t="shared" si="82"/>
        <v>1.41510926843163E-2</v>
      </c>
      <c r="P140" s="33">
        <f t="shared" si="86"/>
        <v>0</v>
      </c>
      <c r="Q140" s="227"/>
      <c r="R140" s="175"/>
      <c r="S140" s="175"/>
      <c r="T140" s="175">
        <v>931.64</v>
      </c>
      <c r="U140" s="175"/>
      <c r="V140" s="228">
        <v>103.52</v>
      </c>
      <c r="W140" s="227">
        <v>32.9</v>
      </c>
      <c r="X140" s="175">
        <v>37.700000000000003</v>
      </c>
      <c r="Y140" s="228">
        <v>37.700000000000003</v>
      </c>
      <c r="Z140" s="67">
        <f t="shared" si="83"/>
        <v>100.89</v>
      </c>
      <c r="AA140" s="40">
        <f t="shared" si="84"/>
        <v>11.299999999999997</v>
      </c>
      <c r="AB140" s="40">
        <f t="shared" si="87"/>
        <v>89.59</v>
      </c>
      <c r="AC140" s="67">
        <v>6.6</v>
      </c>
      <c r="AD140" s="67"/>
      <c r="AE140" s="229">
        <f>ROUND((P140+N140)*$AE$1/100,2)</f>
        <v>97.02</v>
      </c>
      <c r="AF140" s="67"/>
      <c r="AG140" s="67">
        <f>ROUND((P140+N140)*$AG$1/12,2)</f>
        <v>2483.77</v>
      </c>
      <c r="AH140" s="67"/>
      <c r="AI140" s="67"/>
      <c r="AJ140" s="67">
        <f>ROUND(((P140+N140)/12)*0.03,2)</f>
        <v>372.01</v>
      </c>
      <c r="AK140" s="67"/>
      <c r="AL140" s="67">
        <v>929.46</v>
      </c>
      <c r="AM140" s="67">
        <v>299.18</v>
      </c>
      <c r="AN140" s="230"/>
      <c r="AO140" s="72"/>
      <c r="AP140" s="350">
        <f t="shared" si="89"/>
        <v>0</v>
      </c>
      <c r="AQ140" s="350">
        <f t="shared" si="90"/>
        <v>148803.20000000001</v>
      </c>
      <c r="AR140" s="350">
        <f t="shared" si="91"/>
        <v>0</v>
      </c>
    </row>
    <row r="141" spans="1:44" x14ac:dyDescent="0.25">
      <c r="A141" s="1">
        <v>46</v>
      </c>
      <c r="B141" s="1">
        <v>47</v>
      </c>
      <c r="C141" s="1">
        <v>48</v>
      </c>
      <c r="D141" s="1">
        <v>52</v>
      </c>
      <c r="E141" s="1">
        <v>55</v>
      </c>
      <c r="F141" s="1">
        <v>59</v>
      </c>
      <c r="G141" s="19">
        <v>33273</v>
      </c>
      <c r="H141" s="1"/>
      <c r="I141" s="1" t="s">
        <v>65</v>
      </c>
      <c r="J141" s="1"/>
      <c r="L141" s="1">
        <v>421</v>
      </c>
      <c r="M141" s="40">
        <v>32.549999999999997</v>
      </c>
      <c r="N141" s="40">
        <f t="shared" si="85"/>
        <v>67704</v>
      </c>
      <c r="O141" s="26">
        <f t="shared" si="82"/>
        <v>6.4386087066605471E-3</v>
      </c>
      <c r="P141" s="33">
        <f t="shared" si="86"/>
        <v>0</v>
      </c>
      <c r="Q141" s="227"/>
      <c r="R141" s="175"/>
      <c r="S141" s="175"/>
      <c r="T141" s="175">
        <v>931.64</v>
      </c>
      <c r="U141" s="175"/>
      <c r="V141" s="228">
        <v>103.52</v>
      </c>
      <c r="W141" s="227">
        <v>32.9</v>
      </c>
      <c r="X141" s="175"/>
      <c r="Y141" s="228"/>
      <c r="Z141" s="67">
        <f t="shared" si="83"/>
        <v>45.9</v>
      </c>
      <c r="AA141" s="40">
        <f t="shared" si="84"/>
        <v>11.299999999999997</v>
      </c>
      <c r="AB141" s="40">
        <f t="shared" si="87"/>
        <v>34.6</v>
      </c>
      <c r="AC141" s="67">
        <v>4.3</v>
      </c>
      <c r="AD141" s="67"/>
      <c r="AE141" s="229">
        <f t="shared" si="88"/>
        <v>44.14</v>
      </c>
      <c r="AF141" s="67">
        <f t="shared" ref="AF141:AF142" si="94">ROUND((P141+N141)*$AF$1/12,2)</f>
        <v>1130.0899999999999</v>
      </c>
      <c r="AG141" s="67"/>
      <c r="AH141" s="67"/>
      <c r="AI141" s="67">
        <f t="shared" ref="AI141:AI142" si="95">ROUND(((P141+N141)/12)*0.03,2)</f>
        <v>169.26</v>
      </c>
      <c r="AJ141" s="175"/>
      <c r="AK141" s="67"/>
      <c r="AL141" s="67">
        <v>929.46</v>
      </c>
      <c r="AM141" s="67">
        <v>299.18</v>
      </c>
      <c r="AN141" s="230"/>
      <c r="AO141" s="72"/>
      <c r="AP141" s="350">
        <f t="shared" si="89"/>
        <v>67704</v>
      </c>
      <c r="AQ141" s="350">
        <f t="shared" si="90"/>
        <v>0</v>
      </c>
      <c r="AR141" s="350">
        <f t="shared" si="91"/>
        <v>0</v>
      </c>
    </row>
    <row r="142" spans="1:44" x14ac:dyDescent="0.25">
      <c r="A142" s="1">
        <v>50</v>
      </c>
      <c r="B142" s="1">
        <v>51</v>
      </c>
      <c r="C142" s="1">
        <v>52</v>
      </c>
      <c r="D142" s="1">
        <v>56</v>
      </c>
      <c r="E142" s="1">
        <v>59</v>
      </c>
      <c r="F142" s="1">
        <v>63</v>
      </c>
      <c r="G142" s="19">
        <v>31715</v>
      </c>
      <c r="H142" s="1"/>
      <c r="I142" s="1" t="s">
        <v>65</v>
      </c>
      <c r="J142" s="1"/>
      <c r="L142" s="1">
        <v>612</v>
      </c>
      <c r="M142" s="40">
        <v>33.25</v>
      </c>
      <c r="N142" s="40">
        <f t="shared" si="85"/>
        <v>69160</v>
      </c>
      <c r="O142" s="26">
        <f t="shared" si="82"/>
        <v>6.5770734100295911E-3</v>
      </c>
      <c r="P142" s="33">
        <f t="shared" si="86"/>
        <v>0</v>
      </c>
      <c r="Q142" s="227">
        <v>1262.01</v>
      </c>
      <c r="R142" s="175"/>
      <c r="S142" s="175"/>
      <c r="T142" s="175"/>
      <c r="U142" s="175"/>
      <c r="V142" s="228">
        <v>140.22</v>
      </c>
      <c r="W142" s="227">
        <v>32.9</v>
      </c>
      <c r="X142" s="175">
        <v>37.700000000000003</v>
      </c>
      <c r="Y142" s="228">
        <v>37.700000000000003</v>
      </c>
      <c r="Z142" s="67">
        <f t="shared" si="83"/>
        <v>46.89</v>
      </c>
      <c r="AA142" s="40">
        <f>+Z142-AB142</f>
        <v>11.299999999999997</v>
      </c>
      <c r="AB142" s="40">
        <f>ROUND((((N142+P142)*3)-$AB$5)*$Z$2,2)</f>
        <v>35.590000000000003</v>
      </c>
      <c r="AC142" s="67">
        <v>6.6</v>
      </c>
      <c r="AD142" s="67">
        <v>1</v>
      </c>
      <c r="AE142" s="229">
        <f t="shared" si="88"/>
        <v>45.09</v>
      </c>
      <c r="AF142" s="67">
        <f t="shared" si="94"/>
        <v>1154.4000000000001</v>
      </c>
      <c r="AG142" s="67"/>
      <c r="AH142" s="67"/>
      <c r="AI142" s="67">
        <f t="shared" si="95"/>
        <v>172.9</v>
      </c>
      <c r="AJ142" s="175"/>
      <c r="AK142" s="67"/>
      <c r="AL142" s="67">
        <v>929.46</v>
      </c>
      <c r="AM142" s="67">
        <v>299.18</v>
      </c>
      <c r="AN142" s="230"/>
      <c r="AO142" s="72"/>
      <c r="AP142" s="350">
        <f t="shared" si="89"/>
        <v>69160</v>
      </c>
      <c r="AQ142" s="350">
        <f t="shared" si="90"/>
        <v>0</v>
      </c>
      <c r="AR142" s="350">
        <f t="shared" si="91"/>
        <v>0</v>
      </c>
    </row>
    <row r="143" spans="1:44" x14ac:dyDescent="0.25">
      <c r="A143" s="1"/>
      <c r="B143" s="1"/>
      <c r="C143" s="1"/>
      <c r="D143" s="1">
        <v>39</v>
      </c>
      <c r="E143" s="1">
        <v>42</v>
      </c>
      <c r="F143" s="1">
        <v>46</v>
      </c>
      <c r="G143" s="19">
        <v>39853</v>
      </c>
      <c r="H143" s="1"/>
      <c r="I143" s="1"/>
      <c r="J143" s="1" t="s">
        <v>65</v>
      </c>
      <c r="L143" s="1">
        <v>642</v>
      </c>
      <c r="M143" s="40">
        <v>20.86</v>
      </c>
      <c r="N143" s="40">
        <f t="shared" si="85"/>
        <v>43388.799999999996</v>
      </c>
      <c r="O143" s="26">
        <f t="shared" si="82"/>
        <v>4.1262481603975111E-3</v>
      </c>
      <c r="P143" s="33">
        <f t="shared" si="86"/>
        <v>0</v>
      </c>
      <c r="Q143" s="227">
        <v>1262.01</v>
      </c>
      <c r="R143" s="175"/>
      <c r="S143" s="175"/>
      <c r="T143" s="175"/>
      <c r="U143" s="175"/>
      <c r="V143" s="228">
        <v>140.22</v>
      </c>
      <c r="W143" s="227">
        <v>32.9</v>
      </c>
      <c r="X143" s="175">
        <v>37.700000000000003</v>
      </c>
      <c r="Y143" s="228">
        <v>37.700000000000003</v>
      </c>
      <c r="Z143" s="67">
        <f>ROUND((N143+P143)*3*$Z$2,2)</f>
        <v>29.42</v>
      </c>
      <c r="AA143" s="40">
        <f t="shared" si="84"/>
        <v>11.3</v>
      </c>
      <c r="AB143" s="40">
        <f>ROUND((((N143+P143)*3)-$AB$5)*$Z$2,2)</f>
        <v>18.12</v>
      </c>
      <c r="AC143" s="67">
        <v>1.5</v>
      </c>
      <c r="AD143" s="67">
        <v>1</v>
      </c>
      <c r="AE143" s="229">
        <f t="shared" si="88"/>
        <v>28.29</v>
      </c>
      <c r="AF143" s="67"/>
      <c r="AG143" s="67"/>
      <c r="AH143" s="67">
        <f>ROUND((P143+N143)*$AH$1/12,2)</f>
        <v>646.13</v>
      </c>
      <c r="AI143" s="67"/>
      <c r="AJ143" s="175"/>
      <c r="AK143" s="67">
        <f>ROUND(((N143+P143)/12)*0.03,2)</f>
        <v>108.47</v>
      </c>
      <c r="AL143" s="67">
        <v>929.46</v>
      </c>
      <c r="AM143" s="67">
        <v>299.18</v>
      </c>
      <c r="AN143" s="230"/>
      <c r="AO143" s="72"/>
      <c r="AP143" s="350">
        <f t="shared" si="89"/>
        <v>0</v>
      </c>
      <c r="AQ143" s="350">
        <f t="shared" si="90"/>
        <v>0</v>
      </c>
      <c r="AR143" s="350">
        <f t="shared" si="91"/>
        <v>43388.799999999996</v>
      </c>
    </row>
    <row r="144" spans="1:44" x14ac:dyDescent="0.25">
      <c r="A144" s="1">
        <v>47</v>
      </c>
      <c r="B144" s="1">
        <v>48</v>
      </c>
      <c r="C144" s="1">
        <v>49</v>
      </c>
      <c r="D144" s="1">
        <v>53</v>
      </c>
      <c r="E144" s="1">
        <v>56</v>
      </c>
      <c r="F144" s="1">
        <v>60</v>
      </c>
      <c r="G144" s="19">
        <v>30809</v>
      </c>
      <c r="H144" s="1"/>
      <c r="I144" s="1" t="s">
        <v>65</v>
      </c>
      <c r="J144" s="1"/>
      <c r="L144" s="1">
        <v>120</v>
      </c>
      <c r="M144" s="40">
        <v>26.16</v>
      </c>
      <c r="N144" s="40">
        <f t="shared" si="85"/>
        <v>54412.800000000003</v>
      </c>
      <c r="O144" s="26">
        <f t="shared" si="82"/>
        <v>5.1746237716202743E-3</v>
      </c>
      <c r="P144" s="33">
        <f t="shared" si="86"/>
        <v>0</v>
      </c>
      <c r="Q144" s="227"/>
      <c r="R144" s="175"/>
      <c r="S144" s="175"/>
      <c r="T144" s="175">
        <v>931.64</v>
      </c>
      <c r="U144" s="175"/>
      <c r="V144" s="228">
        <v>103.52</v>
      </c>
      <c r="W144" s="227">
        <v>32.9</v>
      </c>
      <c r="X144" s="175">
        <v>37.700000000000003</v>
      </c>
      <c r="Y144" s="228">
        <v>37.700000000000003</v>
      </c>
      <c r="Z144" s="67">
        <f t="shared" si="83"/>
        <v>36.89</v>
      </c>
      <c r="AA144" s="40">
        <f>+Z144-AB144</f>
        <v>11.3</v>
      </c>
      <c r="AB144" s="40">
        <f t="shared" si="87"/>
        <v>25.59</v>
      </c>
      <c r="AC144" s="67">
        <v>4.3</v>
      </c>
      <c r="AD144" s="67"/>
      <c r="AE144" s="229">
        <f t="shared" si="88"/>
        <v>35.479999999999997</v>
      </c>
      <c r="AF144" s="67">
        <f>ROUND((P144+N144)*$AF$1/12,2)</f>
        <v>908.24</v>
      </c>
      <c r="AG144" s="67"/>
      <c r="AH144" s="67"/>
      <c r="AI144" s="67">
        <f>ROUND(((P144+N144)/12)*0.03,2)</f>
        <v>136.03</v>
      </c>
      <c r="AJ144" s="175"/>
      <c r="AK144" s="67"/>
      <c r="AL144" s="67">
        <v>929.46</v>
      </c>
      <c r="AM144" s="67">
        <v>299.18</v>
      </c>
      <c r="AN144" s="230"/>
      <c r="AO144" s="72"/>
      <c r="AP144" s="350">
        <f t="shared" si="89"/>
        <v>54412.800000000003</v>
      </c>
      <c r="AQ144" s="350">
        <f t="shared" si="90"/>
        <v>0</v>
      </c>
      <c r="AR144" s="350">
        <f t="shared" si="91"/>
        <v>0</v>
      </c>
    </row>
    <row r="145" spans="1:44" x14ac:dyDescent="0.25">
      <c r="A145" s="1"/>
      <c r="B145" s="1"/>
      <c r="C145" s="1"/>
      <c r="D145" s="1"/>
      <c r="E145" s="1"/>
      <c r="F145" s="1">
        <v>27</v>
      </c>
      <c r="G145" s="19">
        <v>41561</v>
      </c>
      <c r="H145" s="1"/>
      <c r="I145" s="1"/>
      <c r="J145" s="1" t="s">
        <v>65</v>
      </c>
      <c r="L145" s="1">
        <v>663</v>
      </c>
      <c r="M145" s="40">
        <v>21.01</v>
      </c>
      <c r="N145" s="40">
        <f t="shared" si="85"/>
        <v>43700.800000000003</v>
      </c>
      <c r="O145" s="26">
        <f t="shared" si="82"/>
        <v>4.155919168262307E-3</v>
      </c>
      <c r="P145" s="33">
        <f t="shared" si="86"/>
        <v>0</v>
      </c>
      <c r="Q145" s="227">
        <v>1262.01</v>
      </c>
      <c r="R145" s="175"/>
      <c r="S145" s="175"/>
      <c r="T145" s="175"/>
      <c r="U145" s="175"/>
      <c r="V145" s="228">
        <v>140.22</v>
      </c>
      <c r="W145" s="227">
        <v>32.9</v>
      </c>
      <c r="X145" s="175">
        <v>37.700000000000003</v>
      </c>
      <c r="Y145" s="228">
        <v>37.700000000000003</v>
      </c>
      <c r="Z145" s="67">
        <f t="shared" si="83"/>
        <v>29.63</v>
      </c>
      <c r="AA145" s="40">
        <f t="shared" si="84"/>
        <v>11.3</v>
      </c>
      <c r="AB145" s="40">
        <f t="shared" si="87"/>
        <v>18.329999999999998</v>
      </c>
      <c r="AC145" s="67">
        <v>0.6</v>
      </c>
      <c r="AD145" s="67">
        <v>1</v>
      </c>
      <c r="AE145" s="229">
        <f>ROUND((P145+N145)*$AE$1/100,2)</f>
        <v>28.49</v>
      </c>
      <c r="AF145" s="67"/>
      <c r="AG145" s="67"/>
      <c r="AH145" s="67">
        <f t="shared" ref="AH145:AH146" si="96">ROUND((P145+N145)*$AH$1/12,2)</f>
        <v>650.78</v>
      </c>
      <c r="AI145" s="67"/>
      <c r="AJ145" s="175"/>
      <c r="AK145" s="67">
        <f t="shared" ref="AK145:AK146" si="97">ROUND(((N145+P145)/12)*0.03,2)</f>
        <v>109.25</v>
      </c>
      <c r="AL145" s="67">
        <v>929.46</v>
      </c>
      <c r="AM145" s="67">
        <v>299.18</v>
      </c>
      <c r="AN145" s="230"/>
      <c r="AO145" s="72"/>
      <c r="AP145" s="350">
        <f t="shared" si="89"/>
        <v>0</v>
      </c>
      <c r="AQ145" s="350">
        <f t="shared" si="90"/>
        <v>0</v>
      </c>
      <c r="AR145" s="350">
        <f t="shared" si="91"/>
        <v>43700.800000000003</v>
      </c>
    </row>
    <row r="146" spans="1:44" x14ac:dyDescent="0.25">
      <c r="A146" s="1">
        <v>49</v>
      </c>
      <c r="B146" s="1">
        <v>50</v>
      </c>
      <c r="C146" s="1">
        <v>51</v>
      </c>
      <c r="D146" s="1">
        <v>55</v>
      </c>
      <c r="E146" s="1">
        <v>58</v>
      </c>
      <c r="F146" s="1">
        <v>62</v>
      </c>
      <c r="G146" s="19">
        <v>32580</v>
      </c>
      <c r="H146" s="1" t="s">
        <v>65</v>
      </c>
      <c r="I146" s="1"/>
      <c r="J146" s="1"/>
      <c r="L146" s="1">
        <v>379</v>
      </c>
      <c r="M146" s="40">
        <v>27.96</v>
      </c>
      <c r="N146" s="40">
        <f t="shared" si="85"/>
        <v>58156.800000000003</v>
      </c>
      <c r="O146" s="26">
        <f t="shared" si="82"/>
        <v>5.5306758659978156E-3</v>
      </c>
      <c r="P146" s="33">
        <f t="shared" si="86"/>
        <v>0</v>
      </c>
      <c r="Q146" s="227"/>
      <c r="R146" s="175">
        <v>371.25</v>
      </c>
      <c r="S146" s="175"/>
      <c r="T146" s="175"/>
      <c r="U146" s="175"/>
      <c r="V146" s="228">
        <v>41.25</v>
      </c>
      <c r="W146" s="227">
        <v>32.9</v>
      </c>
      <c r="X146" s="175"/>
      <c r="Y146" s="228"/>
      <c r="Z146" s="67">
        <f t="shared" si="83"/>
        <v>39.43</v>
      </c>
      <c r="AA146" s="40">
        <f t="shared" si="84"/>
        <v>11.3</v>
      </c>
      <c r="AB146" s="40">
        <f t="shared" si="87"/>
        <v>28.13</v>
      </c>
      <c r="AC146" s="67"/>
      <c r="AD146" s="67"/>
      <c r="AE146" s="229">
        <f>ROUND((P146+N146)*$AE$1/100,2)</f>
        <v>37.92</v>
      </c>
      <c r="AF146" s="67"/>
      <c r="AG146" s="67"/>
      <c r="AH146" s="67">
        <f t="shared" si="96"/>
        <v>866.05</v>
      </c>
      <c r="AI146" s="67"/>
      <c r="AJ146" s="175"/>
      <c r="AK146" s="67">
        <f t="shared" si="97"/>
        <v>145.38999999999999</v>
      </c>
      <c r="AL146" s="67">
        <v>929.46</v>
      </c>
      <c r="AM146" s="67">
        <v>299.18</v>
      </c>
      <c r="AN146" s="230"/>
      <c r="AO146" s="72"/>
      <c r="AP146" s="350">
        <f t="shared" si="89"/>
        <v>0</v>
      </c>
      <c r="AQ146" s="350">
        <f t="shared" si="90"/>
        <v>0</v>
      </c>
      <c r="AR146" s="350">
        <f t="shared" si="91"/>
        <v>58156.800000000003</v>
      </c>
    </row>
    <row r="147" spans="1:44" x14ac:dyDescent="0.25">
      <c r="A147" s="1">
        <v>46</v>
      </c>
      <c r="B147" s="1">
        <v>47</v>
      </c>
      <c r="C147" s="1">
        <v>48</v>
      </c>
      <c r="D147" s="1">
        <v>52</v>
      </c>
      <c r="E147" s="1">
        <v>55</v>
      </c>
      <c r="F147" s="1">
        <v>59</v>
      </c>
      <c r="G147" s="19">
        <v>31188</v>
      </c>
      <c r="H147" s="1" t="s">
        <v>65</v>
      </c>
      <c r="I147" s="1"/>
      <c r="J147" s="1"/>
      <c r="L147" s="1">
        <v>348</v>
      </c>
      <c r="M147" s="40">
        <v>33.049999999999997</v>
      </c>
      <c r="N147" s="40">
        <f t="shared" si="85"/>
        <v>68744</v>
      </c>
      <c r="O147" s="26">
        <f t="shared" si="82"/>
        <v>6.5375120662098645E-3</v>
      </c>
      <c r="P147" s="33">
        <f t="shared" si="86"/>
        <v>0</v>
      </c>
      <c r="Q147" s="227">
        <v>1262.01</v>
      </c>
      <c r="R147" s="175"/>
      <c r="S147" s="175"/>
      <c r="T147" s="175"/>
      <c r="U147" s="175"/>
      <c r="V147" s="228">
        <v>140.22</v>
      </c>
      <c r="W147" s="227">
        <v>32.9</v>
      </c>
      <c r="X147" s="175">
        <v>37.700000000000003</v>
      </c>
      <c r="Y147" s="228">
        <v>37.700000000000003</v>
      </c>
      <c r="Z147" s="67">
        <f t="shared" si="83"/>
        <v>46.61</v>
      </c>
      <c r="AA147" s="40">
        <f t="shared" si="84"/>
        <v>11.299999999999997</v>
      </c>
      <c r="AB147" s="40">
        <f t="shared" si="87"/>
        <v>35.31</v>
      </c>
      <c r="AC147" s="67">
        <v>4.3</v>
      </c>
      <c r="AD147" s="67">
        <v>1</v>
      </c>
      <c r="AE147" s="229">
        <f t="shared" si="88"/>
        <v>44.82</v>
      </c>
      <c r="AF147" s="67"/>
      <c r="AG147" s="67">
        <f>ROUND((P147+N147)*$AG$1/12,2)</f>
        <v>1147.45</v>
      </c>
      <c r="AH147" s="67"/>
      <c r="AI147" s="67"/>
      <c r="AJ147" s="67">
        <f>ROUND(((P147+N147)/12)*0.03,2)</f>
        <v>171.86</v>
      </c>
      <c r="AK147" s="67"/>
      <c r="AL147" s="67">
        <v>929.46</v>
      </c>
      <c r="AM147" s="67">
        <v>299.18</v>
      </c>
      <c r="AN147" s="230"/>
      <c r="AO147" s="72"/>
      <c r="AP147" s="350">
        <f t="shared" si="89"/>
        <v>0</v>
      </c>
      <c r="AQ147" s="350">
        <f t="shared" si="90"/>
        <v>68744</v>
      </c>
      <c r="AR147" s="350">
        <f t="shared" si="91"/>
        <v>0</v>
      </c>
    </row>
    <row r="148" spans="1:44" x14ac:dyDescent="0.25">
      <c r="A148" s="1"/>
      <c r="B148" s="1"/>
      <c r="C148" s="1"/>
      <c r="D148" s="1"/>
      <c r="E148" s="1"/>
      <c r="F148" s="1">
        <v>22</v>
      </c>
      <c r="G148" s="19">
        <v>40980</v>
      </c>
      <c r="H148" s="1"/>
      <c r="I148" s="1"/>
      <c r="J148" s="1" t="s">
        <v>65</v>
      </c>
      <c r="L148" s="1">
        <v>654</v>
      </c>
      <c r="M148" s="40">
        <v>26.95</v>
      </c>
      <c r="N148" s="40">
        <f t="shared" si="85"/>
        <v>56056</v>
      </c>
      <c r="O148" s="26">
        <f t="shared" si="82"/>
        <v>5.3308910797081948E-3</v>
      </c>
      <c r="P148" s="33">
        <f t="shared" si="86"/>
        <v>0</v>
      </c>
      <c r="Q148" s="227"/>
      <c r="R148" s="175">
        <v>371.25</v>
      </c>
      <c r="S148" s="175"/>
      <c r="T148" s="175"/>
      <c r="U148" s="175"/>
      <c r="V148" s="228">
        <v>41.25</v>
      </c>
      <c r="W148" s="227">
        <v>32.9</v>
      </c>
      <c r="X148" s="175"/>
      <c r="Y148" s="228"/>
      <c r="Z148" s="67">
        <f t="shared" si="83"/>
        <v>38.01</v>
      </c>
      <c r="AA148" s="40">
        <f t="shared" si="84"/>
        <v>11.299999999999997</v>
      </c>
      <c r="AB148" s="40">
        <f t="shared" si="87"/>
        <v>26.71</v>
      </c>
      <c r="AC148" s="67"/>
      <c r="AD148" s="67"/>
      <c r="AE148" s="229">
        <f t="shared" si="88"/>
        <v>36.549999999999997</v>
      </c>
      <c r="AF148" s="67"/>
      <c r="AG148" s="67"/>
      <c r="AH148" s="67">
        <f>ROUND((P148+N148)*$AH$1/12,2)</f>
        <v>834.77</v>
      </c>
      <c r="AI148" s="67"/>
      <c r="AJ148" s="175"/>
      <c r="AK148" s="67">
        <f>ROUND(((N148+P148)/12)*0.03,2)</f>
        <v>140.13999999999999</v>
      </c>
      <c r="AL148" s="67">
        <v>929.46</v>
      </c>
      <c r="AM148" s="67">
        <v>299.18</v>
      </c>
      <c r="AN148" s="230"/>
      <c r="AO148" s="72"/>
      <c r="AP148" s="350">
        <f t="shared" si="89"/>
        <v>0</v>
      </c>
      <c r="AQ148" s="350">
        <f t="shared" si="90"/>
        <v>0</v>
      </c>
      <c r="AR148" s="350">
        <f t="shared" si="91"/>
        <v>56056</v>
      </c>
    </row>
    <row r="149" spans="1:44" x14ac:dyDescent="0.25">
      <c r="A149" s="1">
        <v>48</v>
      </c>
      <c r="B149" s="1">
        <v>49</v>
      </c>
      <c r="C149" s="1">
        <v>50</v>
      </c>
      <c r="D149" s="1">
        <v>54</v>
      </c>
      <c r="E149" s="1">
        <v>57</v>
      </c>
      <c r="F149" s="1">
        <v>61</v>
      </c>
      <c r="G149" s="19">
        <v>26581</v>
      </c>
      <c r="H149" s="1" t="s">
        <v>65</v>
      </c>
      <c r="I149" s="1"/>
      <c r="J149" s="1"/>
      <c r="L149" s="1">
        <v>146</v>
      </c>
      <c r="M149" s="40">
        <v>25.44</v>
      </c>
      <c r="N149" s="40">
        <f t="shared" si="85"/>
        <v>52915.200000000004</v>
      </c>
      <c r="O149" s="26">
        <f t="shared" ref="O149:O155" si="98">+N149/$N$159</f>
        <v>5.0322029338692575E-3</v>
      </c>
      <c r="P149" s="33">
        <f t="shared" si="86"/>
        <v>0</v>
      </c>
      <c r="Q149" s="227"/>
      <c r="R149" s="175"/>
      <c r="S149" s="175"/>
      <c r="T149" s="175">
        <v>931.64</v>
      </c>
      <c r="U149" s="175"/>
      <c r="V149" s="228">
        <v>103.52</v>
      </c>
      <c r="W149" s="227">
        <v>32.9</v>
      </c>
      <c r="X149" s="175">
        <v>37.700000000000003</v>
      </c>
      <c r="Y149" s="228">
        <v>37.700000000000003</v>
      </c>
      <c r="Z149" s="67">
        <f t="shared" si="83"/>
        <v>35.880000000000003</v>
      </c>
      <c r="AA149" s="40">
        <f t="shared" si="84"/>
        <v>11.300000000000004</v>
      </c>
      <c r="AB149" s="40">
        <f t="shared" si="87"/>
        <v>24.58</v>
      </c>
      <c r="AC149" s="67">
        <v>6.6</v>
      </c>
      <c r="AD149" s="67"/>
      <c r="AE149" s="229">
        <f t="shared" si="88"/>
        <v>34.5</v>
      </c>
      <c r="AF149" s="67"/>
      <c r="AG149" s="67">
        <f>ROUND((P149+N149)*$AG$1/12,2)</f>
        <v>883.24</v>
      </c>
      <c r="AH149" s="67"/>
      <c r="AI149" s="67"/>
      <c r="AJ149" s="67">
        <f>ROUND(((P149+N149)/12)*0.03,2)</f>
        <v>132.29</v>
      </c>
      <c r="AK149" s="67"/>
      <c r="AL149" s="67">
        <v>929.46</v>
      </c>
      <c r="AM149" s="67">
        <v>299.18</v>
      </c>
      <c r="AN149" s="230"/>
      <c r="AO149" s="72"/>
      <c r="AP149" s="350">
        <f t="shared" si="89"/>
        <v>0</v>
      </c>
      <c r="AQ149" s="350">
        <f t="shared" si="90"/>
        <v>52915.200000000004</v>
      </c>
      <c r="AR149" s="350">
        <f t="shared" si="91"/>
        <v>0</v>
      </c>
    </row>
    <row r="150" spans="1:44" x14ac:dyDescent="0.25">
      <c r="A150" s="1"/>
      <c r="B150" s="1">
        <v>27</v>
      </c>
      <c r="C150" s="1">
        <v>28</v>
      </c>
      <c r="D150" s="1">
        <v>32</v>
      </c>
      <c r="E150" s="1">
        <v>35</v>
      </c>
      <c r="F150" s="1">
        <v>39</v>
      </c>
      <c r="G150" s="19">
        <v>37991</v>
      </c>
      <c r="H150" s="1"/>
      <c r="I150" s="1"/>
      <c r="J150" s="1" t="s">
        <v>65</v>
      </c>
      <c r="L150" s="1">
        <v>580</v>
      </c>
      <c r="M150" s="40">
        <v>25.92</v>
      </c>
      <c r="N150" s="40">
        <f t="shared" si="85"/>
        <v>53913.600000000006</v>
      </c>
      <c r="O150" s="26">
        <f t="shared" si="98"/>
        <v>5.1271501590366021E-3</v>
      </c>
      <c r="P150" s="33">
        <f t="shared" si="86"/>
        <v>0</v>
      </c>
      <c r="Q150" s="227">
        <v>1262.01</v>
      </c>
      <c r="R150" s="175"/>
      <c r="S150" s="175"/>
      <c r="T150" s="175"/>
      <c r="U150" s="175"/>
      <c r="V150" s="228">
        <v>140.22</v>
      </c>
      <c r="W150" s="227">
        <v>32.9</v>
      </c>
      <c r="X150" s="175">
        <v>37.700000000000003</v>
      </c>
      <c r="Y150" s="228">
        <v>37.700000000000003</v>
      </c>
      <c r="Z150" s="67">
        <f>ROUND((N150+P150)*3*$Z$2,2)</f>
        <v>36.549999999999997</v>
      </c>
      <c r="AA150" s="40">
        <f t="shared" si="84"/>
        <v>11.299999999999997</v>
      </c>
      <c r="AB150" s="40">
        <f t="shared" si="87"/>
        <v>25.25</v>
      </c>
      <c r="AC150" s="67">
        <v>0.9</v>
      </c>
      <c r="AD150" s="67">
        <v>1</v>
      </c>
      <c r="AE150" s="229">
        <f t="shared" si="88"/>
        <v>35.15</v>
      </c>
      <c r="AF150" s="67"/>
      <c r="AG150" s="67"/>
      <c r="AH150" s="67">
        <f t="shared" ref="AH150:AH151" si="99">ROUND((P150+N150)*$AH$1/12,2)</f>
        <v>802.86</v>
      </c>
      <c r="AI150" s="67"/>
      <c r="AJ150" s="175"/>
      <c r="AK150" s="67">
        <f t="shared" ref="AK150:AK151" si="100">ROUND(((N150+P150)/12)*0.03,2)</f>
        <v>134.78</v>
      </c>
      <c r="AL150" s="67">
        <v>929.46</v>
      </c>
      <c r="AM150" s="67">
        <v>299.18</v>
      </c>
      <c r="AN150" s="230"/>
      <c r="AO150" s="72"/>
      <c r="AP150" s="350">
        <f t="shared" si="89"/>
        <v>0</v>
      </c>
      <c r="AQ150" s="350">
        <f t="shared" si="90"/>
        <v>0</v>
      </c>
      <c r="AR150" s="350">
        <f t="shared" si="91"/>
        <v>53913.600000000006</v>
      </c>
    </row>
    <row r="151" spans="1:44" x14ac:dyDescent="0.25">
      <c r="A151" s="1"/>
      <c r="B151" s="1"/>
      <c r="C151" s="1"/>
      <c r="D151" s="1"/>
      <c r="E151" s="1"/>
      <c r="F151" s="1">
        <v>26</v>
      </c>
      <c r="G151" s="19">
        <v>41981</v>
      </c>
      <c r="H151" s="1"/>
      <c r="I151" s="1"/>
      <c r="J151" s="1" t="s">
        <v>65</v>
      </c>
      <c r="L151" s="1">
        <v>678</v>
      </c>
      <c r="M151" s="40">
        <v>20.440000000000001</v>
      </c>
      <c r="N151" s="40">
        <f t="shared" si="85"/>
        <v>42515.200000000004</v>
      </c>
      <c r="O151" s="26">
        <f t="shared" si="98"/>
        <v>4.0431693383760859E-3</v>
      </c>
      <c r="P151" s="33">
        <f>+$P$5*O151</f>
        <v>0</v>
      </c>
      <c r="Q151" s="227">
        <v>1262.01</v>
      </c>
      <c r="R151" s="175"/>
      <c r="S151" s="175"/>
      <c r="T151" s="175"/>
      <c r="U151" s="175"/>
      <c r="V151" s="228">
        <v>140.22</v>
      </c>
      <c r="W151" s="227">
        <v>32.9</v>
      </c>
      <c r="X151" s="175">
        <v>37.700000000000003</v>
      </c>
      <c r="Y151" s="228">
        <v>37.700000000000003</v>
      </c>
      <c r="Z151" s="67">
        <f t="shared" si="83"/>
        <v>28.83</v>
      </c>
      <c r="AA151" s="40">
        <f t="shared" si="84"/>
        <v>11.299999999999997</v>
      </c>
      <c r="AB151" s="40">
        <f t="shared" si="87"/>
        <v>17.53</v>
      </c>
      <c r="AC151" s="67">
        <v>0.6</v>
      </c>
      <c r="AD151" s="67">
        <v>1</v>
      </c>
      <c r="AE151" s="229">
        <f t="shared" si="88"/>
        <v>27.72</v>
      </c>
      <c r="AF151" s="67"/>
      <c r="AG151" s="67"/>
      <c r="AH151" s="67">
        <f t="shared" si="99"/>
        <v>633.12</v>
      </c>
      <c r="AI151" s="67"/>
      <c r="AJ151" s="175"/>
      <c r="AK151" s="67">
        <f t="shared" si="100"/>
        <v>106.29</v>
      </c>
      <c r="AL151" s="67">
        <v>929.46</v>
      </c>
      <c r="AM151" s="67">
        <v>299.18</v>
      </c>
      <c r="AN151" s="230"/>
      <c r="AO151" s="72"/>
      <c r="AP151" s="350">
        <f t="shared" si="89"/>
        <v>0</v>
      </c>
      <c r="AQ151" s="350">
        <f t="shared" si="90"/>
        <v>0</v>
      </c>
      <c r="AR151" s="350">
        <f t="shared" si="91"/>
        <v>42515.200000000004</v>
      </c>
    </row>
    <row r="152" spans="1:44" x14ac:dyDescent="0.25">
      <c r="A152" s="1">
        <v>46</v>
      </c>
      <c r="B152" s="1">
        <v>47</v>
      </c>
      <c r="C152" s="1">
        <v>48</v>
      </c>
      <c r="D152" s="1">
        <v>52</v>
      </c>
      <c r="E152" s="1">
        <v>55</v>
      </c>
      <c r="F152" s="1">
        <v>59</v>
      </c>
      <c r="G152" s="19">
        <v>28128</v>
      </c>
      <c r="H152" s="1" t="s">
        <v>65</v>
      </c>
      <c r="I152" s="1"/>
      <c r="J152" s="1"/>
      <c r="L152" s="1">
        <v>227</v>
      </c>
      <c r="M152" s="40">
        <v>33.590000000000003</v>
      </c>
      <c r="N152" s="40">
        <f t="shared" si="85"/>
        <v>69867.200000000012</v>
      </c>
      <c r="O152" s="26">
        <f t="shared" si="98"/>
        <v>6.6443276945231276E-3</v>
      </c>
      <c r="P152" s="33">
        <f t="shared" si="86"/>
        <v>0</v>
      </c>
      <c r="Q152" s="227"/>
      <c r="R152" s="175"/>
      <c r="S152" s="175"/>
      <c r="T152" s="175">
        <v>931.64</v>
      </c>
      <c r="U152" s="175"/>
      <c r="V152" s="228">
        <v>103.52</v>
      </c>
      <c r="W152" s="227">
        <v>32.9</v>
      </c>
      <c r="X152" s="175"/>
      <c r="Y152" s="228"/>
      <c r="Z152" s="67">
        <f t="shared" si="83"/>
        <v>47.37</v>
      </c>
      <c r="AA152" s="40">
        <f t="shared" si="84"/>
        <v>11.299999999999997</v>
      </c>
      <c r="AB152" s="40">
        <f t="shared" si="87"/>
        <v>36.07</v>
      </c>
      <c r="AC152" s="67">
        <v>4.3</v>
      </c>
      <c r="AD152" s="67"/>
      <c r="AE152" s="229">
        <f t="shared" si="88"/>
        <v>45.55</v>
      </c>
      <c r="AF152" s="67"/>
      <c r="AG152" s="67">
        <f>ROUND((P152+N152)*$AG$1/12,2)</f>
        <v>1166.2</v>
      </c>
      <c r="AH152" s="67"/>
      <c r="AI152" s="67"/>
      <c r="AJ152" s="67">
        <f>ROUND(((P152+N152)/12)*0.03,2)</f>
        <v>174.67</v>
      </c>
      <c r="AK152" s="67"/>
      <c r="AL152" s="67">
        <v>929.46</v>
      </c>
      <c r="AM152" s="67">
        <v>299.18</v>
      </c>
      <c r="AN152" s="230"/>
      <c r="AO152" s="72"/>
      <c r="AP152" s="350">
        <f t="shared" si="89"/>
        <v>0</v>
      </c>
      <c r="AQ152" s="350">
        <f t="shared" si="90"/>
        <v>69867.200000000012</v>
      </c>
      <c r="AR152" s="350">
        <f t="shared" si="91"/>
        <v>0</v>
      </c>
    </row>
    <row r="153" spans="1:44" x14ac:dyDescent="0.25">
      <c r="A153" s="1"/>
      <c r="B153" s="1"/>
      <c r="C153" s="1"/>
      <c r="D153" s="1"/>
      <c r="E153" s="1"/>
      <c r="F153" s="1">
        <v>33</v>
      </c>
      <c r="G153" s="19">
        <v>41540</v>
      </c>
      <c r="H153" s="1"/>
      <c r="I153" s="1"/>
      <c r="J153" s="1" t="s">
        <v>65</v>
      </c>
      <c r="L153" s="1">
        <v>662</v>
      </c>
      <c r="M153" s="40">
        <v>31.92</v>
      </c>
      <c r="N153" s="40">
        <f t="shared" si="85"/>
        <v>66393.600000000006</v>
      </c>
      <c r="O153" s="26">
        <f t="shared" si="98"/>
        <v>6.3139904736284084E-3</v>
      </c>
      <c r="P153" s="33">
        <f t="shared" si="86"/>
        <v>0</v>
      </c>
      <c r="Q153" s="227"/>
      <c r="R153" s="175">
        <v>371.25</v>
      </c>
      <c r="S153" s="175"/>
      <c r="T153" s="175"/>
      <c r="U153" s="175"/>
      <c r="V153" s="228">
        <v>41.25</v>
      </c>
      <c r="W153" s="227">
        <v>32.9</v>
      </c>
      <c r="X153" s="175"/>
      <c r="Y153" s="228"/>
      <c r="Z153" s="67">
        <f t="shared" ref="Z153:Z154" si="101">ROUND((N153+P153)*3*$Z$2,2)</f>
        <v>45.01</v>
      </c>
      <c r="AA153" s="40">
        <f t="shared" si="84"/>
        <v>11.299999999999997</v>
      </c>
      <c r="AB153" s="40">
        <f t="shared" si="87"/>
        <v>33.71</v>
      </c>
      <c r="AC153" s="67">
        <v>0.8</v>
      </c>
      <c r="AD153" s="67">
        <v>1</v>
      </c>
      <c r="AE153" s="229">
        <f t="shared" si="88"/>
        <v>43.29</v>
      </c>
      <c r="AF153" s="67"/>
      <c r="AG153" s="67"/>
      <c r="AH153" s="67">
        <f t="shared" ref="AH153:AH155" si="102">ROUND((P153+N153)*$AH$1/12,2)</f>
        <v>988.71</v>
      </c>
      <c r="AI153" s="67"/>
      <c r="AJ153" s="175"/>
      <c r="AK153" s="67">
        <f t="shared" ref="AK153:AK155" si="103">ROUND(((N153+P153)/12)*0.03,2)</f>
        <v>165.98</v>
      </c>
      <c r="AL153" s="67">
        <v>929.46</v>
      </c>
      <c r="AM153" s="67">
        <v>299.18</v>
      </c>
      <c r="AN153" s="230"/>
      <c r="AO153" s="72"/>
      <c r="AP153" s="350">
        <f t="shared" si="89"/>
        <v>0</v>
      </c>
      <c r="AQ153" s="350">
        <f t="shared" si="90"/>
        <v>0</v>
      </c>
      <c r="AR153" s="350">
        <f t="shared" si="91"/>
        <v>66393.600000000006</v>
      </c>
    </row>
    <row r="154" spans="1:44" x14ac:dyDescent="0.25">
      <c r="A154" s="1"/>
      <c r="B154" s="1">
        <v>42</v>
      </c>
      <c r="C154" s="1">
        <v>43</v>
      </c>
      <c r="D154" s="1">
        <v>47</v>
      </c>
      <c r="E154" s="1">
        <v>50</v>
      </c>
      <c r="F154" s="1">
        <v>54</v>
      </c>
      <c r="G154" s="19">
        <v>37858</v>
      </c>
      <c r="H154" s="1"/>
      <c r="I154" s="1"/>
      <c r="J154" s="1" t="s">
        <v>65</v>
      </c>
      <c r="L154" s="1">
        <v>587</v>
      </c>
      <c r="M154" s="40">
        <v>32.82</v>
      </c>
      <c r="N154" s="40">
        <f t="shared" si="85"/>
        <v>68265.600000000006</v>
      </c>
      <c r="O154" s="26">
        <f t="shared" si="98"/>
        <v>6.4920165208171791E-3</v>
      </c>
      <c r="P154" s="33">
        <f t="shared" si="86"/>
        <v>0</v>
      </c>
      <c r="Q154" s="227"/>
      <c r="R154" s="175"/>
      <c r="S154" s="175">
        <v>800.02</v>
      </c>
      <c r="T154" s="175"/>
      <c r="U154" s="175"/>
      <c r="V154" s="228">
        <v>88.89</v>
      </c>
      <c r="W154" s="227">
        <v>32.9</v>
      </c>
      <c r="X154" s="175">
        <v>37.700000000000003</v>
      </c>
      <c r="Y154" s="228">
        <v>37.700000000000003</v>
      </c>
      <c r="Z154" s="67">
        <f t="shared" si="101"/>
        <v>46.28</v>
      </c>
      <c r="AA154" s="40">
        <f t="shared" si="84"/>
        <v>11.300000000000004</v>
      </c>
      <c r="AB154" s="40">
        <f t="shared" si="87"/>
        <v>34.979999999999997</v>
      </c>
      <c r="AC154" s="67"/>
      <c r="AD154" s="67"/>
      <c r="AE154" s="229">
        <f t="shared" si="88"/>
        <v>44.51</v>
      </c>
      <c r="AF154" s="67"/>
      <c r="AG154" s="67"/>
      <c r="AH154" s="67">
        <f t="shared" si="102"/>
        <v>1016.59</v>
      </c>
      <c r="AI154" s="67"/>
      <c r="AJ154" s="175"/>
      <c r="AK154" s="67">
        <f t="shared" si="103"/>
        <v>170.66</v>
      </c>
      <c r="AL154" s="67">
        <v>929.46</v>
      </c>
      <c r="AM154" s="67">
        <v>299.18</v>
      </c>
      <c r="AN154" s="230"/>
      <c r="AO154" s="72"/>
      <c r="AP154" s="350">
        <f t="shared" si="89"/>
        <v>0</v>
      </c>
      <c r="AQ154" s="350">
        <f t="shared" si="90"/>
        <v>0</v>
      </c>
      <c r="AR154" s="350">
        <f t="shared" si="91"/>
        <v>68265.600000000006</v>
      </c>
    </row>
    <row r="155" spans="1:44" x14ac:dyDescent="0.25">
      <c r="A155" s="1"/>
      <c r="B155" s="1"/>
      <c r="C155" s="1"/>
      <c r="D155" s="1"/>
      <c r="E155" s="1"/>
      <c r="F155" s="1">
        <v>30</v>
      </c>
      <c r="G155" s="19">
        <v>42058</v>
      </c>
      <c r="H155" s="1"/>
      <c r="I155" s="1"/>
      <c r="J155" s="1" t="s">
        <v>65</v>
      </c>
      <c r="L155" s="1">
        <v>680</v>
      </c>
      <c r="M155" s="40">
        <v>27.5</v>
      </c>
      <c r="N155" s="40">
        <f t="shared" si="85"/>
        <v>57200</v>
      </c>
      <c r="O155" s="26">
        <f t="shared" si="98"/>
        <v>5.4396847752124439E-3</v>
      </c>
      <c r="P155" s="33">
        <f t="shared" si="86"/>
        <v>0</v>
      </c>
      <c r="Q155" s="227">
        <v>1262.01</v>
      </c>
      <c r="R155" s="175"/>
      <c r="S155" s="175"/>
      <c r="T155" s="175"/>
      <c r="U155" s="175"/>
      <c r="V155" s="228">
        <v>140.22</v>
      </c>
      <c r="W155" s="227">
        <v>32.9</v>
      </c>
      <c r="X155" s="175">
        <v>37.700000000000003</v>
      </c>
      <c r="Y155" s="228">
        <v>37.700000000000003</v>
      </c>
      <c r="Z155" s="67">
        <f>ROUND((N155+P155)*3*$Z$2,2)</f>
        <v>38.78</v>
      </c>
      <c r="AA155" s="40">
        <f>+Z155-AB155</f>
        <v>11.3</v>
      </c>
      <c r="AB155" s="40">
        <f>ROUND((((N155+P155)*3)-$AB$5)*$Z$2,2)</f>
        <v>27.48</v>
      </c>
      <c r="AC155" s="67">
        <v>0.6</v>
      </c>
      <c r="AD155" s="67">
        <v>1</v>
      </c>
      <c r="AE155" s="229">
        <f t="shared" si="88"/>
        <v>37.29</v>
      </c>
      <c r="AF155" s="67"/>
      <c r="AG155" s="67"/>
      <c r="AH155" s="67">
        <f t="shared" si="102"/>
        <v>851.8</v>
      </c>
      <c r="AI155" s="67"/>
      <c r="AJ155" s="175"/>
      <c r="AK155" s="67">
        <f t="shared" si="103"/>
        <v>143</v>
      </c>
      <c r="AL155" s="67">
        <v>929.46</v>
      </c>
      <c r="AM155" s="67">
        <v>299.18</v>
      </c>
      <c r="AN155" s="230"/>
      <c r="AO155" s="72"/>
      <c r="AP155" s="350">
        <f t="shared" si="89"/>
        <v>0</v>
      </c>
      <c r="AQ155" s="350">
        <f t="shared" si="90"/>
        <v>0</v>
      </c>
      <c r="AR155" s="350">
        <f t="shared" si="91"/>
        <v>57200</v>
      </c>
    </row>
    <row r="156" spans="1:44" x14ac:dyDescent="0.25">
      <c r="A156" s="1"/>
      <c r="B156" s="1"/>
      <c r="C156" s="1"/>
      <c r="D156" s="1"/>
      <c r="E156" s="1"/>
      <c r="F156" s="1"/>
      <c r="G156" s="19"/>
      <c r="H156" s="1"/>
      <c r="I156" s="1"/>
      <c r="J156" s="1"/>
      <c r="L156" s="1"/>
      <c r="N156" s="10"/>
      <c r="O156" s="26"/>
      <c r="Q156" s="227"/>
      <c r="R156" s="175"/>
      <c r="S156" s="175"/>
      <c r="T156" s="175"/>
      <c r="U156" s="175"/>
      <c r="V156" s="228"/>
      <c r="W156" s="227"/>
      <c r="X156" s="175"/>
      <c r="Y156" s="228"/>
      <c r="Z156" s="67"/>
      <c r="AA156" s="40"/>
      <c r="AB156" s="40"/>
      <c r="AC156" s="67"/>
      <c r="AD156" s="67"/>
      <c r="AE156" s="229"/>
      <c r="AF156" s="67"/>
      <c r="AG156" s="67"/>
      <c r="AH156" s="67"/>
      <c r="AI156" s="67"/>
      <c r="AJ156" s="175"/>
      <c r="AK156" s="67"/>
      <c r="AL156" s="67"/>
      <c r="AM156" s="67"/>
      <c r="AN156" s="230"/>
      <c r="AO156" s="72"/>
      <c r="AP156" s="350"/>
      <c r="AQ156" s="350"/>
      <c r="AR156" s="350"/>
    </row>
    <row r="157" spans="1:44" x14ac:dyDescent="0.25">
      <c r="A157" s="1"/>
      <c r="B157" s="1"/>
      <c r="C157" s="1"/>
      <c r="D157" s="1"/>
      <c r="E157" s="1"/>
      <c r="F157" s="1"/>
      <c r="G157" s="19"/>
      <c r="H157" s="1"/>
      <c r="I157" s="1"/>
      <c r="J157" s="1"/>
      <c r="L157" s="1"/>
      <c r="N157" s="10"/>
      <c r="O157" s="26"/>
      <c r="Q157" s="227"/>
      <c r="R157" s="175"/>
      <c r="S157" s="175"/>
      <c r="T157" s="175"/>
      <c r="U157" s="175"/>
      <c r="V157" s="228"/>
      <c r="W157" s="227"/>
      <c r="X157" s="175"/>
      <c r="Y157" s="228"/>
      <c r="Z157" s="67"/>
      <c r="AA157" s="40"/>
      <c r="AB157" s="40"/>
      <c r="AC157" s="67"/>
      <c r="AD157" s="67"/>
      <c r="AE157" s="229"/>
      <c r="AF157" s="67"/>
      <c r="AG157" s="67"/>
      <c r="AH157" s="67"/>
      <c r="AI157" s="67"/>
      <c r="AJ157" s="175"/>
      <c r="AK157" s="67"/>
      <c r="AL157" s="67"/>
      <c r="AM157" s="67"/>
      <c r="AN157" s="230"/>
      <c r="AO157" s="72"/>
      <c r="AP157" s="350"/>
      <c r="AQ157" s="350"/>
      <c r="AR157" s="350"/>
    </row>
    <row r="158" spans="1:44" x14ac:dyDescent="0.25">
      <c r="A158" s="1"/>
      <c r="B158" s="1"/>
      <c r="C158" s="1"/>
      <c r="D158" s="1"/>
      <c r="E158" s="1"/>
      <c r="F158" s="1"/>
      <c r="H158" s="1"/>
      <c r="I158" s="1"/>
      <c r="J158" s="1"/>
      <c r="Q158" s="96"/>
      <c r="R158" s="86"/>
      <c r="S158" s="86"/>
      <c r="T158" s="86"/>
      <c r="U158" s="86"/>
      <c r="V158" s="230"/>
      <c r="W158" s="96"/>
      <c r="X158" s="86"/>
      <c r="Y158" s="230"/>
      <c r="Z158" s="40"/>
      <c r="AA158" s="40"/>
      <c r="AB158" s="40"/>
      <c r="AC158" s="40"/>
      <c r="AD158" s="40"/>
      <c r="AE158" s="231"/>
      <c r="AF158" s="40"/>
      <c r="AG158" s="40"/>
      <c r="AH158" s="40"/>
      <c r="AI158" s="40"/>
      <c r="AJ158" s="86"/>
      <c r="AK158" s="40"/>
      <c r="AL158" s="40"/>
      <c r="AM158" s="40"/>
      <c r="AN158" s="230"/>
    </row>
    <row r="159" spans="1:44" x14ac:dyDescent="0.25">
      <c r="A159" s="1"/>
      <c r="B159" s="1"/>
      <c r="C159" s="1"/>
      <c r="D159" s="1"/>
      <c r="E159" s="1"/>
      <c r="F159" s="1"/>
      <c r="H159" s="1"/>
      <c r="I159" s="1"/>
      <c r="J159" s="1"/>
      <c r="K159" s="1">
        <f>+COUNTA(K6:K155)</f>
        <v>0</v>
      </c>
      <c r="M159" s="67">
        <f>SUM(M6:M158)</f>
        <v>5055.4400000000005</v>
      </c>
      <c r="N159" s="67">
        <f>SUM(N6:N158)</f>
        <v>10515315.200000001</v>
      </c>
      <c r="O159" s="181">
        <f>SUM(O6:O158)</f>
        <v>1.0000000000000007</v>
      </c>
      <c r="P159" s="64">
        <f>SUM(P6:P158)</f>
        <v>0</v>
      </c>
      <c r="Q159" s="232">
        <f>SUM(Q6:Q158)</f>
        <v>95912.759999999907</v>
      </c>
      <c r="R159" s="233">
        <f t="shared" ref="R159:V159" si="104">SUM(R6:R158)</f>
        <v>8167.5</v>
      </c>
      <c r="S159" s="233">
        <f t="shared" si="104"/>
        <v>8000.2000000000007</v>
      </c>
      <c r="T159" s="233">
        <f t="shared" si="104"/>
        <v>39128.879999999983</v>
      </c>
      <c r="U159" s="233">
        <f>44*439</f>
        <v>19316</v>
      </c>
      <c r="V159" s="234">
        <f t="shared" si="104"/>
        <v>16800.959999999995</v>
      </c>
      <c r="W159" s="232">
        <f>SUM(W6:W158)</f>
        <v>4934.9999999999982</v>
      </c>
      <c r="X159" s="233">
        <f>SUM(X6:X158)</f>
        <v>4599.3999999999896</v>
      </c>
      <c r="Y159" s="233">
        <f>SUM(Y6:Y158)</f>
        <v>4599.3999999999896</v>
      </c>
      <c r="Z159" s="232">
        <f>SUM(Z6:Z158)</f>
        <v>7129.3599999999979</v>
      </c>
      <c r="AA159" s="233">
        <f t="shared" ref="AA159:AN159" si="105">SUM(AA6:AA158)</f>
        <v>1694.9999999999957</v>
      </c>
      <c r="AB159" s="233">
        <f t="shared" si="105"/>
        <v>5434.36</v>
      </c>
      <c r="AC159" s="233">
        <f>SUM(AC6:AC158)</f>
        <v>331.10000000000048</v>
      </c>
      <c r="AD159" s="233">
        <f t="shared" si="105"/>
        <v>90</v>
      </c>
      <c r="AE159" s="235">
        <f t="shared" si="105"/>
        <v>6855.9500000000035</v>
      </c>
      <c r="AF159" s="233">
        <f>SUM(AF6:AF158)</f>
        <v>32366.86</v>
      </c>
      <c r="AG159" s="233">
        <f t="shared" si="105"/>
        <v>41194.719999999987</v>
      </c>
      <c r="AH159" s="233">
        <f t="shared" si="105"/>
        <v>90961.709999999992</v>
      </c>
      <c r="AI159" s="233">
        <f t="shared" si="105"/>
        <v>4847.7799999999988</v>
      </c>
      <c r="AJ159" s="233">
        <f t="shared" si="105"/>
        <v>6002.1100000000006</v>
      </c>
      <c r="AK159" s="233">
        <f>SUM(AK6:AK158)</f>
        <v>14978.620000000004</v>
      </c>
      <c r="AL159" s="233">
        <f t="shared" ref="AL159:AM159" si="106">SUM(AL6:AL158)</f>
        <v>139420.00000000029</v>
      </c>
      <c r="AM159" s="233">
        <f t="shared" si="106"/>
        <v>44877.999999999964</v>
      </c>
      <c r="AN159" s="234">
        <f t="shared" si="105"/>
        <v>0</v>
      </c>
      <c r="AO159" s="84"/>
      <c r="AP159" s="350">
        <f>SUM(AP6:AP158)</f>
        <v>1939100.7999999998</v>
      </c>
      <c r="AQ159" s="350">
        <f t="shared" ref="AQ159:AR159" si="107">SUM(AQ6:AQ158)</f>
        <v>2467982.4000000004</v>
      </c>
      <c r="AR159" s="350">
        <f t="shared" si="107"/>
        <v>6108232</v>
      </c>
    </row>
    <row r="160" spans="1:44" x14ac:dyDescent="0.25">
      <c r="A160" s="1"/>
      <c r="B160" s="1"/>
      <c r="C160" s="1"/>
      <c r="D160" s="1"/>
      <c r="E160" s="1"/>
      <c r="F160" s="1"/>
      <c r="H160" s="1"/>
      <c r="I160" s="1"/>
      <c r="J160" s="1"/>
      <c r="Q160" s="111">
        <f>ROUND(Q159*12,0)</f>
        <v>1150953</v>
      </c>
      <c r="R160" s="65">
        <f t="shared" ref="R160:T160" si="108">ROUND(R159*12,0)</f>
        <v>98010</v>
      </c>
      <c r="S160" s="65">
        <f t="shared" si="108"/>
        <v>96002</v>
      </c>
      <c r="T160" s="65">
        <f t="shared" si="108"/>
        <v>469547</v>
      </c>
      <c r="U160" s="65">
        <f>+U159</f>
        <v>19316</v>
      </c>
      <c r="V160" s="114"/>
      <c r="W160" s="111">
        <f>ROUND(W159*12,0)</f>
        <v>59220</v>
      </c>
      <c r="X160" s="65">
        <f>ROUND(X159*12,0)</f>
        <v>55193</v>
      </c>
      <c r="Y160" s="109"/>
      <c r="Z160" s="116">
        <f t="shared" ref="Z160:AJ160" si="109">ROUND(Z159*12,0)</f>
        <v>85552</v>
      </c>
      <c r="AA160" s="115">
        <f t="shared" si="109"/>
        <v>20340</v>
      </c>
      <c r="AB160" s="115">
        <f t="shared" si="109"/>
        <v>65212</v>
      </c>
      <c r="AC160" s="115">
        <f>ROUND(AC159*12,0)</f>
        <v>3973</v>
      </c>
      <c r="AD160" s="115">
        <f t="shared" si="109"/>
        <v>1080</v>
      </c>
      <c r="AE160" s="119">
        <f t="shared" si="109"/>
        <v>82271</v>
      </c>
      <c r="AF160" s="65">
        <f>ROUND(AF159*12,0)</f>
        <v>388402</v>
      </c>
      <c r="AG160" s="65">
        <f t="shared" si="109"/>
        <v>494337</v>
      </c>
      <c r="AH160" s="65">
        <f t="shared" si="109"/>
        <v>1091541</v>
      </c>
      <c r="AI160" s="65">
        <f t="shared" si="109"/>
        <v>58173</v>
      </c>
      <c r="AJ160" s="65">
        <f t="shared" si="109"/>
        <v>72025</v>
      </c>
      <c r="AK160" s="65">
        <f>ROUND(AK159*12,0)</f>
        <v>179743</v>
      </c>
      <c r="AL160" s="65">
        <f>+AL159</f>
        <v>139420.00000000029</v>
      </c>
      <c r="AM160" s="65">
        <f>+AM159</f>
        <v>44877.999999999964</v>
      </c>
      <c r="AN160" s="112">
        <f>+AN159</f>
        <v>0</v>
      </c>
      <c r="AP160" s="328">
        <f>+AI160/AP159</f>
        <v>2.9999987623129238E-2</v>
      </c>
      <c r="AQ160" s="328">
        <f>+AJ160/AQ159</f>
        <v>2.9183757550296952E-2</v>
      </c>
      <c r="AR160" s="328">
        <f>+AK160/AR159</f>
        <v>2.9426354467217357E-2</v>
      </c>
    </row>
    <row r="161" spans="1:40" x14ac:dyDescent="0.25">
      <c r="A161" s="1"/>
      <c r="B161" s="1"/>
      <c r="C161" s="1"/>
      <c r="D161" s="1"/>
      <c r="E161" s="1"/>
      <c r="F161" s="1"/>
      <c r="H161" s="1"/>
      <c r="I161" s="1"/>
      <c r="J161" s="1"/>
      <c r="Q161" s="170">
        <f>+COUNT(Q6:Q158)</f>
        <v>76</v>
      </c>
      <c r="R161" s="35">
        <f t="shared" ref="R161:T161" si="110">+COUNT(R6:R158)</f>
        <v>22</v>
      </c>
      <c r="S161" s="35">
        <f t="shared" si="110"/>
        <v>10</v>
      </c>
      <c r="T161" s="35">
        <f t="shared" si="110"/>
        <v>42</v>
      </c>
      <c r="U161" s="35"/>
      <c r="V161" s="93"/>
      <c r="W161" s="170">
        <f>+COUNT(W6:W158)</f>
        <v>150</v>
      </c>
      <c r="X161" s="35">
        <f>+COUNT(X6:X158)</f>
        <v>122</v>
      </c>
      <c r="Y161" s="109"/>
      <c r="Z161" s="221">
        <f t="shared" ref="Z161:AN161" si="111">+COUNT(Z6:Z158)</f>
        <v>150</v>
      </c>
      <c r="AA161" s="221">
        <f t="shared" si="111"/>
        <v>150</v>
      </c>
      <c r="AB161" s="222">
        <f t="shared" si="111"/>
        <v>150</v>
      </c>
      <c r="AC161" s="221">
        <f>+COUNT(AC6:AC158)</f>
        <v>130</v>
      </c>
      <c r="AD161" s="221">
        <f t="shared" si="111"/>
        <v>90</v>
      </c>
      <c r="AE161" s="125"/>
      <c r="AF161" s="177">
        <f t="shared" si="111"/>
        <v>26</v>
      </c>
      <c r="AG161" s="178">
        <f t="shared" si="111"/>
        <v>32</v>
      </c>
      <c r="AH161" s="178">
        <f t="shared" ref="AH161" si="112">+COUNT(AH6:AH158)</f>
        <v>92</v>
      </c>
      <c r="AI161" s="178">
        <f t="shared" ref="AI161" si="113">+COUNT(AI6:AI158)</f>
        <v>26</v>
      </c>
      <c r="AJ161" s="178">
        <f t="shared" si="111"/>
        <v>32</v>
      </c>
      <c r="AK161" s="178">
        <f>+COUNT(AK6:AK158)</f>
        <v>92</v>
      </c>
      <c r="AL161" s="178">
        <f t="shared" ref="AL161:AM161" si="114">+COUNT(AL6:AL158)</f>
        <v>150</v>
      </c>
      <c r="AM161" s="178">
        <f t="shared" si="114"/>
        <v>150</v>
      </c>
      <c r="AN161" s="179">
        <f t="shared" si="111"/>
        <v>0</v>
      </c>
    </row>
    <row r="162" spans="1:40" x14ac:dyDescent="0.25">
      <c r="A162" s="1"/>
      <c r="B162" s="1"/>
      <c r="C162" s="1"/>
      <c r="D162" s="1"/>
      <c r="E162" s="1"/>
      <c r="F162" s="1"/>
      <c r="H162" s="1"/>
      <c r="I162" s="1"/>
      <c r="J162" s="1"/>
      <c r="M162" s="7"/>
      <c r="N162" t="s">
        <v>272</v>
      </c>
      <c r="Q162" s="414"/>
      <c r="R162" s="13" t="s">
        <v>236</v>
      </c>
      <c r="S162" s="13"/>
      <c r="T162" s="13"/>
      <c r="U162" s="13"/>
      <c r="V162" s="110"/>
      <c r="W162" s="126"/>
      <c r="X162" s="220" t="s">
        <v>236</v>
      </c>
      <c r="Y162" s="109"/>
      <c r="Z162" s="7"/>
      <c r="AA162" s="126"/>
      <c r="AB162" s="123">
        <v>1</v>
      </c>
      <c r="AC162" s="127" t="s">
        <v>236</v>
      </c>
      <c r="AD162" s="87"/>
      <c r="AE162" s="122">
        <v>1</v>
      </c>
      <c r="AF162" s="180"/>
      <c r="AG162" s="7" t="s">
        <v>236</v>
      </c>
      <c r="AH162" s="7"/>
      <c r="AI162" s="7"/>
      <c r="AJ162" s="7"/>
      <c r="AK162" s="7"/>
      <c r="AL162" s="7"/>
      <c r="AM162" s="7"/>
      <c r="AN162" s="109"/>
    </row>
    <row r="163" spans="1:40" ht="13.8" thickBot="1" x14ac:dyDescent="0.3">
      <c r="A163" s="1"/>
      <c r="B163" s="1"/>
      <c r="C163" s="1"/>
      <c r="D163" s="1"/>
      <c r="E163" s="1"/>
      <c r="F163" s="1"/>
      <c r="H163" s="1"/>
      <c r="I163" s="1"/>
      <c r="J163" s="1"/>
      <c r="M163" s="89"/>
      <c r="N163" s="183">
        <f>+N159+P159</f>
        <v>10515315.200000001</v>
      </c>
      <c r="O163" s="12"/>
      <c r="P163" s="77"/>
      <c r="Q163" s="113">
        <f>+SUM(Q160:U160)+Q162</f>
        <v>1833828</v>
      </c>
      <c r="R163" s="128"/>
      <c r="S163" s="11"/>
      <c r="T163" s="11"/>
      <c r="U163" s="11"/>
      <c r="V163" s="129"/>
      <c r="W163" s="113">
        <f>+SUM(W160:X160)+W162</f>
        <v>114413</v>
      </c>
      <c r="X163" s="128"/>
      <c r="Y163" s="130"/>
      <c r="Z163" s="83"/>
      <c r="AA163" s="117">
        <f>+AA160+AA162</f>
        <v>20340</v>
      </c>
      <c r="AB163" s="113">
        <f>+SUM(AB160:AD160)+AB162</f>
        <v>70266</v>
      </c>
      <c r="AC163" s="83"/>
      <c r="AD163" s="83"/>
      <c r="AE163" s="121">
        <f>SUM(AE160:AE162)</f>
        <v>82272</v>
      </c>
      <c r="AF163" s="113">
        <f>SUM(AF160:AN160)+AF162</f>
        <v>2468519.0000000005</v>
      </c>
      <c r="AG163" s="83"/>
      <c r="AH163" s="83"/>
      <c r="AI163" s="83"/>
      <c r="AJ163" s="83"/>
      <c r="AK163" s="83"/>
      <c r="AL163" s="83"/>
      <c r="AM163" s="83"/>
      <c r="AN163" s="131"/>
    </row>
    <row r="164" spans="1:40" ht="13.8" thickTop="1" x14ac:dyDescent="0.25">
      <c r="A164" s="1"/>
      <c r="B164" s="1"/>
      <c r="C164" s="1"/>
      <c r="D164" s="1"/>
      <c r="E164" s="1"/>
      <c r="F164" s="1"/>
      <c r="H164" s="1"/>
      <c r="I164" s="1"/>
      <c r="J164" s="1"/>
      <c r="L164" s="32"/>
      <c r="M164" s="89"/>
      <c r="N164" s="21"/>
      <c r="O164" s="21"/>
      <c r="P164" s="35"/>
      <c r="AA164" s="26">
        <f>+ROUND(AA163/SUM(AA163:AB163),4)</f>
        <v>0.22450000000000001</v>
      </c>
      <c r="AB164" s="26">
        <f>+ROUND(AB163/SUM(AA163:AB163),4)</f>
        <v>0.77549999999999997</v>
      </c>
      <c r="AF164" s="33"/>
    </row>
    <row r="165" spans="1:40" x14ac:dyDescent="0.25">
      <c r="A165" s="1"/>
      <c r="B165" s="1"/>
      <c r="C165" s="1"/>
      <c r="D165" s="1"/>
      <c r="E165" s="1"/>
      <c r="F165" s="1"/>
      <c r="H165" s="1"/>
      <c r="I165" s="1"/>
      <c r="J165" s="1"/>
      <c r="N165" s="32"/>
      <c r="O165" s="32"/>
      <c r="P165" s="74"/>
      <c r="AE165" s="236"/>
    </row>
    <row r="166" spans="1:40" x14ac:dyDescent="0.25">
      <c r="A166" s="1"/>
      <c r="B166" s="1"/>
      <c r="C166" s="1"/>
      <c r="D166" s="1"/>
      <c r="E166" s="1"/>
      <c r="F166" s="1"/>
      <c r="H166" s="1"/>
      <c r="I166" s="1"/>
      <c r="J166" s="1"/>
      <c r="Q166" s="32"/>
      <c r="AE166" s="236"/>
    </row>
    <row r="167" spans="1:40" x14ac:dyDescent="0.25">
      <c r="A167" s="1"/>
      <c r="B167" s="1"/>
      <c r="C167" s="1"/>
      <c r="D167" s="1"/>
      <c r="E167" s="1"/>
      <c r="F167" s="1"/>
      <c r="H167" s="1"/>
      <c r="I167" s="1"/>
      <c r="J167" s="1"/>
      <c r="AE167" s="236"/>
    </row>
    <row r="168" spans="1:40" x14ac:dyDescent="0.25">
      <c r="A168" s="1"/>
      <c r="B168" s="1"/>
      <c r="C168" s="1"/>
      <c r="D168" s="1"/>
      <c r="E168" s="1"/>
      <c r="F168" s="1"/>
      <c r="H168" s="1"/>
      <c r="I168" s="1"/>
      <c r="J168" s="1"/>
      <c r="AE168" s="236"/>
    </row>
    <row r="169" spans="1:40" x14ac:dyDescent="0.25">
      <c r="AE169" t="s">
        <v>462</v>
      </c>
      <c r="AF169" s="33">
        <v>31107.960000000003</v>
      </c>
      <c r="AG169" s="33">
        <v>39449.18</v>
      </c>
      <c r="AH169" s="33">
        <v>87361.96</v>
      </c>
      <c r="AI169" s="33">
        <v>4477.380000000001</v>
      </c>
      <c r="AJ169" s="33">
        <v>5447.48</v>
      </c>
      <c r="AK169" s="33">
        <v>13201.8</v>
      </c>
      <c r="AL169" s="33"/>
      <c r="AM169" s="33"/>
    </row>
    <row r="170" spans="1:40" x14ac:dyDescent="0.25">
      <c r="AE170" t="s">
        <v>463</v>
      </c>
      <c r="AF170" s="33">
        <v>373296</v>
      </c>
      <c r="AG170" s="33">
        <v>473390</v>
      </c>
      <c r="AH170" s="33">
        <v>1048344</v>
      </c>
      <c r="AI170" s="33">
        <v>53729</v>
      </c>
      <c r="AJ170" s="33">
        <v>65370</v>
      </c>
      <c r="AK170" s="33">
        <v>158422</v>
      </c>
      <c r="AL170" s="33"/>
      <c r="AM170" s="33"/>
    </row>
    <row r="172" spans="1:40" x14ac:dyDescent="0.25">
      <c r="AE172" t="s">
        <v>464</v>
      </c>
      <c r="AF172" s="84">
        <f>+AF159-AF169</f>
        <v>1258.8999999999978</v>
      </c>
      <c r="AG172" s="84">
        <f t="shared" ref="AG172" si="115">+AG159-AG169</f>
        <v>1745.5399999999863</v>
      </c>
      <c r="AH172" s="84">
        <f>+AH159-AH169</f>
        <v>3599.7499999999854</v>
      </c>
      <c r="AI172" s="84">
        <f t="shared" ref="AI172:AK172" si="116">+AI159-AI169</f>
        <v>370.39999999999782</v>
      </c>
      <c r="AJ172" s="84">
        <f t="shared" si="116"/>
        <v>554.63000000000102</v>
      </c>
      <c r="AK172" s="84">
        <f t="shared" si="116"/>
        <v>1776.8200000000052</v>
      </c>
    </row>
    <row r="173" spans="1:40" x14ac:dyDescent="0.25">
      <c r="AE173" s="1" t="s">
        <v>463</v>
      </c>
      <c r="AF173" s="84">
        <f>+AF160-AF170</f>
        <v>15106</v>
      </c>
      <c r="AG173" s="84">
        <f t="shared" ref="AG173" si="117">+AG160-AG170</f>
        <v>20947</v>
      </c>
      <c r="AH173" s="84">
        <f>+AH160-AH170</f>
        <v>43197</v>
      </c>
      <c r="AI173" s="84">
        <f t="shared" ref="AI173:AK173" si="118">+AI160-AI170</f>
        <v>4444</v>
      </c>
      <c r="AJ173" s="84">
        <f t="shared" si="118"/>
        <v>6655</v>
      </c>
      <c r="AK173" s="84">
        <f t="shared" si="118"/>
        <v>21321</v>
      </c>
    </row>
  </sheetData>
  <phoneticPr fontId="0" type="noConversion"/>
  <pageMargins left="0.13" right="0.21" top="0.4" bottom="0.25" header="0.3" footer="0.3"/>
  <pageSetup paperSize="5" scale="7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67"/>
  <sheetViews>
    <sheetView workbookViewId="0">
      <pane xSplit="1" ySplit="2" topLeftCell="B3" activePane="bottomRight" state="frozen"/>
      <selection activeCell="F8" sqref="F8"/>
      <selection pane="topRight" activeCell="F8" sqref="F8"/>
      <selection pane="bottomLeft" activeCell="F8" sqref="F8"/>
      <selection pane="bottomRight" activeCell="H136" sqref="H136"/>
    </sheetView>
  </sheetViews>
  <sheetFormatPr defaultRowHeight="13.2" x14ac:dyDescent="0.25"/>
  <cols>
    <col min="1" max="1" width="20" bestFit="1" customWidth="1"/>
    <col min="2" max="2" width="14.44140625" bestFit="1" customWidth="1"/>
    <col min="3" max="3" width="7.6640625" bestFit="1" customWidth="1"/>
    <col min="4" max="5" width="9.33203125" bestFit="1" customWidth="1"/>
    <col min="6" max="6" width="8.5546875" bestFit="1" customWidth="1"/>
    <col min="7" max="7" width="11.33203125" bestFit="1" customWidth="1"/>
    <col min="8" max="8" width="8.88671875" bestFit="1" customWidth="1"/>
    <col min="9" max="9" width="11.33203125" style="40" bestFit="1" customWidth="1"/>
    <col min="10" max="10" width="2.44140625" style="40" customWidth="1"/>
    <col min="11" max="11" width="7.6640625" bestFit="1" customWidth="1"/>
    <col min="12" max="12" width="7.33203125" customWidth="1"/>
    <col min="13" max="13" width="10" customWidth="1"/>
    <col min="14" max="14" width="7.6640625" bestFit="1" customWidth="1"/>
  </cols>
  <sheetData>
    <row r="1" spans="1:14" x14ac:dyDescent="0.25">
      <c r="B1" s="507" t="s">
        <v>245</v>
      </c>
      <c r="C1" s="512" t="s">
        <v>261</v>
      </c>
      <c r="D1" s="507" t="s">
        <v>239</v>
      </c>
      <c r="E1" s="507" t="s">
        <v>240</v>
      </c>
      <c r="F1" s="507" t="s">
        <v>209</v>
      </c>
      <c r="G1" s="509" t="s">
        <v>243</v>
      </c>
      <c r="H1" s="510" t="s">
        <v>21</v>
      </c>
      <c r="I1" s="511" t="s">
        <v>244</v>
      </c>
      <c r="K1" s="172" t="s">
        <v>307</v>
      </c>
      <c r="L1" s="107"/>
      <c r="M1" s="107"/>
      <c r="N1" s="173"/>
    </row>
    <row r="2" spans="1:14" s="143" customFormat="1" ht="26.4" x14ac:dyDescent="0.25">
      <c r="B2" s="508"/>
      <c r="C2" s="513"/>
      <c r="D2" s="508"/>
      <c r="E2" s="508"/>
      <c r="F2" s="508"/>
      <c r="G2" s="508"/>
      <c r="H2" s="508"/>
      <c r="I2" s="508"/>
      <c r="J2" s="144"/>
      <c r="K2" s="332" t="s">
        <v>239</v>
      </c>
      <c r="L2" s="333" t="s">
        <v>240</v>
      </c>
      <c r="M2" s="333" t="s">
        <v>430</v>
      </c>
      <c r="N2" s="334" t="s">
        <v>308</v>
      </c>
    </row>
    <row r="3" spans="1:14" s="33" customFormat="1" x14ac:dyDescent="0.25">
      <c r="A3" s="33">
        <f>+fulltime!A3</f>
        <v>0</v>
      </c>
      <c r="B3" s="33">
        <f>fulltime!M3</f>
        <v>75878.399999999994</v>
      </c>
      <c r="C3" s="33">
        <f>+ficalifeW2!T15</f>
        <v>243.16223999999991</v>
      </c>
      <c r="D3" s="33">
        <f>-K3*24</f>
        <v>-480</v>
      </c>
      <c r="E3" s="33">
        <f>-SUM(L3:M3)*24</f>
        <v>-2135.04</v>
      </c>
      <c r="F3" s="33">
        <f>+N3*26</f>
        <v>683.02</v>
      </c>
      <c r="G3" s="33">
        <f t="shared" ref="G3:G34" si="0">SUM(B3:F3)</f>
        <v>74189.54224000001</v>
      </c>
      <c r="H3" s="33">
        <f>+IF(G3&gt;118500,G3-118500,0)</f>
        <v>0</v>
      </c>
      <c r="I3" s="33">
        <f>+IF(H3&gt;0,G3-H3,G3)</f>
        <v>74189.54224000001</v>
      </c>
      <c r="K3" s="96">
        <v>20</v>
      </c>
      <c r="L3" s="86">
        <f>+ROUND(healthpension!V6*0.5,2)</f>
        <v>70.11</v>
      </c>
      <c r="M3" s="86">
        <f>+ROUND(healthpension!Y6*0.5,2)</f>
        <v>18.850000000000001</v>
      </c>
      <c r="N3" s="230">
        <v>26.27</v>
      </c>
    </row>
    <row r="4" spans="1:14" s="33" customFormat="1" x14ac:dyDescent="0.25">
      <c r="A4" s="33">
        <f>+fulltime!A4</f>
        <v>0</v>
      </c>
      <c r="B4" s="33">
        <f>fulltime!M4</f>
        <v>52958.689433669402</v>
      </c>
      <c r="C4" s="33">
        <f>+ficalifeW2!T16</f>
        <v>116.51750400000003</v>
      </c>
      <c r="D4" s="33">
        <f t="shared" ref="D4:D67" si="1">-K4*24</f>
        <v>-300</v>
      </c>
      <c r="E4" s="33">
        <f t="shared" ref="E4:E67" si="2">-SUM(L4:M4)*24</f>
        <v>-2135.04</v>
      </c>
      <c r="F4" s="33">
        <f t="shared" ref="F4:F67" si="3">+N4*26</f>
        <v>0</v>
      </c>
      <c r="G4" s="33">
        <f t="shared" si="0"/>
        <v>50640.166937669404</v>
      </c>
      <c r="H4" s="33">
        <f t="shared" ref="H4:H67" si="4">+IF(G4&gt;118500,G4-118500,0)</f>
        <v>0</v>
      </c>
      <c r="I4" s="33">
        <f t="shared" ref="I4:I67" si="5">+IF(H4&gt;0,G4-H4,G4)</f>
        <v>50640.166937669404</v>
      </c>
      <c r="K4" s="96">
        <v>12.5</v>
      </c>
      <c r="L4" s="86">
        <f>+ROUND(healthpension!V7*0.5,2)</f>
        <v>70.11</v>
      </c>
      <c r="M4" s="86">
        <f>+ROUND(healthpension!Y7*0.5,2)</f>
        <v>18.850000000000001</v>
      </c>
      <c r="N4" s="230"/>
    </row>
    <row r="5" spans="1:14" s="33" customFormat="1" x14ac:dyDescent="0.25">
      <c r="A5" s="33">
        <f>+fulltime!A5</f>
        <v>0</v>
      </c>
      <c r="B5" s="33">
        <f>fulltime!M5</f>
        <v>74340.403391924629</v>
      </c>
      <c r="C5" s="33">
        <f>+ficalifeW2!T17</f>
        <v>317.63711999999992</v>
      </c>
      <c r="D5" s="33">
        <f t="shared" si="1"/>
        <v>-1292.4000000000001</v>
      </c>
      <c r="E5" s="33">
        <f t="shared" si="2"/>
        <v>-2135.04</v>
      </c>
      <c r="F5" s="33">
        <f t="shared" si="3"/>
        <v>0</v>
      </c>
      <c r="G5" s="33">
        <f t="shared" si="0"/>
        <v>71230.60051192464</v>
      </c>
      <c r="H5" s="33">
        <f t="shared" si="4"/>
        <v>0</v>
      </c>
      <c r="I5" s="33">
        <f t="shared" si="5"/>
        <v>71230.60051192464</v>
      </c>
      <c r="K5" s="96">
        <v>53.85</v>
      </c>
      <c r="L5" s="86">
        <f>+ROUND(healthpension!V8*0.5,2)</f>
        <v>70.11</v>
      </c>
      <c r="M5" s="86">
        <f>+ROUND(healthpension!Y8*0.5,2)</f>
        <v>18.850000000000001</v>
      </c>
      <c r="N5" s="230"/>
    </row>
    <row r="6" spans="1:14" s="33" customFormat="1" x14ac:dyDescent="0.25">
      <c r="A6" s="33">
        <f>+fulltime!A6</f>
        <v>0</v>
      </c>
      <c r="B6" s="33">
        <f>fulltime!M6</f>
        <v>87734.399999999994</v>
      </c>
      <c r="C6" s="33">
        <f>+ficalifeW2!T18</f>
        <v>423.36575999999991</v>
      </c>
      <c r="D6" s="33">
        <f t="shared" si="1"/>
        <v>-1680</v>
      </c>
      <c r="E6" s="33">
        <f t="shared" si="2"/>
        <v>-2135.04</v>
      </c>
      <c r="F6" s="33">
        <f t="shared" si="3"/>
        <v>0</v>
      </c>
      <c r="G6" s="33">
        <f t="shared" si="0"/>
        <v>84342.725760000001</v>
      </c>
      <c r="H6" s="33">
        <f t="shared" si="4"/>
        <v>0</v>
      </c>
      <c r="I6" s="33">
        <f t="shared" si="5"/>
        <v>84342.725760000001</v>
      </c>
      <c r="K6" s="96">
        <v>70</v>
      </c>
      <c r="L6" s="86">
        <f>+ROUND(healthpension!V9*0.5,2)</f>
        <v>70.11</v>
      </c>
      <c r="M6" s="86">
        <f>+ROUND(healthpension!Y9*0.5,2)</f>
        <v>18.850000000000001</v>
      </c>
      <c r="N6" s="230"/>
    </row>
    <row r="7" spans="1:14" s="33" customFormat="1" x14ac:dyDescent="0.25">
      <c r="A7" s="33">
        <f>+fulltime!A7</f>
        <v>0</v>
      </c>
      <c r="B7" s="33">
        <f>fulltime!M7</f>
        <v>112819.2</v>
      </c>
      <c r="C7" s="33">
        <f>+ficalifeW2!T19</f>
        <v>358.14911999999998</v>
      </c>
      <c r="D7" s="33">
        <f t="shared" si="1"/>
        <v>-720</v>
      </c>
      <c r="E7" s="33">
        <f t="shared" si="2"/>
        <v>-1519.2</v>
      </c>
      <c r="F7" s="33">
        <f t="shared" si="3"/>
        <v>1082.1199999999999</v>
      </c>
      <c r="G7" s="33">
        <f t="shared" si="0"/>
        <v>112020.26912</v>
      </c>
      <c r="H7" s="33">
        <f t="shared" si="4"/>
        <v>0</v>
      </c>
      <c r="I7" s="33">
        <f t="shared" si="5"/>
        <v>112020.26912</v>
      </c>
      <c r="K7" s="96">
        <v>30</v>
      </c>
      <c r="L7" s="86">
        <f>+ROUND(healthpension!V10*0.5,2)</f>
        <v>44.45</v>
      </c>
      <c r="M7" s="86">
        <f>+ROUND(healthpension!Y10*0.5,2)</f>
        <v>18.850000000000001</v>
      </c>
      <c r="N7" s="230">
        <v>41.62</v>
      </c>
    </row>
    <row r="8" spans="1:14" s="33" customFormat="1" x14ac:dyDescent="0.25">
      <c r="A8" s="33">
        <f>+fulltime!A8</f>
        <v>0</v>
      </c>
      <c r="B8" s="33">
        <f>fulltime!M8</f>
        <v>79221.691459263486</v>
      </c>
      <c r="C8" s="33">
        <f>+ficalifeW2!T20</f>
        <v>833.69491199999982</v>
      </c>
      <c r="D8" s="33">
        <f t="shared" si="1"/>
        <v>0</v>
      </c>
      <c r="E8" s="33">
        <f t="shared" si="2"/>
        <v>-2135.04</v>
      </c>
      <c r="F8" s="33">
        <f t="shared" si="3"/>
        <v>0</v>
      </c>
      <c r="G8" s="33">
        <f t="shared" si="0"/>
        <v>77920.346371263498</v>
      </c>
      <c r="H8" s="33">
        <f t="shared" si="4"/>
        <v>0</v>
      </c>
      <c r="I8" s="33">
        <f t="shared" si="5"/>
        <v>77920.346371263498</v>
      </c>
      <c r="K8" s="96"/>
      <c r="L8" s="86">
        <f>+ROUND(healthpension!V11*0.5,2)</f>
        <v>70.11</v>
      </c>
      <c r="M8" s="86">
        <f>+ROUND(healthpension!Y11*0.5,2)</f>
        <v>18.850000000000001</v>
      </c>
      <c r="N8" s="230"/>
    </row>
    <row r="9" spans="1:14" s="33" customFormat="1" x14ac:dyDescent="0.25">
      <c r="A9" s="33">
        <f>+fulltime!A9</f>
        <v>0</v>
      </c>
      <c r="B9" s="33">
        <f>fulltime!M9</f>
        <v>46293.296137876503</v>
      </c>
      <c r="C9" s="33">
        <f>+ficalifeW2!T21</f>
        <v>105.09119999999999</v>
      </c>
      <c r="D9" s="33">
        <f t="shared" si="1"/>
        <v>-1846.08</v>
      </c>
      <c r="E9" s="33">
        <f t="shared" si="2"/>
        <v>-2135.04</v>
      </c>
      <c r="F9" s="33">
        <f t="shared" si="3"/>
        <v>0</v>
      </c>
      <c r="G9" s="33">
        <f t="shared" si="0"/>
        <v>42417.267337876503</v>
      </c>
      <c r="H9" s="33">
        <f t="shared" si="4"/>
        <v>0</v>
      </c>
      <c r="I9" s="33">
        <f t="shared" si="5"/>
        <v>42417.267337876503</v>
      </c>
      <c r="K9" s="96">
        <v>76.92</v>
      </c>
      <c r="L9" s="86">
        <f>+ROUND(healthpension!V12*0.5,2)</f>
        <v>70.11</v>
      </c>
      <c r="M9" s="86">
        <f>+ROUND(healthpension!Y12*0.5,2)</f>
        <v>18.850000000000001</v>
      </c>
      <c r="N9" s="230"/>
    </row>
    <row r="10" spans="1:14" s="33" customFormat="1" x14ac:dyDescent="0.25">
      <c r="A10" s="33">
        <f>+fulltime!A10</f>
        <v>0</v>
      </c>
      <c r="B10" s="33">
        <f>fulltime!M10</f>
        <v>81244.800000000003</v>
      </c>
      <c r="C10" s="33">
        <f>+ficalifeW2!T22</f>
        <v>1534.3764480000002</v>
      </c>
      <c r="D10" s="33">
        <f t="shared" si="1"/>
        <v>0</v>
      </c>
      <c r="E10" s="33">
        <f t="shared" si="2"/>
        <v>-495.12</v>
      </c>
      <c r="F10" s="33">
        <f t="shared" si="3"/>
        <v>0</v>
      </c>
      <c r="G10" s="33">
        <f t="shared" si="0"/>
        <v>82284.056448000003</v>
      </c>
      <c r="H10" s="33">
        <f t="shared" si="4"/>
        <v>0</v>
      </c>
      <c r="I10" s="33">
        <f t="shared" si="5"/>
        <v>82284.056448000003</v>
      </c>
      <c r="K10" s="96"/>
      <c r="L10" s="86">
        <f>+ROUND(healthpension!V13*0.5,2)</f>
        <v>20.63</v>
      </c>
      <c r="M10" s="86">
        <f>+ROUND(healthpension!Y13*0.5,2)</f>
        <v>0</v>
      </c>
      <c r="N10" s="230"/>
    </row>
    <row r="11" spans="1:14" s="33" customFormat="1" x14ac:dyDescent="0.25">
      <c r="A11" s="33">
        <f>+fulltime!A11</f>
        <v>0</v>
      </c>
      <c r="B11" s="33">
        <f>fulltime!M11</f>
        <v>55155.584361498048</v>
      </c>
      <c r="C11" s="33">
        <f>+ficalifeW2!T23</f>
        <v>460.80460800000003</v>
      </c>
      <c r="D11" s="33">
        <f t="shared" si="1"/>
        <v>0</v>
      </c>
      <c r="E11" s="33">
        <f t="shared" si="2"/>
        <v>-1694.6399999999999</v>
      </c>
      <c r="F11" s="33">
        <f t="shared" si="3"/>
        <v>0</v>
      </c>
      <c r="G11" s="33">
        <f t="shared" si="0"/>
        <v>53921.748969498047</v>
      </c>
      <c r="H11" s="33">
        <f t="shared" si="4"/>
        <v>0</v>
      </c>
      <c r="I11" s="33">
        <f t="shared" si="5"/>
        <v>53921.748969498047</v>
      </c>
      <c r="K11" s="96"/>
      <c r="L11" s="86">
        <f>+ROUND(healthpension!V14*0.5,2)</f>
        <v>51.76</v>
      </c>
      <c r="M11" s="86">
        <f>+ROUND(healthpension!Y14*0.5,2)</f>
        <v>18.850000000000001</v>
      </c>
      <c r="N11" s="230"/>
    </row>
    <row r="12" spans="1:14" s="33" customFormat="1" x14ac:dyDescent="0.25">
      <c r="A12" s="33">
        <f>+fulltime!A12</f>
        <v>0</v>
      </c>
      <c r="B12" s="33">
        <f>fulltime!M12</f>
        <v>90791.970591012156</v>
      </c>
      <c r="C12" s="33">
        <f>+ficalifeW2!T24</f>
        <v>197.01504</v>
      </c>
      <c r="D12" s="33">
        <f t="shared" si="1"/>
        <v>-830.87999999999988</v>
      </c>
      <c r="E12" s="33">
        <f t="shared" si="2"/>
        <v>-2135.04</v>
      </c>
      <c r="F12" s="33">
        <f t="shared" si="3"/>
        <v>0</v>
      </c>
      <c r="G12" s="33">
        <f t="shared" si="0"/>
        <v>88023.065631012156</v>
      </c>
      <c r="H12" s="33">
        <f t="shared" si="4"/>
        <v>0</v>
      </c>
      <c r="I12" s="33">
        <f t="shared" si="5"/>
        <v>88023.065631012156</v>
      </c>
      <c r="K12" s="96">
        <v>34.619999999999997</v>
      </c>
      <c r="L12" s="86">
        <f>+ROUND(healthpension!V15*0.5,2)</f>
        <v>70.11</v>
      </c>
      <c r="M12" s="86">
        <f>+ROUND(healthpension!Y15*0.5,2)</f>
        <v>18.850000000000001</v>
      </c>
      <c r="N12" s="230"/>
    </row>
    <row r="13" spans="1:14" s="33" customFormat="1" x14ac:dyDescent="0.25">
      <c r="A13" s="33">
        <f>+fulltime!A13</f>
        <v>0</v>
      </c>
      <c r="B13" s="33">
        <f>fulltime!M13</f>
        <v>68104.71730066491</v>
      </c>
      <c r="C13" s="33">
        <f>+ficalifeW2!T25</f>
        <v>470.08358399999997</v>
      </c>
      <c r="D13" s="33">
        <f t="shared" si="1"/>
        <v>0</v>
      </c>
      <c r="E13" s="33">
        <f t="shared" si="2"/>
        <v>-2135.04</v>
      </c>
      <c r="F13" s="33">
        <f t="shared" si="3"/>
        <v>0</v>
      </c>
      <c r="G13" s="33">
        <f t="shared" si="0"/>
        <v>66439.760884664909</v>
      </c>
      <c r="H13" s="33">
        <f t="shared" si="4"/>
        <v>0</v>
      </c>
      <c r="I13" s="33">
        <f t="shared" si="5"/>
        <v>66439.760884664909</v>
      </c>
      <c r="K13" s="96"/>
      <c r="L13" s="86">
        <f>+ROUND(healthpension!V16*0.5,2)</f>
        <v>70.11</v>
      </c>
      <c r="M13" s="86">
        <f>+ROUND(healthpension!Y16*0.5,2)</f>
        <v>18.850000000000001</v>
      </c>
      <c r="N13" s="230"/>
    </row>
    <row r="14" spans="1:14" s="33" customFormat="1" x14ac:dyDescent="0.25">
      <c r="A14" s="33">
        <f>+fulltime!A14</f>
        <v>0</v>
      </c>
      <c r="B14" s="33">
        <f>fulltime!M14</f>
        <v>100237.2692324324</v>
      </c>
      <c r="C14" s="33">
        <f>+ficalifeW2!T26</f>
        <v>529.06771200000003</v>
      </c>
      <c r="D14" s="33">
        <f t="shared" si="1"/>
        <v>-2353.92</v>
      </c>
      <c r="E14" s="33">
        <f t="shared" si="2"/>
        <v>-1694.6399999999999</v>
      </c>
      <c r="F14" s="33">
        <f t="shared" si="3"/>
        <v>0</v>
      </c>
      <c r="G14" s="33">
        <f t="shared" si="0"/>
        <v>96717.776944432408</v>
      </c>
      <c r="H14" s="33">
        <f t="shared" si="4"/>
        <v>0</v>
      </c>
      <c r="I14" s="33">
        <f t="shared" si="5"/>
        <v>96717.776944432408</v>
      </c>
      <c r="K14" s="96">
        <v>98.08</v>
      </c>
      <c r="L14" s="86">
        <f>+ROUND(healthpension!V17*0.5,2)</f>
        <v>51.76</v>
      </c>
      <c r="M14" s="86">
        <f>+ROUND(healthpension!Y17*0.5,2)</f>
        <v>18.850000000000001</v>
      </c>
      <c r="N14" s="230"/>
    </row>
    <row r="15" spans="1:14" s="33" customFormat="1" x14ac:dyDescent="0.25">
      <c r="A15" s="33">
        <f>+fulltime!A15</f>
        <v>0</v>
      </c>
      <c r="B15" s="33">
        <f>fulltime!M15</f>
        <v>43791.737975210628</v>
      </c>
      <c r="C15" s="33">
        <f>+ficalifeW2!T27</f>
        <v>282.79257599999994</v>
      </c>
      <c r="D15" s="33">
        <f t="shared" si="1"/>
        <v>-1043.52</v>
      </c>
      <c r="E15" s="33">
        <f t="shared" si="2"/>
        <v>-2135.04</v>
      </c>
      <c r="F15" s="33">
        <f t="shared" si="3"/>
        <v>0</v>
      </c>
      <c r="G15" s="33">
        <f t="shared" si="0"/>
        <v>40895.97055121063</v>
      </c>
      <c r="H15" s="33">
        <f t="shared" si="4"/>
        <v>0</v>
      </c>
      <c r="I15" s="33">
        <f t="shared" si="5"/>
        <v>40895.97055121063</v>
      </c>
      <c r="K15" s="96">
        <v>43.48</v>
      </c>
      <c r="L15" s="86">
        <f>+ROUND(healthpension!V18*0.5,2)</f>
        <v>70.11</v>
      </c>
      <c r="M15" s="86">
        <f>+ROUND(healthpension!Y18*0.5,2)</f>
        <v>18.850000000000001</v>
      </c>
      <c r="N15" s="230"/>
    </row>
    <row r="16" spans="1:14" s="33" customFormat="1" x14ac:dyDescent="0.25">
      <c r="A16" s="33">
        <f>+fulltime!A16</f>
        <v>0</v>
      </c>
      <c r="B16" s="33">
        <f>fulltime!M16</f>
        <v>76668.800000000003</v>
      </c>
      <c r="C16" s="33">
        <f>+ficalifeW2!T28</f>
        <v>240.00768000000002</v>
      </c>
      <c r="D16" s="33">
        <f t="shared" si="1"/>
        <v>-1846.08</v>
      </c>
      <c r="E16" s="33">
        <f t="shared" si="2"/>
        <v>-2135.04</v>
      </c>
      <c r="F16" s="33">
        <f t="shared" si="3"/>
        <v>0</v>
      </c>
      <c r="G16" s="33">
        <f t="shared" si="0"/>
        <v>72927.687680000003</v>
      </c>
      <c r="H16" s="33">
        <f t="shared" si="4"/>
        <v>0</v>
      </c>
      <c r="I16" s="33">
        <f t="shared" si="5"/>
        <v>72927.687680000003</v>
      </c>
      <c r="K16" s="96">
        <v>76.92</v>
      </c>
      <c r="L16" s="86">
        <f>+ROUND(healthpension!V19*0.5,2)</f>
        <v>70.11</v>
      </c>
      <c r="M16" s="86">
        <f>+ROUND(healthpension!Y19*0.5,2)</f>
        <v>18.850000000000001</v>
      </c>
      <c r="N16" s="230"/>
    </row>
    <row r="17" spans="1:14" s="33" customFormat="1" x14ac:dyDescent="0.25">
      <c r="A17" s="33">
        <f>+fulltime!A17</f>
        <v>0</v>
      </c>
      <c r="B17" s="33">
        <f>fulltime!M17</f>
        <v>94410.532036552555</v>
      </c>
      <c r="C17" s="33">
        <f>+ficalifeW2!T29</f>
        <v>191.10182400000008</v>
      </c>
      <c r="D17" s="33">
        <f t="shared" si="1"/>
        <v>-461.52</v>
      </c>
      <c r="E17" s="33">
        <f t="shared" si="2"/>
        <v>-2135.04</v>
      </c>
      <c r="F17" s="33">
        <f t="shared" si="3"/>
        <v>0</v>
      </c>
      <c r="G17" s="33">
        <f t="shared" si="0"/>
        <v>92005.073860552555</v>
      </c>
      <c r="H17" s="33">
        <f t="shared" si="4"/>
        <v>0</v>
      </c>
      <c r="I17" s="33">
        <f t="shared" si="5"/>
        <v>92005.073860552555</v>
      </c>
      <c r="K17" s="96">
        <v>19.23</v>
      </c>
      <c r="L17" s="86">
        <f>+ROUND(healthpension!V20*0.5,2)</f>
        <v>70.11</v>
      </c>
      <c r="M17" s="86">
        <f>+ROUND(healthpension!Y20*0.5,2)</f>
        <v>18.850000000000001</v>
      </c>
      <c r="N17" s="230"/>
    </row>
    <row r="18" spans="1:14" s="33" customFormat="1" x14ac:dyDescent="0.25">
      <c r="A18" s="33">
        <f>+fulltime!A18</f>
        <v>0</v>
      </c>
      <c r="B18" s="33">
        <f>fulltime!M18</f>
        <v>92719.191792414</v>
      </c>
      <c r="C18" s="33">
        <f>+ficalifeW2!T30</f>
        <v>235.81439999999998</v>
      </c>
      <c r="D18" s="33">
        <f t="shared" si="1"/>
        <v>-923.04</v>
      </c>
      <c r="E18" s="33">
        <f t="shared" si="2"/>
        <v>-2135.04</v>
      </c>
      <c r="F18" s="33">
        <f t="shared" si="3"/>
        <v>0</v>
      </c>
      <c r="G18" s="33">
        <f t="shared" si="0"/>
        <v>89896.926192414016</v>
      </c>
      <c r="H18" s="33">
        <f t="shared" si="4"/>
        <v>0</v>
      </c>
      <c r="I18" s="33">
        <f t="shared" si="5"/>
        <v>89896.926192414016</v>
      </c>
      <c r="K18" s="96">
        <v>38.46</v>
      </c>
      <c r="L18" s="86">
        <f>+ROUND(healthpension!V21*0.5,2)</f>
        <v>70.11</v>
      </c>
      <c r="M18" s="86">
        <f>+ROUND(healthpension!Y21*0.5,2)</f>
        <v>18.850000000000001</v>
      </c>
      <c r="N18" s="230"/>
    </row>
    <row r="19" spans="1:14" s="33" customFormat="1" x14ac:dyDescent="0.25">
      <c r="A19" s="33">
        <f>+fulltime!A19</f>
        <v>0</v>
      </c>
      <c r="B19" s="33">
        <f>fulltime!M19</f>
        <v>91314.474193470087</v>
      </c>
      <c r="C19" s="33">
        <f>+ficalifeW2!T31</f>
        <v>781.36435200000005</v>
      </c>
      <c r="D19" s="33">
        <f t="shared" si="1"/>
        <v>-240</v>
      </c>
      <c r="E19" s="33">
        <f t="shared" si="2"/>
        <v>-495.12</v>
      </c>
      <c r="F19" s="33">
        <f t="shared" si="3"/>
        <v>0</v>
      </c>
      <c r="G19" s="33">
        <f t="shared" si="0"/>
        <v>91360.718545470096</v>
      </c>
      <c r="H19" s="33">
        <f t="shared" si="4"/>
        <v>0</v>
      </c>
      <c r="I19" s="33">
        <f t="shared" si="5"/>
        <v>91360.718545470096</v>
      </c>
      <c r="K19" s="96">
        <v>10</v>
      </c>
      <c r="L19" s="86">
        <f>+ROUND(healthpension!V22*0.5,2)</f>
        <v>20.63</v>
      </c>
      <c r="M19" s="86">
        <f>+ROUND(healthpension!Y22*0.5,2)</f>
        <v>0</v>
      </c>
      <c r="N19" s="230"/>
    </row>
    <row r="20" spans="1:14" s="33" customFormat="1" x14ac:dyDescent="0.25">
      <c r="A20" s="33">
        <f>+fulltime!A20</f>
        <v>0</v>
      </c>
      <c r="B20" s="33">
        <f>fulltime!M20</f>
        <v>75405.576920925014</v>
      </c>
      <c r="C20" s="33">
        <f>+ficalifeW2!T32</f>
        <v>451.85568000000006</v>
      </c>
      <c r="D20" s="33">
        <f t="shared" si="1"/>
        <v>0</v>
      </c>
      <c r="E20" s="33">
        <f t="shared" si="2"/>
        <v>-1519.2</v>
      </c>
      <c r="F20" s="33">
        <f t="shared" si="3"/>
        <v>0</v>
      </c>
      <c r="G20" s="33">
        <f t="shared" si="0"/>
        <v>74338.23260092501</v>
      </c>
      <c r="H20" s="33">
        <f t="shared" si="4"/>
        <v>0</v>
      </c>
      <c r="I20" s="33">
        <f t="shared" si="5"/>
        <v>74338.23260092501</v>
      </c>
      <c r="K20" s="96"/>
      <c r="L20" s="86">
        <f>+ROUND(healthpension!V23*0.5,2)</f>
        <v>44.45</v>
      </c>
      <c r="M20" s="86">
        <f>+ROUND(healthpension!Y23*0.5,2)</f>
        <v>18.850000000000001</v>
      </c>
      <c r="N20" s="230"/>
    </row>
    <row r="21" spans="1:14" s="33" customFormat="1" x14ac:dyDescent="0.25">
      <c r="A21" s="33">
        <f>+fulltime!A21</f>
        <v>0</v>
      </c>
      <c r="B21" s="33">
        <f>fulltime!M21</f>
        <v>89201.376801283812</v>
      </c>
      <c r="C21" s="33">
        <f>+ficalifeW2!T33</f>
        <v>351.19103999999993</v>
      </c>
      <c r="D21" s="33">
        <f t="shared" si="1"/>
        <v>-1384.56</v>
      </c>
      <c r="E21" s="33">
        <f t="shared" si="2"/>
        <v>-2135.04</v>
      </c>
      <c r="F21" s="33">
        <f t="shared" si="3"/>
        <v>0</v>
      </c>
      <c r="G21" s="33">
        <f t="shared" si="0"/>
        <v>86032.967841283826</v>
      </c>
      <c r="H21" s="33">
        <f t="shared" si="4"/>
        <v>0</v>
      </c>
      <c r="I21" s="33">
        <f t="shared" si="5"/>
        <v>86032.967841283826</v>
      </c>
      <c r="K21" s="96">
        <v>57.69</v>
      </c>
      <c r="L21" s="86">
        <f>+ROUND(healthpension!V24*0.5,2)</f>
        <v>70.11</v>
      </c>
      <c r="M21" s="86">
        <f>+ROUND(healthpension!Y24*0.5,2)</f>
        <v>18.850000000000001</v>
      </c>
      <c r="N21" s="230"/>
    </row>
    <row r="22" spans="1:14" s="33" customFormat="1" x14ac:dyDescent="0.25">
      <c r="A22" s="33">
        <f>+fulltime!A22</f>
        <v>0</v>
      </c>
      <c r="B22" s="33">
        <f>fulltime!M22</f>
        <v>83335.406968636598</v>
      </c>
      <c r="C22" s="33">
        <f>+ficalifeW2!T34</f>
        <v>448.09459199999998</v>
      </c>
      <c r="D22" s="33">
        <f t="shared" si="1"/>
        <v>0</v>
      </c>
      <c r="E22" s="33">
        <f t="shared" si="2"/>
        <v>-2135.04</v>
      </c>
      <c r="F22" s="33">
        <f t="shared" si="3"/>
        <v>0</v>
      </c>
      <c r="G22" s="33">
        <f t="shared" si="0"/>
        <v>81648.461560636599</v>
      </c>
      <c r="H22" s="33">
        <f t="shared" si="4"/>
        <v>0</v>
      </c>
      <c r="I22" s="33">
        <f t="shared" si="5"/>
        <v>81648.461560636599</v>
      </c>
      <c r="K22" s="96"/>
      <c r="L22" s="86">
        <f>+ROUND(healthpension!V25*0.5,2)</f>
        <v>70.11</v>
      </c>
      <c r="M22" s="86">
        <f>+ROUND(healthpension!Y25*0.5,2)</f>
        <v>18.850000000000001</v>
      </c>
      <c r="N22" s="230"/>
    </row>
    <row r="23" spans="1:14" s="33" customFormat="1" x14ac:dyDescent="0.25">
      <c r="A23" s="33">
        <f>+fulltime!A23</f>
        <v>0</v>
      </c>
      <c r="B23" s="33">
        <f>fulltime!M23</f>
        <v>50139.405013903452</v>
      </c>
      <c r="C23" s="33">
        <f>+ficalifeW2!T35</f>
        <v>190.48032000000006</v>
      </c>
      <c r="D23" s="33">
        <f t="shared" si="1"/>
        <v>-2353.92</v>
      </c>
      <c r="E23" s="33">
        <f t="shared" si="2"/>
        <v>-1694.6399999999999</v>
      </c>
      <c r="F23" s="33">
        <f t="shared" si="3"/>
        <v>0</v>
      </c>
      <c r="G23" s="33">
        <f t="shared" si="0"/>
        <v>46281.325333903456</v>
      </c>
      <c r="H23" s="33">
        <f t="shared" si="4"/>
        <v>0</v>
      </c>
      <c r="I23" s="33">
        <f t="shared" si="5"/>
        <v>46281.325333903456</v>
      </c>
      <c r="K23" s="96">
        <v>98.08</v>
      </c>
      <c r="L23" s="86">
        <f>+ROUND(healthpension!V26*0.5,2)</f>
        <v>51.76</v>
      </c>
      <c r="M23" s="86">
        <f>+ROUND(healthpension!Y26*0.5,2)</f>
        <v>18.850000000000001</v>
      </c>
      <c r="N23" s="230"/>
    </row>
    <row r="24" spans="1:14" s="33" customFormat="1" x14ac:dyDescent="0.25">
      <c r="A24" s="33">
        <f>+fulltime!A24</f>
        <v>0</v>
      </c>
      <c r="B24" s="33">
        <f>fulltime!M24</f>
        <v>37980.800000000003</v>
      </c>
      <c r="C24" s="33">
        <f>+ficalifeW2!T36</f>
        <v>74.584704000000016</v>
      </c>
      <c r="D24" s="33">
        <f t="shared" si="1"/>
        <v>-923.04</v>
      </c>
      <c r="E24" s="33">
        <f t="shared" si="2"/>
        <v>-2135.04</v>
      </c>
      <c r="F24" s="33">
        <f t="shared" si="3"/>
        <v>0</v>
      </c>
      <c r="G24" s="33">
        <f t="shared" si="0"/>
        <v>34997.304704000002</v>
      </c>
      <c r="H24" s="33">
        <f t="shared" si="4"/>
        <v>0</v>
      </c>
      <c r="I24" s="33">
        <f t="shared" si="5"/>
        <v>34997.304704000002</v>
      </c>
      <c r="K24" s="96">
        <v>38.46</v>
      </c>
      <c r="L24" s="86">
        <f>+ROUND(healthpension!V27*0.5,2)</f>
        <v>70.11</v>
      </c>
      <c r="M24" s="86">
        <f>+ROUND(healthpension!Y27*0.5,2)</f>
        <v>18.850000000000001</v>
      </c>
      <c r="N24" s="230"/>
    </row>
    <row r="25" spans="1:14" s="33" customFormat="1" x14ac:dyDescent="0.25">
      <c r="A25" s="33">
        <f>+fulltime!A25</f>
        <v>0</v>
      </c>
      <c r="B25" s="33">
        <f>fulltime!M25</f>
        <v>79548.236573335453</v>
      </c>
      <c r="C25" s="33">
        <f>+ficalifeW2!T37</f>
        <v>182.78265599999997</v>
      </c>
      <c r="D25" s="33">
        <f t="shared" si="1"/>
        <v>0</v>
      </c>
      <c r="E25" s="33">
        <f t="shared" si="2"/>
        <v>-2135.04</v>
      </c>
      <c r="F25" s="33">
        <f t="shared" si="3"/>
        <v>0</v>
      </c>
      <c r="G25" s="33">
        <f t="shared" si="0"/>
        <v>77595.979229335455</v>
      </c>
      <c r="H25" s="33">
        <f t="shared" si="4"/>
        <v>0</v>
      </c>
      <c r="I25" s="33">
        <f t="shared" si="5"/>
        <v>77595.979229335455</v>
      </c>
      <c r="K25" s="96"/>
      <c r="L25" s="86">
        <f>+ROUND(healthpension!V28*0.5,2)</f>
        <v>70.11</v>
      </c>
      <c r="M25" s="86">
        <f>+ROUND(healthpension!Y28*0.5,2)</f>
        <v>18.850000000000001</v>
      </c>
      <c r="N25" s="230"/>
    </row>
    <row r="26" spans="1:14" s="33" customFormat="1" x14ac:dyDescent="0.25">
      <c r="A26" s="33">
        <f>+fulltime!A26</f>
        <v>0</v>
      </c>
      <c r="B26" s="33">
        <f>fulltime!M26</f>
        <v>113360</v>
      </c>
      <c r="C26" s="33">
        <f>+ficalifeW2!T38</f>
        <v>840.22079999999994</v>
      </c>
      <c r="D26" s="33">
        <f t="shared" si="1"/>
        <v>-1846.08</v>
      </c>
      <c r="E26" s="33">
        <f t="shared" si="2"/>
        <v>-2135.04</v>
      </c>
      <c r="F26" s="33">
        <f t="shared" si="3"/>
        <v>867.1</v>
      </c>
      <c r="G26" s="33">
        <f t="shared" si="0"/>
        <v>111086.20080000001</v>
      </c>
      <c r="H26" s="33">
        <f t="shared" si="4"/>
        <v>0</v>
      </c>
      <c r="I26" s="33">
        <f t="shared" si="5"/>
        <v>111086.20080000001</v>
      </c>
      <c r="K26" s="96">
        <v>76.92</v>
      </c>
      <c r="L26" s="86">
        <f>+ROUND(healthpension!V29*0.5,2)</f>
        <v>70.11</v>
      </c>
      <c r="M26" s="86">
        <f>+ROUND(healthpension!Y29*0.5,2)</f>
        <v>18.850000000000001</v>
      </c>
      <c r="N26" s="230">
        <v>33.35</v>
      </c>
    </row>
    <row r="27" spans="1:14" s="33" customFormat="1" x14ac:dyDescent="0.25">
      <c r="A27" s="33">
        <f>+fulltime!A27</f>
        <v>0</v>
      </c>
      <c r="B27" s="33">
        <f>fulltime!M27</f>
        <v>48503.716088000801</v>
      </c>
      <c r="C27" s="33">
        <f>+ficalifeW2!T39</f>
        <v>48.661440000000013</v>
      </c>
      <c r="D27" s="33">
        <f t="shared" si="1"/>
        <v>0</v>
      </c>
      <c r="E27" s="33">
        <f t="shared" si="2"/>
        <v>-495.12</v>
      </c>
      <c r="F27" s="33">
        <f>+N27*26</f>
        <v>0</v>
      </c>
      <c r="G27" s="33">
        <f t="shared" si="0"/>
        <v>48057.257528000802</v>
      </c>
      <c r="H27" s="33">
        <f t="shared" si="4"/>
        <v>0</v>
      </c>
      <c r="I27" s="33">
        <f t="shared" si="5"/>
        <v>48057.257528000802</v>
      </c>
      <c r="K27" s="96"/>
      <c r="L27" s="86">
        <f>+ROUND(healthpension!V30*0.5,2)</f>
        <v>20.63</v>
      </c>
      <c r="M27" s="86">
        <f>+ROUND(healthpension!Y30*0.5,2)</f>
        <v>0</v>
      </c>
      <c r="N27" s="230"/>
    </row>
    <row r="28" spans="1:14" s="33" customFormat="1" x14ac:dyDescent="0.25">
      <c r="A28" s="33">
        <f>+fulltime!A28</f>
        <v>0</v>
      </c>
      <c r="B28" s="33">
        <f>fulltime!M28</f>
        <v>82045.186248177386</v>
      </c>
      <c r="C28" s="33">
        <f>+ficalifeW2!T40</f>
        <v>451.51123199999995</v>
      </c>
      <c r="D28" s="33">
        <f t="shared" si="1"/>
        <v>0</v>
      </c>
      <c r="E28" s="33">
        <f t="shared" si="2"/>
        <v>-2135.04</v>
      </c>
      <c r="F28" s="33">
        <f t="shared" si="3"/>
        <v>0</v>
      </c>
      <c r="G28" s="33">
        <f t="shared" si="0"/>
        <v>80361.657480177397</v>
      </c>
      <c r="H28" s="33">
        <f t="shared" si="4"/>
        <v>0</v>
      </c>
      <c r="I28" s="33">
        <f t="shared" si="5"/>
        <v>80361.657480177397</v>
      </c>
      <c r="K28" s="96"/>
      <c r="L28" s="86">
        <f>+ROUND(healthpension!V31*0.5,2)</f>
        <v>70.11</v>
      </c>
      <c r="M28" s="86">
        <f>+ROUND(healthpension!Y31*0.5,2)</f>
        <v>18.850000000000001</v>
      </c>
      <c r="N28" s="230"/>
    </row>
    <row r="29" spans="1:14" s="33" customFormat="1" x14ac:dyDescent="0.25">
      <c r="A29" s="33">
        <f>+fulltime!A29</f>
        <v>0</v>
      </c>
      <c r="B29" s="33">
        <f>fulltime!M29</f>
        <v>81469.090185523441</v>
      </c>
      <c r="C29" s="33">
        <f>+ficalifeW2!T41</f>
        <v>788.09491199999979</v>
      </c>
      <c r="D29" s="33">
        <f t="shared" si="1"/>
        <v>0</v>
      </c>
      <c r="E29" s="33">
        <f t="shared" si="2"/>
        <v>-1694.6399999999999</v>
      </c>
      <c r="F29" s="33">
        <f t="shared" si="3"/>
        <v>0</v>
      </c>
      <c r="G29" s="33">
        <f t="shared" si="0"/>
        <v>80562.545097523442</v>
      </c>
      <c r="H29" s="33">
        <f t="shared" si="4"/>
        <v>0</v>
      </c>
      <c r="I29" s="33">
        <f t="shared" si="5"/>
        <v>80562.545097523442</v>
      </c>
      <c r="K29" s="96"/>
      <c r="L29" s="86">
        <f>+ROUND(healthpension!V32*0.5,2)</f>
        <v>51.76</v>
      </c>
      <c r="M29" s="86">
        <f>+ROUND(healthpension!Y32*0.5,2)</f>
        <v>18.850000000000001</v>
      </c>
      <c r="N29" s="230"/>
    </row>
    <row r="30" spans="1:14" s="33" customFormat="1" x14ac:dyDescent="0.25">
      <c r="A30" s="33">
        <f>+fulltime!A30</f>
        <v>0</v>
      </c>
      <c r="B30" s="33">
        <f>fulltime!M30</f>
        <v>82770.013861529005</v>
      </c>
      <c r="C30" s="33">
        <f>+ficalifeW2!T42</f>
        <v>849.26783999999998</v>
      </c>
      <c r="D30" s="33">
        <f t="shared" si="1"/>
        <v>0</v>
      </c>
      <c r="E30" s="33">
        <f t="shared" si="2"/>
        <v>-2135.04</v>
      </c>
      <c r="F30" s="33">
        <f t="shared" si="3"/>
        <v>0</v>
      </c>
      <c r="G30" s="33">
        <f t="shared" si="0"/>
        <v>81484.241701529012</v>
      </c>
      <c r="H30" s="33">
        <f t="shared" si="4"/>
        <v>0</v>
      </c>
      <c r="I30" s="33">
        <f t="shared" si="5"/>
        <v>81484.241701529012</v>
      </c>
      <c r="K30" s="96"/>
      <c r="L30" s="86">
        <f>+ROUND(healthpension!V33*0.5,2)</f>
        <v>70.11</v>
      </c>
      <c r="M30" s="86">
        <f>+ROUND(healthpension!Y33*0.5,2)</f>
        <v>18.850000000000001</v>
      </c>
      <c r="N30" s="230"/>
    </row>
    <row r="31" spans="1:14" s="33" customFormat="1" x14ac:dyDescent="0.25">
      <c r="A31" s="33">
        <f>+fulltime!A31</f>
        <v>0</v>
      </c>
      <c r="B31" s="33">
        <f>fulltime!M31</f>
        <v>71778.631055319493</v>
      </c>
      <c r="C31" s="33">
        <f>+ficalifeW2!T43</f>
        <v>468.82233599999995</v>
      </c>
      <c r="D31" s="33">
        <f t="shared" si="1"/>
        <v>-1384.56</v>
      </c>
      <c r="E31" s="33">
        <f t="shared" si="2"/>
        <v>-2135.04</v>
      </c>
      <c r="F31" s="33">
        <f t="shared" si="3"/>
        <v>0</v>
      </c>
      <c r="G31" s="33">
        <f t="shared" si="0"/>
        <v>68727.853391319499</v>
      </c>
      <c r="H31" s="33">
        <f t="shared" si="4"/>
        <v>0</v>
      </c>
      <c r="I31" s="33">
        <f t="shared" si="5"/>
        <v>68727.853391319499</v>
      </c>
      <c r="K31" s="96">
        <v>57.69</v>
      </c>
      <c r="L31" s="86">
        <f>+ROUND(healthpension!V34*0.5,2)</f>
        <v>70.11</v>
      </c>
      <c r="M31" s="86">
        <f>+ROUND(healthpension!Y34*0.5,2)</f>
        <v>18.850000000000001</v>
      </c>
      <c r="N31" s="230"/>
    </row>
    <row r="32" spans="1:14" s="33" customFormat="1" x14ac:dyDescent="0.25">
      <c r="A32" s="33">
        <f>+fulltime!A32</f>
        <v>0</v>
      </c>
      <c r="B32" s="33">
        <f>fulltime!M32</f>
        <v>69014.022691566599</v>
      </c>
      <c r="C32" s="33">
        <f>+ficalifeW2!T44</f>
        <v>95.818751999999975</v>
      </c>
      <c r="D32" s="33">
        <f t="shared" si="1"/>
        <v>0</v>
      </c>
      <c r="E32" s="33">
        <f t="shared" si="2"/>
        <v>-495.12</v>
      </c>
      <c r="F32" s="33">
        <f t="shared" si="3"/>
        <v>0</v>
      </c>
      <c r="G32" s="33">
        <f t="shared" si="0"/>
        <v>68614.72144356661</v>
      </c>
      <c r="H32" s="33">
        <f t="shared" si="4"/>
        <v>0</v>
      </c>
      <c r="I32" s="33">
        <f t="shared" si="5"/>
        <v>68614.72144356661</v>
      </c>
      <c r="K32" s="96"/>
      <c r="L32" s="86">
        <f>+ROUND(healthpension!V35*0.5,2)</f>
        <v>20.63</v>
      </c>
      <c r="M32" s="86">
        <f>+ROUND(healthpension!Y35*0.5,2)</f>
        <v>0</v>
      </c>
      <c r="N32" s="230"/>
    </row>
    <row r="33" spans="1:14" s="33" customFormat="1" x14ac:dyDescent="0.25">
      <c r="A33" s="33">
        <f>+fulltime!A33</f>
        <v>0</v>
      </c>
      <c r="B33" s="33">
        <f>fulltime!M33</f>
        <v>93996.376743557048</v>
      </c>
      <c r="C33" s="33">
        <f>+ficalifeW2!T45</f>
        <v>977.12659199999996</v>
      </c>
      <c r="D33" s="33">
        <f t="shared" si="1"/>
        <v>0</v>
      </c>
      <c r="E33" s="33">
        <f t="shared" si="2"/>
        <v>-2135.04</v>
      </c>
      <c r="F33" s="33">
        <f t="shared" si="3"/>
        <v>0</v>
      </c>
      <c r="G33" s="33">
        <f t="shared" si="0"/>
        <v>92838.463335557055</v>
      </c>
      <c r="H33" s="33">
        <f t="shared" si="4"/>
        <v>0</v>
      </c>
      <c r="I33" s="33">
        <f t="shared" si="5"/>
        <v>92838.463335557055</v>
      </c>
      <c r="K33" s="96"/>
      <c r="L33" s="86">
        <f>+ROUND(healthpension!V36*0.5,2)</f>
        <v>70.11</v>
      </c>
      <c r="M33" s="86">
        <f>+ROUND(healthpension!Y36*0.5,2)</f>
        <v>18.850000000000001</v>
      </c>
      <c r="N33" s="230"/>
    </row>
    <row r="34" spans="1:14" s="33" customFormat="1" x14ac:dyDescent="0.25">
      <c r="A34" s="33">
        <f>+fulltime!A34</f>
        <v>0</v>
      </c>
      <c r="B34" s="33">
        <f>fulltime!M34</f>
        <v>87340.385387442104</v>
      </c>
      <c r="C34" s="33">
        <f>+ficalifeW2!T46</f>
        <v>968.43302400000005</v>
      </c>
      <c r="D34" s="33">
        <f t="shared" si="1"/>
        <v>-1107.5999999999999</v>
      </c>
      <c r="E34" s="33">
        <f t="shared" si="2"/>
        <v>-2135.04</v>
      </c>
      <c r="F34" s="33">
        <f t="shared" si="3"/>
        <v>0</v>
      </c>
      <c r="G34" s="33">
        <f t="shared" si="0"/>
        <v>85066.178411442103</v>
      </c>
      <c r="H34" s="33">
        <f t="shared" si="4"/>
        <v>0</v>
      </c>
      <c r="I34" s="33">
        <f t="shared" si="5"/>
        <v>85066.178411442103</v>
      </c>
      <c r="K34" s="96">
        <v>46.15</v>
      </c>
      <c r="L34" s="86">
        <f>+ROUND(healthpension!V37*0.5,2)</f>
        <v>70.11</v>
      </c>
      <c r="M34" s="86">
        <f>+ROUND(healthpension!Y37*0.5,2)</f>
        <v>18.850000000000001</v>
      </c>
      <c r="N34" s="230"/>
    </row>
    <row r="35" spans="1:14" s="33" customFormat="1" x14ac:dyDescent="0.25">
      <c r="A35" s="33">
        <f>+fulltime!A35</f>
        <v>0</v>
      </c>
      <c r="B35" s="33">
        <f>fulltime!M35</f>
        <v>93260.223165937103</v>
      </c>
      <c r="C35" s="33">
        <f>+ficalifeW2!T47</f>
        <v>359.06592000000006</v>
      </c>
      <c r="D35" s="33">
        <f t="shared" si="1"/>
        <v>-960</v>
      </c>
      <c r="E35" s="33">
        <f t="shared" si="2"/>
        <v>-2135.04</v>
      </c>
      <c r="F35" s="33">
        <f t="shared" si="3"/>
        <v>0</v>
      </c>
      <c r="G35" s="33">
        <f t="shared" ref="G35:G66" si="6">SUM(B35:F35)</f>
        <v>90524.249085937103</v>
      </c>
      <c r="H35" s="33">
        <f t="shared" si="4"/>
        <v>0</v>
      </c>
      <c r="I35" s="33">
        <f t="shared" si="5"/>
        <v>90524.249085937103</v>
      </c>
      <c r="K35" s="96">
        <v>40</v>
      </c>
      <c r="L35" s="86">
        <f>+ROUND(healthpension!V38*0.5,2)</f>
        <v>70.11</v>
      </c>
      <c r="M35" s="86">
        <f>+ROUND(healthpension!Y38*0.5,2)</f>
        <v>18.850000000000001</v>
      </c>
      <c r="N35" s="230"/>
    </row>
    <row r="36" spans="1:14" s="33" customFormat="1" x14ac:dyDescent="0.25">
      <c r="A36" s="33">
        <f>+fulltime!A36</f>
        <v>0</v>
      </c>
      <c r="B36" s="33">
        <f>fulltime!M36</f>
        <v>69093.970239320101</v>
      </c>
      <c r="C36" s="33">
        <f>+ficalifeW2!T48</f>
        <v>839.72601599999985</v>
      </c>
      <c r="D36" s="33">
        <f t="shared" si="1"/>
        <v>-1107.5999999999999</v>
      </c>
      <c r="E36" s="33">
        <f t="shared" si="2"/>
        <v>-495.12</v>
      </c>
      <c r="F36" s="33">
        <f t="shared" si="3"/>
        <v>0</v>
      </c>
      <c r="G36" s="33">
        <f t="shared" si="6"/>
        <v>68330.9762553201</v>
      </c>
      <c r="H36" s="33">
        <f t="shared" si="4"/>
        <v>0</v>
      </c>
      <c r="I36" s="33">
        <f t="shared" si="5"/>
        <v>68330.9762553201</v>
      </c>
      <c r="K36" s="96">
        <v>46.15</v>
      </c>
      <c r="L36" s="86">
        <f>+ROUND(healthpension!V39*0.5,2)</f>
        <v>20.63</v>
      </c>
      <c r="M36" s="86">
        <f>+ROUND(healthpension!Y39*0.5,2)</f>
        <v>0</v>
      </c>
      <c r="N36" s="230"/>
    </row>
    <row r="37" spans="1:14" s="33" customFormat="1" x14ac:dyDescent="0.25">
      <c r="A37" s="33">
        <f>+fulltime!A37</f>
        <v>0</v>
      </c>
      <c r="B37" s="33">
        <f>fulltime!M37</f>
        <v>55749.010743195002</v>
      </c>
      <c r="C37" s="33">
        <f>+ficalifeW2!T49</f>
        <v>62.486400000000003</v>
      </c>
      <c r="D37" s="33">
        <f t="shared" si="1"/>
        <v>0</v>
      </c>
      <c r="E37" s="33">
        <f t="shared" si="2"/>
        <v>-1694.6399999999999</v>
      </c>
      <c r="F37" s="33">
        <f t="shared" si="3"/>
        <v>0</v>
      </c>
      <c r="G37" s="33">
        <f t="shared" si="6"/>
        <v>54116.857143195004</v>
      </c>
      <c r="H37" s="33">
        <f t="shared" si="4"/>
        <v>0</v>
      </c>
      <c r="I37" s="33">
        <f t="shared" si="5"/>
        <v>54116.857143195004</v>
      </c>
      <c r="K37" s="96"/>
      <c r="L37" s="86">
        <f>+ROUND(healthpension!V40*0.5,2)</f>
        <v>51.76</v>
      </c>
      <c r="M37" s="86">
        <f>+ROUND(healthpension!Y40*0.5,2)</f>
        <v>18.850000000000001</v>
      </c>
      <c r="N37" s="230"/>
    </row>
    <row r="38" spans="1:14" s="33" customFormat="1" x14ac:dyDescent="0.25">
      <c r="A38" s="33">
        <f>+fulltime!A38</f>
        <v>0</v>
      </c>
      <c r="B38" s="33">
        <f>fulltime!M38</f>
        <v>86930.22935953454</v>
      </c>
      <c r="C38" s="33">
        <f>+ficalifeW2!T50</f>
        <v>448.2556800000001</v>
      </c>
      <c r="D38" s="33">
        <f t="shared" si="1"/>
        <v>-1107.5999999999999</v>
      </c>
      <c r="E38" s="33">
        <f t="shared" si="2"/>
        <v>-2135.04</v>
      </c>
      <c r="F38" s="33">
        <f t="shared" si="3"/>
        <v>0</v>
      </c>
      <c r="G38" s="33">
        <f t="shared" si="6"/>
        <v>84135.845039534543</v>
      </c>
      <c r="H38" s="33">
        <f t="shared" si="4"/>
        <v>0</v>
      </c>
      <c r="I38" s="33">
        <f t="shared" si="5"/>
        <v>84135.845039534543</v>
      </c>
      <c r="K38" s="96">
        <v>46.15</v>
      </c>
      <c r="L38" s="86">
        <f>+ROUND(healthpension!V41*0.5,2)</f>
        <v>70.11</v>
      </c>
      <c r="M38" s="86">
        <f>+ROUND(healthpension!Y41*0.5,2)</f>
        <v>18.850000000000001</v>
      </c>
      <c r="N38" s="230"/>
    </row>
    <row r="39" spans="1:14" s="33" customFormat="1" x14ac:dyDescent="0.25">
      <c r="A39" s="33">
        <f>+fulltime!A39</f>
        <v>0</v>
      </c>
      <c r="B39" s="33">
        <f>fulltime!M39</f>
        <v>81977.316087213418</v>
      </c>
      <c r="C39" s="33">
        <f>+ficalifeW2!T51</f>
        <v>292.63775999999996</v>
      </c>
      <c r="D39" s="33">
        <f t="shared" si="1"/>
        <v>0</v>
      </c>
      <c r="E39" s="33">
        <f t="shared" si="2"/>
        <v>-2135.04</v>
      </c>
      <c r="F39" s="33">
        <f t="shared" si="3"/>
        <v>0</v>
      </c>
      <c r="G39" s="33">
        <f t="shared" si="6"/>
        <v>80134.913847213422</v>
      </c>
      <c r="H39" s="33">
        <f t="shared" si="4"/>
        <v>0</v>
      </c>
      <c r="I39" s="33">
        <f t="shared" si="5"/>
        <v>80134.913847213422</v>
      </c>
      <c r="K39" s="96"/>
      <c r="L39" s="86">
        <f>+ROUND(healthpension!V42*0.5,2)</f>
        <v>70.11</v>
      </c>
      <c r="M39" s="86">
        <f>+ROUND(healthpension!Y42*0.5,2)</f>
        <v>18.850000000000001</v>
      </c>
      <c r="N39" s="230"/>
    </row>
    <row r="40" spans="1:14" s="33" customFormat="1" x14ac:dyDescent="0.25">
      <c r="A40" s="33">
        <f>+fulltime!A40</f>
        <v>0</v>
      </c>
      <c r="B40" s="33">
        <f>fulltime!M40</f>
        <v>48615.259278037855</v>
      </c>
      <c r="C40" s="33">
        <f>+ficalifeW2!T52</f>
        <v>121.37548800000002</v>
      </c>
      <c r="D40" s="33">
        <f t="shared" si="1"/>
        <v>0</v>
      </c>
      <c r="E40" s="33">
        <f t="shared" si="2"/>
        <v>-1066.8000000000002</v>
      </c>
      <c r="F40" s="33">
        <f t="shared" si="3"/>
        <v>0</v>
      </c>
      <c r="G40" s="33">
        <f t="shared" si="6"/>
        <v>47669.834766037849</v>
      </c>
      <c r="H40" s="33">
        <f t="shared" si="4"/>
        <v>0</v>
      </c>
      <c r="I40" s="33">
        <f t="shared" si="5"/>
        <v>47669.834766037849</v>
      </c>
      <c r="K40" s="96"/>
      <c r="L40" s="86">
        <f>+ROUND(healthpension!V43*0.5,2)</f>
        <v>44.45</v>
      </c>
      <c r="M40" s="86">
        <f>+ROUND(healthpension!Y43*0.5,2)</f>
        <v>0</v>
      </c>
      <c r="N40" s="230"/>
    </row>
    <row r="41" spans="1:14" s="33" customFormat="1" x14ac:dyDescent="0.25">
      <c r="A41" s="33">
        <f>+fulltime!A41</f>
        <v>0</v>
      </c>
      <c r="B41" s="33">
        <f>fulltime!M41</f>
        <v>144809.60000000001</v>
      </c>
      <c r="C41" s="33">
        <f>+ficalifeW2!T53</f>
        <v>1100.623488</v>
      </c>
      <c r="D41" s="33">
        <f t="shared" si="1"/>
        <v>-2353.92</v>
      </c>
      <c r="E41" s="33">
        <f t="shared" si="2"/>
        <v>-2135.04</v>
      </c>
      <c r="F41" s="33">
        <f>+N41*26</f>
        <v>451.1</v>
      </c>
      <c r="G41" s="33">
        <f t="shared" si="6"/>
        <v>141872.363488</v>
      </c>
      <c r="H41" s="33">
        <f t="shared" si="4"/>
        <v>23372.363488000003</v>
      </c>
      <c r="I41" s="33">
        <f t="shared" si="5"/>
        <v>118500</v>
      </c>
      <c r="K41" s="96">
        <v>98.08</v>
      </c>
      <c r="L41" s="86">
        <f>+ROUND(healthpension!V44*0.5,2)</f>
        <v>70.11</v>
      </c>
      <c r="M41" s="86">
        <f>+ROUND(healthpension!Y44*0.5,2)</f>
        <v>18.850000000000001</v>
      </c>
      <c r="N41" s="230">
        <v>17.350000000000001</v>
      </c>
    </row>
    <row r="42" spans="1:14" s="33" customFormat="1" x14ac:dyDescent="0.25">
      <c r="A42" s="33">
        <f>+fulltime!A42</f>
        <v>0</v>
      </c>
      <c r="B42" s="33">
        <f>fulltime!M42</f>
        <v>57593.499551697685</v>
      </c>
      <c r="C42" s="33">
        <f>+ficalifeW2!T54</f>
        <v>1031.8936319999998</v>
      </c>
      <c r="D42" s="33">
        <f t="shared" si="1"/>
        <v>-664.56000000000006</v>
      </c>
      <c r="E42" s="33">
        <f t="shared" si="2"/>
        <v>-1694.6399999999999</v>
      </c>
      <c r="F42" s="33">
        <f t="shared" si="3"/>
        <v>0</v>
      </c>
      <c r="G42" s="33">
        <f t="shared" si="6"/>
        <v>56266.193183697687</v>
      </c>
      <c r="H42" s="33">
        <f t="shared" si="4"/>
        <v>0</v>
      </c>
      <c r="I42" s="33">
        <f t="shared" si="5"/>
        <v>56266.193183697687</v>
      </c>
      <c r="K42" s="96">
        <v>27.69</v>
      </c>
      <c r="L42" s="86">
        <f>+ROUND(healthpension!V45*0.5,2)</f>
        <v>51.76</v>
      </c>
      <c r="M42" s="86">
        <f>+ROUND(healthpension!Y45*0.5,2)</f>
        <v>18.850000000000001</v>
      </c>
      <c r="N42" s="230"/>
    </row>
    <row r="43" spans="1:14" s="33" customFormat="1" x14ac:dyDescent="0.25">
      <c r="A43" s="33">
        <f>+fulltime!A43</f>
        <v>0</v>
      </c>
      <c r="B43" s="33">
        <f>fulltime!M43</f>
        <v>38001.396688239052</v>
      </c>
      <c r="C43" s="33">
        <f>+ficalifeW2!T55</f>
        <v>51.565440000000009</v>
      </c>
      <c r="D43" s="33">
        <f t="shared" si="1"/>
        <v>0</v>
      </c>
      <c r="E43" s="33">
        <f t="shared" si="2"/>
        <v>-2135.04</v>
      </c>
      <c r="F43" s="33">
        <f t="shared" si="3"/>
        <v>0</v>
      </c>
      <c r="G43" s="33">
        <f t="shared" si="6"/>
        <v>35917.92212823905</v>
      </c>
      <c r="H43" s="33">
        <f t="shared" si="4"/>
        <v>0</v>
      </c>
      <c r="I43" s="33">
        <f t="shared" si="5"/>
        <v>35917.92212823905</v>
      </c>
      <c r="K43" s="96"/>
      <c r="L43" s="86">
        <f>+ROUND(healthpension!V46*0.5,2)</f>
        <v>70.11</v>
      </c>
      <c r="M43" s="86">
        <f>+ROUND(healthpension!Y46*0.5,2)</f>
        <v>18.850000000000001</v>
      </c>
      <c r="N43" s="230"/>
    </row>
    <row r="44" spans="1:14" s="33" customFormat="1" x14ac:dyDescent="0.25">
      <c r="A44" s="33">
        <f>+fulltime!A44</f>
        <v>0</v>
      </c>
      <c r="B44" s="33">
        <f>fulltime!M44</f>
        <v>55021.094529509086</v>
      </c>
      <c r="C44" s="33">
        <f>+ficalifeW2!T56</f>
        <v>728.98252800000023</v>
      </c>
      <c r="D44" s="33">
        <f t="shared" si="1"/>
        <v>-646.08000000000004</v>
      </c>
      <c r="E44" s="33">
        <f t="shared" si="2"/>
        <v>-1694.6399999999999</v>
      </c>
      <c r="F44" s="33">
        <f t="shared" si="3"/>
        <v>0</v>
      </c>
      <c r="G44" s="33">
        <f t="shared" si="6"/>
        <v>53409.357057509085</v>
      </c>
      <c r="H44" s="33">
        <f t="shared" si="4"/>
        <v>0</v>
      </c>
      <c r="I44" s="33">
        <f t="shared" si="5"/>
        <v>53409.357057509085</v>
      </c>
      <c r="K44" s="96">
        <v>26.92</v>
      </c>
      <c r="L44" s="86">
        <f>+ROUND(healthpension!V47*0.5,2)</f>
        <v>51.76</v>
      </c>
      <c r="M44" s="86">
        <f>+ROUND(healthpension!Y47*0.5,2)</f>
        <v>18.850000000000001</v>
      </c>
      <c r="N44" s="230"/>
    </row>
    <row r="45" spans="1:14" s="33" customFormat="1" x14ac:dyDescent="0.25">
      <c r="A45" s="33">
        <f>+fulltime!A45</f>
        <v>0</v>
      </c>
      <c r="B45" s="33">
        <f>fulltime!M45</f>
        <v>43616.645615299705</v>
      </c>
      <c r="C45" s="33">
        <f>+ficalifeW2!T57</f>
        <v>63.032831999999985</v>
      </c>
      <c r="D45" s="33">
        <f t="shared" si="1"/>
        <v>0</v>
      </c>
      <c r="E45" s="33">
        <f t="shared" si="2"/>
        <v>-495.12</v>
      </c>
      <c r="F45" s="33">
        <f t="shared" si="3"/>
        <v>0</v>
      </c>
      <c r="G45" s="33">
        <f t="shared" si="6"/>
        <v>43184.5584472997</v>
      </c>
      <c r="H45" s="33">
        <f t="shared" si="4"/>
        <v>0</v>
      </c>
      <c r="I45" s="33">
        <f t="shared" si="5"/>
        <v>43184.5584472997</v>
      </c>
      <c r="K45" s="96"/>
      <c r="L45" s="86">
        <f>+ROUND(healthpension!V48*0.5,2)</f>
        <v>20.63</v>
      </c>
      <c r="M45" s="86">
        <f>+ROUND(healthpension!Y48*0.5,2)</f>
        <v>0</v>
      </c>
      <c r="N45" s="230"/>
    </row>
    <row r="46" spans="1:14" s="33" customFormat="1" x14ac:dyDescent="0.25">
      <c r="A46" s="33">
        <f>+fulltime!A46</f>
        <v>0</v>
      </c>
      <c r="B46" s="33">
        <f>fulltime!M46</f>
        <v>81169.597143288353</v>
      </c>
      <c r="C46" s="33">
        <f>+ficalifeW2!T58</f>
        <v>445.51123199999995</v>
      </c>
      <c r="D46" s="33">
        <f t="shared" si="1"/>
        <v>0</v>
      </c>
      <c r="E46" s="33">
        <f t="shared" si="2"/>
        <v>-2135.04</v>
      </c>
      <c r="F46" s="33">
        <f t="shared" si="3"/>
        <v>0</v>
      </c>
      <c r="G46" s="33">
        <f t="shared" si="6"/>
        <v>79480.068375288363</v>
      </c>
      <c r="H46" s="33">
        <f t="shared" si="4"/>
        <v>0</v>
      </c>
      <c r="I46" s="33">
        <f t="shared" si="5"/>
        <v>79480.068375288363</v>
      </c>
      <c r="K46" s="96"/>
      <c r="L46" s="86">
        <f>+ROUND(healthpension!V49*0.5,2)</f>
        <v>70.11</v>
      </c>
      <c r="M46" s="86">
        <f>+ROUND(healthpension!Y49*0.5,2)</f>
        <v>18.850000000000001</v>
      </c>
      <c r="N46" s="230"/>
    </row>
    <row r="47" spans="1:14" s="33" customFormat="1" x14ac:dyDescent="0.25">
      <c r="A47" s="33">
        <f>+fulltime!A47</f>
        <v>0</v>
      </c>
      <c r="B47" s="33">
        <f>fulltime!M47</f>
        <v>82971.615833439151</v>
      </c>
      <c r="C47" s="33">
        <f>+ficalifeW2!T59</f>
        <v>292.52544</v>
      </c>
      <c r="D47" s="33">
        <f t="shared" si="1"/>
        <v>-2112</v>
      </c>
      <c r="E47" s="33">
        <f t="shared" si="2"/>
        <v>-2135.04</v>
      </c>
      <c r="F47" s="33">
        <f t="shared" si="3"/>
        <v>0</v>
      </c>
      <c r="G47" s="33">
        <f t="shared" si="6"/>
        <v>79017.101273439155</v>
      </c>
      <c r="H47" s="33">
        <f t="shared" si="4"/>
        <v>0</v>
      </c>
      <c r="I47" s="33">
        <f t="shared" si="5"/>
        <v>79017.101273439155</v>
      </c>
      <c r="K47" s="96">
        <v>88</v>
      </c>
      <c r="L47" s="86">
        <f>+ROUND(healthpension!V50*0.5,2)</f>
        <v>70.11</v>
      </c>
      <c r="M47" s="86">
        <f>+ROUND(healthpension!Y50*0.5,2)</f>
        <v>18.850000000000001</v>
      </c>
      <c r="N47" s="230"/>
    </row>
    <row r="48" spans="1:14" s="33" customFormat="1" x14ac:dyDescent="0.25">
      <c r="A48" s="33">
        <f>+fulltime!A48</f>
        <v>0</v>
      </c>
      <c r="B48" s="33">
        <f>fulltime!M48</f>
        <v>77022.399999999994</v>
      </c>
      <c r="C48" s="33">
        <f>+ficalifeW2!T60</f>
        <v>247.28064000000003</v>
      </c>
      <c r="D48" s="33">
        <f t="shared" si="1"/>
        <v>-2353.92</v>
      </c>
      <c r="E48" s="33">
        <f t="shared" si="2"/>
        <v>-2135.04</v>
      </c>
      <c r="F48" s="33">
        <f t="shared" si="3"/>
        <v>0</v>
      </c>
      <c r="G48" s="33">
        <f t="shared" si="6"/>
        <v>72780.72064</v>
      </c>
      <c r="H48" s="33">
        <f t="shared" si="4"/>
        <v>0</v>
      </c>
      <c r="I48" s="33">
        <f t="shared" si="5"/>
        <v>72780.72064</v>
      </c>
      <c r="K48" s="96">
        <v>98.08</v>
      </c>
      <c r="L48" s="86">
        <f>+ROUND(healthpension!V51*0.5,2)</f>
        <v>70.11</v>
      </c>
      <c r="M48" s="86">
        <f>+ROUND(healthpension!Y51*0.5,2)</f>
        <v>18.850000000000001</v>
      </c>
      <c r="N48" s="230"/>
    </row>
    <row r="49" spans="1:14" s="33" customFormat="1" x14ac:dyDescent="0.25">
      <c r="A49" s="33">
        <f>+fulltime!A49</f>
        <v>0</v>
      </c>
      <c r="B49" s="33">
        <f>fulltime!M49</f>
        <v>69471.971347355502</v>
      </c>
      <c r="C49" s="33">
        <f>+ficalifeW2!T61</f>
        <v>70.900800000000004</v>
      </c>
      <c r="D49" s="33">
        <f t="shared" si="1"/>
        <v>0</v>
      </c>
      <c r="E49" s="33">
        <f t="shared" si="2"/>
        <v>-495.12</v>
      </c>
      <c r="F49" s="33">
        <f t="shared" si="3"/>
        <v>0</v>
      </c>
      <c r="G49" s="33">
        <f t="shared" si="6"/>
        <v>69047.75214735551</v>
      </c>
      <c r="H49" s="33">
        <f t="shared" si="4"/>
        <v>0</v>
      </c>
      <c r="I49" s="33">
        <f t="shared" si="5"/>
        <v>69047.75214735551</v>
      </c>
      <c r="K49" s="96"/>
      <c r="L49" s="86">
        <f>+ROUND(healthpension!V52*0.5,2)</f>
        <v>20.63</v>
      </c>
      <c r="M49" s="86">
        <f>+ROUND(healthpension!Y52*0.5,2)</f>
        <v>0</v>
      </c>
      <c r="N49" s="230"/>
    </row>
    <row r="50" spans="1:14" s="33" customFormat="1" x14ac:dyDescent="0.25">
      <c r="A50" s="33">
        <f>+fulltime!A50</f>
        <v>0</v>
      </c>
      <c r="B50" s="33">
        <f>fulltime!M50</f>
        <v>55888.066663837919</v>
      </c>
      <c r="C50" s="33">
        <f>+ficalifeW2!T62</f>
        <v>146.08896000000004</v>
      </c>
      <c r="D50" s="33">
        <f t="shared" si="1"/>
        <v>-1440</v>
      </c>
      <c r="E50" s="33">
        <f t="shared" si="2"/>
        <v>-1519.2</v>
      </c>
      <c r="F50" s="33">
        <f t="shared" si="3"/>
        <v>0</v>
      </c>
      <c r="G50" s="33">
        <f t="shared" si="6"/>
        <v>53074.955623837923</v>
      </c>
      <c r="H50" s="33">
        <f t="shared" si="4"/>
        <v>0</v>
      </c>
      <c r="I50" s="33">
        <f t="shared" si="5"/>
        <v>53074.955623837923</v>
      </c>
      <c r="K50" s="96">
        <v>60</v>
      </c>
      <c r="L50" s="86">
        <f>+ROUND(healthpension!V53*0.5,2)</f>
        <v>44.45</v>
      </c>
      <c r="M50" s="86">
        <f>+ROUND(healthpension!Y53*0.5,2)</f>
        <v>18.850000000000001</v>
      </c>
      <c r="N50" s="230"/>
    </row>
    <row r="51" spans="1:14" s="33" customFormat="1" x14ac:dyDescent="0.25">
      <c r="A51" s="33">
        <f>+fulltime!A51</f>
        <v>0</v>
      </c>
      <c r="B51" s="33">
        <f>fulltime!M51</f>
        <v>103812.8</v>
      </c>
      <c r="C51" s="33">
        <f>+ficalifeW2!T63</f>
        <v>1400.6221439999997</v>
      </c>
      <c r="D51" s="33">
        <f t="shared" si="1"/>
        <v>-1200</v>
      </c>
      <c r="E51" s="33">
        <f t="shared" si="2"/>
        <v>-1694.6399999999999</v>
      </c>
      <c r="F51" s="33">
        <f t="shared" si="3"/>
        <v>0</v>
      </c>
      <c r="G51" s="33">
        <f t="shared" si="6"/>
        <v>102318.782144</v>
      </c>
      <c r="H51" s="33">
        <f t="shared" si="4"/>
        <v>0</v>
      </c>
      <c r="I51" s="33">
        <f t="shared" si="5"/>
        <v>102318.782144</v>
      </c>
      <c r="K51" s="96">
        <v>50</v>
      </c>
      <c r="L51" s="86">
        <f>+ROUND(healthpension!V54*0.5,2)</f>
        <v>51.76</v>
      </c>
      <c r="M51" s="86">
        <f>+ROUND(healthpension!Y54*0.5,2)</f>
        <v>18.850000000000001</v>
      </c>
      <c r="N51" s="230"/>
    </row>
    <row r="52" spans="1:14" s="33" customFormat="1" x14ac:dyDescent="0.25">
      <c r="A52" s="33">
        <f>+fulltime!A52</f>
        <v>0</v>
      </c>
      <c r="B52" s="33">
        <f>fulltime!M52</f>
        <v>109782.39999999999</v>
      </c>
      <c r="C52" s="33">
        <f>+ficalifeW2!T64</f>
        <v>1475.0315520000001</v>
      </c>
      <c r="D52" s="33">
        <f t="shared" si="1"/>
        <v>-1384.56</v>
      </c>
      <c r="E52" s="33">
        <f t="shared" si="2"/>
        <v>-2135.04</v>
      </c>
      <c r="F52" s="33">
        <f t="shared" si="3"/>
        <v>0</v>
      </c>
      <c r="G52" s="33">
        <f t="shared" si="6"/>
        <v>107737.831552</v>
      </c>
      <c r="H52" s="33">
        <f t="shared" si="4"/>
        <v>0</v>
      </c>
      <c r="I52" s="33">
        <f t="shared" si="5"/>
        <v>107737.831552</v>
      </c>
      <c r="K52" s="96">
        <v>57.69</v>
      </c>
      <c r="L52" s="86">
        <f>+ROUND(healthpension!V55*0.5,2)</f>
        <v>70.11</v>
      </c>
      <c r="M52" s="86">
        <f>+ROUND(healthpension!Y55*0.5,2)</f>
        <v>18.850000000000001</v>
      </c>
      <c r="N52" s="230"/>
    </row>
    <row r="53" spans="1:14" s="33" customFormat="1" x14ac:dyDescent="0.25">
      <c r="A53" s="33">
        <f>+fulltime!A53</f>
        <v>0</v>
      </c>
      <c r="B53" s="33">
        <f>fulltime!M53</f>
        <v>74244.052335889704</v>
      </c>
      <c r="C53" s="33">
        <f>+ficalifeW2!T65</f>
        <v>1061.5461120000002</v>
      </c>
      <c r="D53" s="33">
        <f t="shared" si="1"/>
        <v>-1440</v>
      </c>
      <c r="E53" s="33">
        <f t="shared" si="2"/>
        <v>-1694.6399999999999</v>
      </c>
      <c r="F53" s="33">
        <f t="shared" si="3"/>
        <v>0</v>
      </c>
      <c r="G53" s="33">
        <f t="shared" si="6"/>
        <v>72170.958447889701</v>
      </c>
      <c r="H53" s="33">
        <f t="shared" si="4"/>
        <v>0</v>
      </c>
      <c r="I53" s="33">
        <f t="shared" si="5"/>
        <v>72170.958447889701</v>
      </c>
      <c r="K53" s="96">
        <v>60</v>
      </c>
      <c r="L53" s="86">
        <f>+ROUND(healthpension!V56*0.5,2)</f>
        <v>51.76</v>
      </c>
      <c r="M53" s="86">
        <f>+ROUND(healthpension!Y56*0.5,2)</f>
        <v>18.850000000000001</v>
      </c>
      <c r="N53" s="230"/>
    </row>
    <row r="54" spans="1:14" s="33" customFormat="1" x14ac:dyDescent="0.25">
      <c r="A54" s="33">
        <f>+fulltime!A54</f>
        <v>0</v>
      </c>
      <c r="B54" s="33">
        <f>fulltime!M54</f>
        <v>96406.364680674509</v>
      </c>
      <c r="C54" s="33">
        <f>+ficalifeW2!T66</f>
        <v>190.45248000000004</v>
      </c>
      <c r="D54" s="33">
        <f t="shared" si="1"/>
        <v>-461.52</v>
      </c>
      <c r="E54" s="33">
        <f t="shared" si="2"/>
        <v>-2135.04</v>
      </c>
      <c r="F54" s="33">
        <f t="shared" si="3"/>
        <v>0</v>
      </c>
      <c r="G54" s="33">
        <f t="shared" si="6"/>
        <v>94000.257160674519</v>
      </c>
      <c r="H54" s="33">
        <f t="shared" si="4"/>
        <v>0</v>
      </c>
      <c r="I54" s="33">
        <f t="shared" si="5"/>
        <v>94000.257160674519</v>
      </c>
      <c r="K54" s="96">
        <v>19.23</v>
      </c>
      <c r="L54" s="86">
        <f>+ROUND(healthpension!V57*0.5,2)</f>
        <v>70.11</v>
      </c>
      <c r="M54" s="86">
        <f>+ROUND(healthpension!Y57*0.5,2)</f>
        <v>18.850000000000001</v>
      </c>
      <c r="N54" s="230"/>
    </row>
    <row r="55" spans="1:14" s="33" customFormat="1" x14ac:dyDescent="0.25">
      <c r="A55" s="33">
        <f>+fulltime!A55</f>
        <v>0</v>
      </c>
      <c r="B55" s="33">
        <f>fulltime!M55</f>
        <v>82639.588283450779</v>
      </c>
      <c r="C55" s="33">
        <f>+ficalifeW2!T67</f>
        <v>458.08358399999997</v>
      </c>
      <c r="D55" s="33">
        <f t="shared" si="1"/>
        <v>0</v>
      </c>
      <c r="E55" s="33">
        <f t="shared" si="2"/>
        <v>-2135.04</v>
      </c>
      <c r="F55" s="33">
        <f t="shared" si="3"/>
        <v>0</v>
      </c>
      <c r="G55" s="33">
        <f t="shared" si="6"/>
        <v>80962.631867450793</v>
      </c>
      <c r="H55" s="33">
        <f t="shared" si="4"/>
        <v>0</v>
      </c>
      <c r="I55" s="33">
        <f t="shared" si="5"/>
        <v>80962.631867450793</v>
      </c>
      <c r="K55" s="96"/>
      <c r="L55" s="86">
        <f>+ROUND(healthpension!V58*0.5,2)</f>
        <v>70.11</v>
      </c>
      <c r="M55" s="86">
        <f>+ROUND(healthpension!Y58*0.5,2)</f>
        <v>18.850000000000001</v>
      </c>
      <c r="N55" s="230"/>
    </row>
    <row r="56" spans="1:14" s="33" customFormat="1" x14ac:dyDescent="0.25">
      <c r="A56" s="33">
        <f>+fulltime!A56</f>
        <v>0</v>
      </c>
      <c r="B56" s="33">
        <f>fulltime!M56</f>
        <v>140816.49455800187</v>
      </c>
      <c r="C56" s="33">
        <f>+ficalifeW2!T68</f>
        <v>1691.2830719999999</v>
      </c>
      <c r="D56" s="33">
        <f t="shared" si="1"/>
        <v>-923.04</v>
      </c>
      <c r="E56" s="33">
        <f t="shared" si="2"/>
        <v>-1694.6399999999999</v>
      </c>
      <c r="F56" s="33">
        <f t="shared" si="3"/>
        <v>1550.38</v>
      </c>
      <c r="G56" s="33">
        <f t="shared" si="6"/>
        <v>141440.47763000184</v>
      </c>
      <c r="H56" s="33">
        <f t="shared" si="4"/>
        <v>22940.477630001842</v>
      </c>
      <c r="I56" s="33">
        <f t="shared" si="5"/>
        <v>118500</v>
      </c>
      <c r="K56" s="96">
        <v>38.46</v>
      </c>
      <c r="L56" s="86">
        <f>+ROUND(healthpension!V59*0.5,2)</f>
        <v>51.76</v>
      </c>
      <c r="M56" s="86">
        <f>+ROUND(healthpension!Y59*0.5,2)</f>
        <v>18.850000000000001</v>
      </c>
      <c r="N56" s="230">
        <v>59.63</v>
      </c>
    </row>
    <row r="57" spans="1:14" s="33" customFormat="1" x14ac:dyDescent="0.25">
      <c r="A57" s="33">
        <f>+fulltime!A57</f>
        <v>0</v>
      </c>
      <c r="B57" s="33">
        <f>fulltime!M57</f>
        <v>77604.800000000003</v>
      </c>
      <c r="C57" s="33">
        <f>+ficalifeW2!T69</f>
        <v>359.06592000000006</v>
      </c>
      <c r="D57" s="33">
        <f t="shared" si="1"/>
        <v>-830.87999999999988</v>
      </c>
      <c r="E57" s="33">
        <f t="shared" si="2"/>
        <v>-2135.04</v>
      </c>
      <c r="F57" s="33">
        <f t="shared" si="3"/>
        <v>0</v>
      </c>
      <c r="G57" s="33">
        <f t="shared" si="6"/>
        <v>74997.945919999998</v>
      </c>
      <c r="H57" s="33">
        <f t="shared" si="4"/>
        <v>0</v>
      </c>
      <c r="I57" s="33">
        <f t="shared" si="5"/>
        <v>74997.945919999998</v>
      </c>
      <c r="K57" s="96">
        <v>34.619999999999997</v>
      </c>
      <c r="L57" s="86">
        <f>+ROUND(healthpension!V60*0.5,2)</f>
        <v>70.11</v>
      </c>
      <c r="M57" s="86">
        <f>+ROUND(healthpension!Y60*0.5,2)</f>
        <v>18.850000000000001</v>
      </c>
      <c r="N57" s="230"/>
    </row>
    <row r="58" spans="1:14" s="33" customFormat="1" x14ac:dyDescent="0.25">
      <c r="A58" s="33">
        <f>+fulltime!A58</f>
        <v>0</v>
      </c>
      <c r="B58" s="33">
        <f>fulltime!M58</f>
        <v>79620.268583792495</v>
      </c>
      <c r="C58" s="33">
        <f>+ficalifeW2!T70</f>
        <v>503.11123199999997</v>
      </c>
      <c r="D58" s="33">
        <f t="shared" si="1"/>
        <v>-1200</v>
      </c>
      <c r="E58" s="33">
        <f t="shared" si="2"/>
        <v>-2135.04</v>
      </c>
      <c r="F58" s="33">
        <f t="shared" si="3"/>
        <v>0</v>
      </c>
      <c r="G58" s="33">
        <f t="shared" si="6"/>
        <v>76788.339815792497</v>
      </c>
      <c r="H58" s="33">
        <f t="shared" si="4"/>
        <v>0</v>
      </c>
      <c r="I58" s="33">
        <f t="shared" si="5"/>
        <v>76788.339815792497</v>
      </c>
      <c r="K58" s="96">
        <v>50</v>
      </c>
      <c r="L58" s="86">
        <f>+ROUND(healthpension!V61*0.5,2)</f>
        <v>70.11</v>
      </c>
      <c r="M58" s="86">
        <f>+ROUND(healthpension!Y61*0.5,2)</f>
        <v>18.850000000000001</v>
      </c>
      <c r="N58" s="230"/>
    </row>
    <row r="59" spans="1:14" s="33" customFormat="1" x14ac:dyDescent="0.25">
      <c r="A59" s="33">
        <f>+fulltime!A59</f>
        <v>0</v>
      </c>
      <c r="B59" s="33">
        <f>fulltime!M59</f>
        <v>77662.60424727574</v>
      </c>
      <c r="C59" s="33">
        <f>+ficalifeW2!T71</f>
        <v>92.280960000000007</v>
      </c>
      <c r="D59" s="33">
        <f t="shared" si="1"/>
        <v>0</v>
      </c>
      <c r="E59" s="33">
        <f t="shared" si="2"/>
        <v>-1694.6399999999999</v>
      </c>
      <c r="F59" s="33">
        <f t="shared" si="3"/>
        <v>0</v>
      </c>
      <c r="G59" s="33">
        <f t="shared" si="6"/>
        <v>76060.245207275744</v>
      </c>
      <c r="H59" s="33">
        <f t="shared" si="4"/>
        <v>0</v>
      </c>
      <c r="I59" s="33">
        <f t="shared" si="5"/>
        <v>76060.245207275744</v>
      </c>
      <c r="K59" s="96"/>
      <c r="L59" s="86">
        <f>+ROUND(healthpension!V62*0.5,2)</f>
        <v>51.76</v>
      </c>
      <c r="M59" s="86">
        <f>+ROUND(healthpension!Y62*0.5,2)</f>
        <v>18.850000000000001</v>
      </c>
      <c r="N59" s="230"/>
    </row>
    <row r="60" spans="1:14" s="33" customFormat="1" x14ac:dyDescent="0.25">
      <c r="A60" s="33">
        <f>+fulltime!A60</f>
        <v>0</v>
      </c>
      <c r="B60" s="33">
        <f>fulltime!M60</f>
        <v>68227.515372568407</v>
      </c>
      <c r="C60" s="33">
        <f>+ficalifeW2!T72</f>
        <v>147.64646399999995</v>
      </c>
      <c r="D60" s="33">
        <f t="shared" si="1"/>
        <v>0</v>
      </c>
      <c r="E60" s="33">
        <f t="shared" si="2"/>
        <v>-495.12</v>
      </c>
      <c r="F60" s="33">
        <f t="shared" si="3"/>
        <v>0</v>
      </c>
      <c r="G60" s="33">
        <f t="shared" si="6"/>
        <v>67880.041836568416</v>
      </c>
      <c r="H60" s="33">
        <f t="shared" si="4"/>
        <v>0</v>
      </c>
      <c r="I60" s="33">
        <f t="shared" si="5"/>
        <v>67880.041836568416</v>
      </c>
      <c r="K60" s="96"/>
      <c r="L60" s="86">
        <f>+ROUND(healthpension!V63*0.5,2)</f>
        <v>20.63</v>
      </c>
      <c r="M60" s="86">
        <f>+ROUND(healthpension!Y63*0.5,2)</f>
        <v>0</v>
      </c>
      <c r="N60" s="230"/>
    </row>
    <row r="61" spans="1:14" s="33" customFormat="1" x14ac:dyDescent="0.25">
      <c r="A61" s="33">
        <f>+fulltime!A61</f>
        <v>0</v>
      </c>
      <c r="B61" s="33">
        <f>fulltime!M61</f>
        <v>59164.930649907001</v>
      </c>
      <c r="C61" s="33">
        <f>+ficalifeW2!T73</f>
        <v>102.54912</v>
      </c>
      <c r="D61" s="33">
        <f t="shared" si="1"/>
        <v>0</v>
      </c>
      <c r="E61" s="33">
        <f t="shared" si="2"/>
        <v>-2135.04</v>
      </c>
      <c r="F61" s="33">
        <f t="shared" si="3"/>
        <v>0</v>
      </c>
      <c r="G61" s="33">
        <f t="shared" si="6"/>
        <v>57132.439769907003</v>
      </c>
      <c r="H61" s="33">
        <f t="shared" si="4"/>
        <v>0</v>
      </c>
      <c r="I61" s="33">
        <f t="shared" si="5"/>
        <v>57132.439769907003</v>
      </c>
      <c r="K61" s="96"/>
      <c r="L61" s="86">
        <f>+ROUND(healthpension!V64*0.5,2)</f>
        <v>70.11</v>
      </c>
      <c r="M61" s="86">
        <f>+ROUND(healthpension!Y64*0.5,2)</f>
        <v>18.850000000000001</v>
      </c>
      <c r="N61" s="230"/>
    </row>
    <row r="62" spans="1:14" s="33" customFormat="1" x14ac:dyDescent="0.25">
      <c r="A62" s="33">
        <f>+fulltime!A62</f>
        <v>0</v>
      </c>
      <c r="B62" s="33">
        <f>fulltime!M62</f>
        <v>81806.399999999994</v>
      </c>
      <c r="C62" s="33">
        <f>+ficalifeW2!T74</f>
        <v>1059.9630719999998</v>
      </c>
      <c r="D62" s="33">
        <f t="shared" si="1"/>
        <v>0</v>
      </c>
      <c r="E62" s="33">
        <f t="shared" si="2"/>
        <v>-495.12</v>
      </c>
      <c r="F62" s="33">
        <f t="shared" si="3"/>
        <v>0</v>
      </c>
      <c r="G62" s="33">
        <f t="shared" si="6"/>
        <v>82371.243071999997</v>
      </c>
      <c r="H62" s="33">
        <f t="shared" si="4"/>
        <v>0</v>
      </c>
      <c r="I62" s="33">
        <f t="shared" si="5"/>
        <v>82371.243071999997</v>
      </c>
      <c r="K62" s="96"/>
      <c r="L62" s="86">
        <f>+ROUND(healthpension!V65*0.5,2)</f>
        <v>20.63</v>
      </c>
      <c r="M62" s="86">
        <f>+ROUND(healthpension!Y65*0.5,2)</f>
        <v>0</v>
      </c>
      <c r="N62" s="230"/>
    </row>
    <row r="63" spans="1:14" s="33" customFormat="1" x14ac:dyDescent="0.25">
      <c r="A63" s="33">
        <f>+fulltime!A63</f>
        <v>0</v>
      </c>
      <c r="B63" s="33">
        <f>fulltime!M63</f>
        <v>106641.60000000001</v>
      </c>
      <c r="C63" s="33">
        <f>+ficalifeW2!T75</f>
        <v>1444.4119680000001</v>
      </c>
      <c r="D63" s="33">
        <f t="shared" si="1"/>
        <v>-253.92000000000002</v>
      </c>
      <c r="E63" s="33">
        <f t="shared" si="2"/>
        <v>-495.12</v>
      </c>
      <c r="F63" s="33">
        <f t="shared" si="3"/>
        <v>824.19999999999993</v>
      </c>
      <c r="G63" s="33">
        <f t="shared" si="6"/>
        <v>108161.17196800001</v>
      </c>
      <c r="H63" s="33">
        <f t="shared" si="4"/>
        <v>0</v>
      </c>
      <c r="I63" s="33">
        <f t="shared" si="5"/>
        <v>108161.17196800001</v>
      </c>
      <c r="K63" s="96">
        <v>10.58</v>
      </c>
      <c r="L63" s="86">
        <f>+ROUND(healthpension!V66*0.5,2)</f>
        <v>20.63</v>
      </c>
      <c r="M63" s="86">
        <f>+ROUND(healthpension!Y66*0.5,2)</f>
        <v>0</v>
      </c>
      <c r="N63" s="230">
        <v>31.7</v>
      </c>
    </row>
    <row r="64" spans="1:14" s="33" customFormat="1" x14ac:dyDescent="0.25">
      <c r="A64" s="33">
        <f>+fulltime!A64</f>
        <v>0</v>
      </c>
      <c r="B64" s="33">
        <f>fulltime!M64</f>
        <v>67745.600000000006</v>
      </c>
      <c r="C64" s="33">
        <f>+ficalifeW2!T76</f>
        <v>446.93356800000004</v>
      </c>
      <c r="D64" s="33">
        <f t="shared" si="1"/>
        <v>-2353.92</v>
      </c>
      <c r="E64" s="33">
        <f t="shared" si="2"/>
        <v>-2135.04</v>
      </c>
      <c r="F64" s="33">
        <f t="shared" si="3"/>
        <v>0</v>
      </c>
      <c r="G64" s="33">
        <f t="shared" si="6"/>
        <v>63703.573568</v>
      </c>
      <c r="H64" s="33">
        <f t="shared" si="4"/>
        <v>0</v>
      </c>
      <c r="I64" s="33">
        <f t="shared" si="5"/>
        <v>63703.573568</v>
      </c>
      <c r="K64" s="96">
        <v>98.08</v>
      </c>
      <c r="L64" s="86">
        <f>+ROUND(healthpension!V67*0.5,2)</f>
        <v>70.11</v>
      </c>
      <c r="M64" s="86">
        <f>+ROUND(healthpension!Y67*0.5,2)</f>
        <v>18.850000000000001</v>
      </c>
      <c r="N64" s="230"/>
    </row>
    <row r="65" spans="1:14" s="33" customFormat="1" x14ac:dyDescent="0.25">
      <c r="A65" s="33">
        <f>+fulltime!A65</f>
        <v>0</v>
      </c>
      <c r="B65" s="33">
        <f>fulltime!M65</f>
        <v>71385.600000000006</v>
      </c>
      <c r="C65" s="33">
        <f>+ficalifeW2!T77</f>
        <v>118.192896</v>
      </c>
      <c r="D65" s="33">
        <f t="shared" si="1"/>
        <v>0</v>
      </c>
      <c r="E65" s="33">
        <f t="shared" si="2"/>
        <v>-495.12</v>
      </c>
      <c r="F65" s="33">
        <f t="shared" si="3"/>
        <v>0</v>
      </c>
      <c r="G65" s="33">
        <f t="shared" si="6"/>
        <v>71008.672896000004</v>
      </c>
      <c r="H65" s="33">
        <f t="shared" si="4"/>
        <v>0</v>
      </c>
      <c r="I65" s="33">
        <f t="shared" si="5"/>
        <v>71008.672896000004</v>
      </c>
      <c r="K65" s="96"/>
      <c r="L65" s="86">
        <f>+ROUND(healthpension!V68*0.5,2)</f>
        <v>20.63</v>
      </c>
      <c r="M65" s="86">
        <f>+ROUND(healthpension!Y68*0.5,2)</f>
        <v>0</v>
      </c>
      <c r="N65" s="230"/>
    </row>
    <row r="66" spans="1:14" s="33" customFormat="1" x14ac:dyDescent="0.25">
      <c r="A66" s="33">
        <f>+fulltime!A66</f>
        <v>0</v>
      </c>
      <c r="B66" s="33">
        <f>fulltime!M66</f>
        <v>49875.349609099329</v>
      </c>
      <c r="C66" s="33">
        <f>+ficalifeW2!T78</f>
        <v>125.02771199999999</v>
      </c>
      <c r="D66" s="33">
        <f t="shared" si="1"/>
        <v>-923.04</v>
      </c>
      <c r="E66" s="33">
        <f t="shared" si="2"/>
        <v>-947.5200000000001</v>
      </c>
      <c r="F66" s="33">
        <f t="shared" si="3"/>
        <v>0</v>
      </c>
      <c r="G66" s="33">
        <f t="shared" si="6"/>
        <v>48129.817321099334</v>
      </c>
      <c r="H66" s="33">
        <f t="shared" si="4"/>
        <v>0</v>
      </c>
      <c r="I66" s="33">
        <f t="shared" si="5"/>
        <v>48129.817321099334</v>
      </c>
      <c r="K66" s="96">
        <v>38.46</v>
      </c>
      <c r="L66" s="86">
        <f>+ROUND(healthpension!V69*0.5,2)</f>
        <v>20.63</v>
      </c>
      <c r="M66" s="86">
        <f>+ROUND(healthpension!Y69*0.5,2)</f>
        <v>18.850000000000001</v>
      </c>
      <c r="N66" s="230"/>
    </row>
    <row r="67" spans="1:14" s="33" customFormat="1" x14ac:dyDescent="0.25">
      <c r="A67" s="33">
        <f>+fulltime!A67</f>
        <v>0</v>
      </c>
      <c r="B67" s="33">
        <f>fulltime!M67</f>
        <v>73577.192126155001</v>
      </c>
      <c r="C67" s="33">
        <f>+ficalifeW2!T79</f>
        <v>191.86752000000001</v>
      </c>
      <c r="D67" s="33">
        <f t="shared" si="1"/>
        <v>0</v>
      </c>
      <c r="E67" s="33">
        <f t="shared" si="2"/>
        <v>-2135.04</v>
      </c>
      <c r="F67" s="33">
        <f t="shared" si="3"/>
        <v>0</v>
      </c>
      <c r="G67" s="33">
        <f t="shared" ref="G67:G98" si="7">SUM(B67:F67)</f>
        <v>71634.019646155008</v>
      </c>
      <c r="H67" s="33">
        <f t="shared" si="4"/>
        <v>0</v>
      </c>
      <c r="I67" s="33">
        <f t="shared" si="5"/>
        <v>71634.019646155008</v>
      </c>
      <c r="K67" s="96"/>
      <c r="L67" s="86">
        <f>+ROUND(healthpension!V70*0.5,2)</f>
        <v>70.11</v>
      </c>
      <c r="M67" s="86">
        <f>+ROUND(healthpension!Y70*0.5,2)</f>
        <v>18.850000000000001</v>
      </c>
      <c r="N67" s="230"/>
    </row>
    <row r="68" spans="1:14" s="33" customFormat="1" x14ac:dyDescent="0.25">
      <c r="A68" s="33">
        <f>+fulltime!A68</f>
        <v>0</v>
      </c>
      <c r="B68" s="33">
        <f>fulltime!M68</f>
        <v>89203.95668328341</v>
      </c>
      <c r="C68" s="33">
        <f>+ficalifeW2!T80</f>
        <v>214.87180799999999</v>
      </c>
      <c r="D68" s="33">
        <f t="shared" ref="D68:D131" si="8">-K68*24</f>
        <v>-1846.08</v>
      </c>
      <c r="E68" s="33">
        <f t="shared" ref="E68:E131" si="9">-SUM(L68:M68)*24</f>
        <v>-2135.04</v>
      </c>
      <c r="F68" s="33">
        <f t="shared" ref="F68:F101" si="10">+N68*26</f>
        <v>0</v>
      </c>
      <c r="G68" s="33">
        <f t="shared" si="7"/>
        <v>85437.708491283411</v>
      </c>
      <c r="H68" s="33">
        <f t="shared" ref="H68:H131" si="11">+IF(G68&gt;118500,G68-118500,0)</f>
        <v>0</v>
      </c>
      <c r="I68" s="33">
        <f t="shared" ref="I68:I112" si="12">+IF(H68&gt;0,G68-H68,G68)</f>
        <v>85437.708491283411</v>
      </c>
      <c r="K68" s="96">
        <v>76.92</v>
      </c>
      <c r="L68" s="86">
        <f>+ROUND(healthpension!V71*0.5,2)</f>
        <v>70.11</v>
      </c>
      <c r="M68" s="86">
        <f>+ROUND(healthpension!Y71*0.5,2)</f>
        <v>18.850000000000001</v>
      </c>
      <c r="N68" s="230"/>
    </row>
    <row r="69" spans="1:14" s="33" customFormat="1" x14ac:dyDescent="0.25">
      <c r="A69" s="33">
        <f>+fulltime!A69</f>
        <v>0</v>
      </c>
      <c r="B69" s="33">
        <f>fulltime!M69</f>
        <v>105185.60000000001</v>
      </c>
      <c r="C69" s="33">
        <f>+ficalifeW2!T81</f>
        <v>1421.8730880000003</v>
      </c>
      <c r="D69" s="33">
        <f t="shared" si="8"/>
        <v>-960</v>
      </c>
      <c r="E69" s="33">
        <f t="shared" si="9"/>
        <v>-1694.6399999999999</v>
      </c>
      <c r="F69" s="33">
        <f t="shared" si="10"/>
        <v>1399.8400000000001</v>
      </c>
      <c r="G69" s="33">
        <f t="shared" si="7"/>
        <v>105352.673088</v>
      </c>
      <c r="H69" s="33">
        <f t="shared" si="11"/>
        <v>0</v>
      </c>
      <c r="I69" s="33">
        <f t="shared" si="12"/>
        <v>105352.673088</v>
      </c>
      <c r="K69" s="96">
        <v>40</v>
      </c>
      <c r="L69" s="86">
        <f>+ROUND(healthpension!V72*0.5,2)</f>
        <v>51.76</v>
      </c>
      <c r="M69" s="86">
        <f>+ROUND(healthpension!Y72*0.5,2)</f>
        <v>18.850000000000001</v>
      </c>
      <c r="N69" s="230">
        <v>53.84</v>
      </c>
    </row>
    <row r="70" spans="1:14" s="33" customFormat="1" x14ac:dyDescent="0.25">
      <c r="A70" s="33">
        <f>+fulltime!A70</f>
        <v>0</v>
      </c>
      <c r="B70" s="33">
        <f>fulltime!M70</f>
        <v>62841.078226616795</v>
      </c>
      <c r="C70" s="33">
        <f>+ficalifeW2!T82</f>
        <v>732.97612800000013</v>
      </c>
      <c r="D70" s="33">
        <f t="shared" si="8"/>
        <v>0</v>
      </c>
      <c r="E70" s="33">
        <f t="shared" si="9"/>
        <v>-1694.6399999999999</v>
      </c>
      <c r="F70" s="33">
        <f t="shared" si="10"/>
        <v>0</v>
      </c>
      <c r="G70" s="33">
        <f t="shared" si="7"/>
        <v>61879.414354616798</v>
      </c>
      <c r="H70" s="33">
        <f t="shared" si="11"/>
        <v>0</v>
      </c>
      <c r="I70" s="33">
        <f t="shared" si="12"/>
        <v>61879.414354616798</v>
      </c>
      <c r="K70" s="96"/>
      <c r="L70" s="86">
        <f>+ROUND(healthpension!V73*0.5,2)</f>
        <v>51.76</v>
      </c>
      <c r="M70" s="86">
        <f>+ROUND(healthpension!Y73*0.5,2)</f>
        <v>18.850000000000001</v>
      </c>
      <c r="N70" s="230"/>
    </row>
    <row r="71" spans="1:14" s="33" customFormat="1" x14ac:dyDescent="0.25">
      <c r="A71" s="33">
        <f>+fulltime!A71</f>
        <v>0</v>
      </c>
      <c r="B71" s="33">
        <f>fulltime!M71</f>
        <v>119600</v>
      </c>
      <c r="C71" s="33">
        <f>+ficalifeW2!T83</f>
        <v>885.88800000000015</v>
      </c>
      <c r="D71" s="33">
        <f t="shared" si="8"/>
        <v>-1846.08</v>
      </c>
      <c r="E71" s="33">
        <f t="shared" si="9"/>
        <v>-2135.04</v>
      </c>
      <c r="F71" s="33">
        <f t="shared" si="10"/>
        <v>1209.78</v>
      </c>
      <c r="G71" s="33">
        <f t="shared" si="7"/>
        <v>117714.54800000001</v>
      </c>
      <c r="H71" s="33">
        <f t="shared" si="11"/>
        <v>0</v>
      </c>
      <c r="I71" s="33">
        <f t="shared" si="12"/>
        <v>117714.54800000001</v>
      </c>
      <c r="K71" s="96">
        <v>76.92</v>
      </c>
      <c r="L71" s="86">
        <f>+ROUND(healthpension!V74*0.5,2)</f>
        <v>70.11</v>
      </c>
      <c r="M71" s="86">
        <f>+ROUND(healthpension!Y74*0.5,2)</f>
        <v>18.850000000000001</v>
      </c>
      <c r="N71" s="230">
        <v>46.53</v>
      </c>
    </row>
    <row r="72" spans="1:14" s="33" customFormat="1" x14ac:dyDescent="0.25">
      <c r="A72" s="33">
        <f>+fulltime!A72</f>
        <v>0</v>
      </c>
      <c r="B72" s="33">
        <f>fulltime!M72</f>
        <v>66797.437455815554</v>
      </c>
      <c r="C72" s="33">
        <f>+ficalifeW2!T84</f>
        <v>173.72179200000005</v>
      </c>
      <c r="D72" s="33">
        <f t="shared" si="8"/>
        <v>0</v>
      </c>
      <c r="E72" s="33">
        <f t="shared" si="9"/>
        <v>-1519.2</v>
      </c>
      <c r="F72" s="33">
        <f t="shared" si="10"/>
        <v>0</v>
      </c>
      <c r="G72" s="33">
        <f t="shared" si="7"/>
        <v>65451.959247815554</v>
      </c>
      <c r="H72" s="33">
        <f t="shared" si="11"/>
        <v>0</v>
      </c>
      <c r="I72" s="33">
        <f t="shared" si="12"/>
        <v>65451.959247815554</v>
      </c>
      <c r="K72" s="96"/>
      <c r="L72" s="86">
        <f>+ROUND(healthpension!V75*0.5,2)</f>
        <v>44.45</v>
      </c>
      <c r="M72" s="86">
        <f>+ROUND(healthpension!Y75*0.5,2)</f>
        <v>18.850000000000001</v>
      </c>
      <c r="N72" s="230"/>
    </row>
    <row r="73" spans="1:14" s="33" customFormat="1" x14ac:dyDescent="0.25">
      <c r="A73" s="33">
        <f>+fulltime!A73</f>
        <v>0</v>
      </c>
      <c r="B73" s="33">
        <f>fulltime!M73</f>
        <v>44725.866629482065</v>
      </c>
      <c r="C73" s="33">
        <f>+ficalifeW2!T85</f>
        <v>258.47596799999997</v>
      </c>
      <c r="D73" s="33">
        <f t="shared" si="8"/>
        <v>0</v>
      </c>
      <c r="E73" s="33">
        <f t="shared" si="9"/>
        <v>-2135.04</v>
      </c>
      <c r="F73" s="33">
        <f t="shared" si="10"/>
        <v>0</v>
      </c>
      <c r="G73" s="33">
        <f t="shared" si="7"/>
        <v>42849.302597482063</v>
      </c>
      <c r="H73" s="33">
        <f t="shared" si="11"/>
        <v>0</v>
      </c>
      <c r="I73" s="33">
        <f t="shared" si="12"/>
        <v>42849.302597482063</v>
      </c>
      <c r="K73" s="96"/>
      <c r="L73" s="86">
        <f>+ROUND(healthpension!V76*0.5,2)</f>
        <v>70.11</v>
      </c>
      <c r="M73" s="86">
        <f>+ROUND(healthpension!Y76*0.5,2)</f>
        <v>18.850000000000001</v>
      </c>
      <c r="N73" s="230"/>
    </row>
    <row r="74" spans="1:14" s="33" customFormat="1" x14ac:dyDescent="0.25">
      <c r="A74" s="33">
        <f>+fulltime!A74</f>
        <v>0</v>
      </c>
      <c r="B74" s="33">
        <f>fulltime!M74</f>
        <v>56099.741964620545</v>
      </c>
      <c r="C74" s="33">
        <f>+ficalifeW2!T86</f>
        <v>1037.3871360000001</v>
      </c>
      <c r="D74" s="33">
        <f t="shared" si="8"/>
        <v>-1368</v>
      </c>
      <c r="E74" s="33">
        <f t="shared" si="9"/>
        <v>-1694.6399999999999</v>
      </c>
      <c r="F74" s="33">
        <f t="shared" si="10"/>
        <v>0</v>
      </c>
      <c r="G74" s="33">
        <f t="shared" si="7"/>
        <v>54074.489100620543</v>
      </c>
      <c r="H74" s="33">
        <f t="shared" si="11"/>
        <v>0</v>
      </c>
      <c r="I74" s="33">
        <f t="shared" si="12"/>
        <v>54074.489100620543</v>
      </c>
      <c r="K74" s="96">
        <v>57</v>
      </c>
      <c r="L74" s="86">
        <f>+ROUND(healthpension!V77*0.5,2)</f>
        <v>51.76</v>
      </c>
      <c r="M74" s="86">
        <f>+ROUND(healthpension!Y77*0.5,2)</f>
        <v>18.850000000000001</v>
      </c>
      <c r="N74" s="230"/>
    </row>
    <row r="75" spans="1:14" s="33" customFormat="1" x14ac:dyDescent="0.25">
      <c r="A75" s="33">
        <f>+fulltime!A75</f>
        <v>0</v>
      </c>
      <c r="B75" s="33">
        <f>fulltime!M75</f>
        <v>75658.623372498303</v>
      </c>
      <c r="C75" s="33">
        <f>+ficalifeW2!T87</f>
        <v>375.78835199999997</v>
      </c>
      <c r="D75" s="33">
        <f t="shared" si="8"/>
        <v>-480</v>
      </c>
      <c r="E75" s="33">
        <f t="shared" si="9"/>
        <v>-495.12</v>
      </c>
      <c r="F75" s="33">
        <f t="shared" si="10"/>
        <v>0</v>
      </c>
      <c r="G75" s="33">
        <f t="shared" si="7"/>
        <v>75059.291724498311</v>
      </c>
      <c r="H75" s="33">
        <f t="shared" si="11"/>
        <v>0</v>
      </c>
      <c r="I75" s="33">
        <f t="shared" si="12"/>
        <v>75059.291724498311</v>
      </c>
      <c r="K75" s="96">
        <v>20</v>
      </c>
      <c r="L75" s="86">
        <f>+ROUND(healthpension!V78*0.5,2)</f>
        <v>20.63</v>
      </c>
      <c r="M75" s="86">
        <f>+ROUND(healthpension!Y78*0.5,2)</f>
        <v>0</v>
      </c>
      <c r="N75" s="230"/>
    </row>
    <row r="76" spans="1:14" s="33" customFormat="1" x14ac:dyDescent="0.25">
      <c r="A76" s="33">
        <f>+fulltime!A76</f>
        <v>0</v>
      </c>
      <c r="B76" s="33">
        <f>fulltime!M76</f>
        <v>57564.095949975221</v>
      </c>
      <c r="C76" s="33">
        <f>+ficalifeW2!T88</f>
        <v>356.98809599999993</v>
      </c>
      <c r="D76" s="33">
        <f t="shared" si="8"/>
        <v>-960</v>
      </c>
      <c r="E76" s="33">
        <f t="shared" si="9"/>
        <v>-495.12</v>
      </c>
      <c r="F76" s="33">
        <f t="shared" si="10"/>
        <v>0</v>
      </c>
      <c r="G76" s="33">
        <f t="shared" si="7"/>
        <v>56465.964045975219</v>
      </c>
      <c r="H76" s="33">
        <f t="shared" si="11"/>
        <v>0</v>
      </c>
      <c r="I76" s="33">
        <f t="shared" si="12"/>
        <v>56465.964045975219</v>
      </c>
      <c r="K76" s="96">
        <v>40</v>
      </c>
      <c r="L76" s="86">
        <f>+ROUND(healthpension!V79*0.5,2)</f>
        <v>20.63</v>
      </c>
      <c r="M76" s="86">
        <f>+ROUND(healthpension!Y79*0.5,2)</f>
        <v>0</v>
      </c>
      <c r="N76" s="230"/>
    </row>
    <row r="77" spans="1:14" s="33" customFormat="1" x14ac:dyDescent="0.25">
      <c r="A77" s="33">
        <f>+fulltime!A77</f>
        <v>0</v>
      </c>
      <c r="B77" s="33">
        <f>fulltime!M77</f>
        <v>54852.689870322909</v>
      </c>
      <c r="C77" s="33">
        <f>+ficalifeW2!T89</f>
        <v>336.00460800000002</v>
      </c>
      <c r="D77" s="33">
        <f t="shared" si="8"/>
        <v>-1848</v>
      </c>
      <c r="E77" s="33">
        <f t="shared" si="9"/>
        <v>-2135.04</v>
      </c>
      <c r="F77" s="33">
        <f t="shared" si="10"/>
        <v>0</v>
      </c>
      <c r="G77" s="33">
        <f t="shared" si="7"/>
        <v>51205.654478322911</v>
      </c>
      <c r="H77" s="33">
        <f t="shared" si="11"/>
        <v>0</v>
      </c>
      <c r="I77" s="33">
        <f t="shared" si="12"/>
        <v>51205.654478322911</v>
      </c>
      <c r="K77" s="96">
        <v>77</v>
      </c>
      <c r="L77" s="86">
        <f>+ROUND(healthpension!V80*0.5,2)</f>
        <v>70.11</v>
      </c>
      <c r="M77" s="86">
        <f>+ROUND(healthpension!Y80*0.5,2)</f>
        <v>18.850000000000001</v>
      </c>
      <c r="N77" s="230"/>
    </row>
    <row r="78" spans="1:14" s="33" customFormat="1" x14ac:dyDescent="0.25">
      <c r="A78" s="33">
        <f>+fulltime!A78</f>
        <v>0</v>
      </c>
      <c r="B78" s="33">
        <f>fulltime!M78</f>
        <v>43264</v>
      </c>
      <c r="C78" s="33">
        <f>+ficalifeW2!T90</f>
        <v>289.82592</v>
      </c>
      <c r="D78" s="33">
        <f t="shared" si="8"/>
        <v>0</v>
      </c>
      <c r="E78" s="33">
        <f t="shared" si="9"/>
        <v>-2135.04</v>
      </c>
      <c r="F78" s="33">
        <f t="shared" si="10"/>
        <v>0</v>
      </c>
      <c r="G78" s="33">
        <f t="shared" si="7"/>
        <v>41418.785920000002</v>
      </c>
      <c r="H78" s="33">
        <f t="shared" si="11"/>
        <v>0</v>
      </c>
      <c r="I78" s="33">
        <f t="shared" si="12"/>
        <v>41418.785920000002</v>
      </c>
      <c r="K78" s="96"/>
      <c r="L78" s="86">
        <f>+ROUND(healthpension!V81*0.5,2)</f>
        <v>70.11</v>
      </c>
      <c r="M78" s="86">
        <f>+ROUND(healthpension!Y81*0.5,2)</f>
        <v>18.850000000000001</v>
      </c>
      <c r="N78" s="230"/>
    </row>
    <row r="79" spans="1:14" s="33" customFormat="1" x14ac:dyDescent="0.25">
      <c r="A79" s="33">
        <f>+fulltime!A79</f>
        <v>0</v>
      </c>
      <c r="B79" s="33">
        <f>fulltime!M79</f>
        <v>66651.131453644994</v>
      </c>
      <c r="C79" s="33">
        <f>+ficalifeW2!T91</f>
        <v>796.28927999999996</v>
      </c>
      <c r="D79" s="33">
        <f t="shared" si="8"/>
        <v>0</v>
      </c>
      <c r="E79" s="33">
        <f t="shared" si="9"/>
        <v>-1682.6399999999999</v>
      </c>
      <c r="F79" s="33">
        <f t="shared" si="10"/>
        <v>0</v>
      </c>
      <c r="G79" s="33">
        <f t="shared" si="7"/>
        <v>65764.780733644991</v>
      </c>
      <c r="H79" s="33">
        <f t="shared" si="11"/>
        <v>0</v>
      </c>
      <c r="I79" s="33">
        <f t="shared" si="12"/>
        <v>65764.780733644991</v>
      </c>
      <c r="K79" s="96"/>
      <c r="L79" s="86">
        <f>+ROUND(healthpension!V82*0.5,2)</f>
        <v>70.11</v>
      </c>
      <c r="M79" s="86">
        <f>+ROUND(healthpension!Y82*0.5,2)</f>
        <v>0</v>
      </c>
      <c r="N79" s="230"/>
    </row>
    <row r="80" spans="1:14" s="33" customFormat="1" x14ac:dyDescent="0.25">
      <c r="A80" s="33">
        <f>+fulltime!A80</f>
        <v>0</v>
      </c>
      <c r="B80" s="33">
        <f>fulltime!M80</f>
        <v>74620.377984758088</v>
      </c>
      <c r="C80" s="33">
        <f>+ficalifeW2!T92</f>
        <v>1344.2330880000002</v>
      </c>
      <c r="D80" s="33">
        <f t="shared" si="8"/>
        <v>0</v>
      </c>
      <c r="E80" s="33">
        <f t="shared" si="9"/>
        <v>-1694.6399999999999</v>
      </c>
      <c r="F80" s="33">
        <f t="shared" si="10"/>
        <v>0</v>
      </c>
      <c r="G80" s="33">
        <f t="shared" si="7"/>
        <v>74269.971072758082</v>
      </c>
      <c r="H80" s="33">
        <f t="shared" si="11"/>
        <v>0</v>
      </c>
      <c r="I80" s="33">
        <f t="shared" si="12"/>
        <v>74269.971072758082</v>
      </c>
      <c r="K80" s="96"/>
      <c r="L80" s="86">
        <f>+ROUND(healthpension!V83*0.5,2)</f>
        <v>51.76</v>
      </c>
      <c r="M80" s="86">
        <f>+ROUND(healthpension!Y83*0.5,2)</f>
        <v>18.850000000000001</v>
      </c>
      <c r="N80" s="230"/>
    </row>
    <row r="81" spans="1:14" s="33" customFormat="1" x14ac:dyDescent="0.25">
      <c r="A81" s="33">
        <f>+fulltime!A81</f>
        <v>0</v>
      </c>
      <c r="B81" s="33">
        <f>fulltime!M81</f>
        <v>39530.530938184558</v>
      </c>
      <c r="C81" s="33">
        <f>+ficalifeW2!T93</f>
        <v>48.329855999999992</v>
      </c>
      <c r="D81" s="33">
        <f t="shared" si="8"/>
        <v>0</v>
      </c>
      <c r="E81" s="33">
        <f t="shared" si="9"/>
        <v>-495.12</v>
      </c>
      <c r="F81" s="33">
        <f t="shared" si="10"/>
        <v>0</v>
      </c>
      <c r="G81" s="33">
        <f t="shared" si="7"/>
        <v>39083.740794184552</v>
      </c>
      <c r="H81" s="33">
        <f t="shared" si="11"/>
        <v>0</v>
      </c>
      <c r="I81" s="33">
        <f t="shared" si="12"/>
        <v>39083.740794184552</v>
      </c>
      <c r="K81" s="96"/>
      <c r="L81" s="86">
        <f>+ROUND(healthpension!V84*0.5,2)</f>
        <v>20.63</v>
      </c>
      <c r="M81" s="86">
        <f>+ROUND(healthpension!Y84*0.5,2)</f>
        <v>0</v>
      </c>
      <c r="N81" s="230"/>
    </row>
    <row r="82" spans="1:14" s="33" customFormat="1" x14ac:dyDescent="0.25">
      <c r="A82" s="33">
        <f>+fulltime!A82</f>
        <v>0</v>
      </c>
      <c r="B82" s="33">
        <f>fulltime!M82</f>
        <v>56892.563877372719</v>
      </c>
      <c r="C82" s="33">
        <f>+ficalifeW2!T94</f>
        <v>149.59872000000001</v>
      </c>
      <c r="D82" s="33">
        <f t="shared" si="8"/>
        <v>0</v>
      </c>
      <c r="E82" s="33">
        <f t="shared" si="9"/>
        <v>-1519.2</v>
      </c>
      <c r="F82" s="33">
        <f t="shared" si="10"/>
        <v>0</v>
      </c>
      <c r="G82" s="33">
        <f t="shared" si="7"/>
        <v>55522.962597372723</v>
      </c>
      <c r="H82" s="33">
        <f t="shared" si="11"/>
        <v>0</v>
      </c>
      <c r="I82" s="33">
        <f t="shared" si="12"/>
        <v>55522.962597372723</v>
      </c>
      <c r="K82" s="96"/>
      <c r="L82" s="86">
        <f>+ROUND(healthpension!V85*0.5,2)</f>
        <v>44.45</v>
      </c>
      <c r="M82" s="86">
        <f>+ROUND(healthpension!Y85*0.5,2)</f>
        <v>18.850000000000001</v>
      </c>
      <c r="N82" s="230"/>
    </row>
    <row r="83" spans="1:14" s="33" customFormat="1" x14ac:dyDescent="0.25">
      <c r="A83" s="33">
        <f>+fulltime!A83</f>
        <v>0</v>
      </c>
      <c r="B83" s="33">
        <f>fulltime!M83</f>
        <v>50257.412422764253</v>
      </c>
      <c r="C83" s="33">
        <f>+ficalifeW2!T95</f>
        <v>48.661440000000013</v>
      </c>
      <c r="D83" s="33">
        <f t="shared" si="8"/>
        <v>0</v>
      </c>
      <c r="E83" s="33">
        <f t="shared" si="9"/>
        <v>-495.12</v>
      </c>
      <c r="F83" s="33">
        <f t="shared" si="10"/>
        <v>0</v>
      </c>
      <c r="G83" s="33">
        <f t="shared" si="7"/>
        <v>49810.953862764254</v>
      </c>
      <c r="H83" s="33">
        <f t="shared" si="11"/>
        <v>0</v>
      </c>
      <c r="I83" s="33">
        <f t="shared" si="12"/>
        <v>49810.953862764254</v>
      </c>
      <c r="K83" s="96"/>
      <c r="L83" s="86">
        <f>+ROUND(healthpension!V86*0.5,2)</f>
        <v>20.63</v>
      </c>
      <c r="M83" s="86">
        <f>+ROUND(healthpension!Y86*0.5,2)</f>
        <v>0</v>
      </c>
      <c r="N83" s="230"/>
    </row>
    <row r="84" spans="1:14" s="33" customFormat="1" x14ac:dyDescent="0.25">
      <c r="A84" s="33">
        <f>+fulltime!A84</f>
        <v>0</v>
      </c>
      <c r="B84" s="33">
        <f>fulltime!M84</f>
        <v>74457.645136726249</v>
      </c>
      <c r="C84" s="33">
        <f>+ficalifeW2!T96</f>
        <v>683.88576</v>
      </c>
      <c r="D84" s="33">
        <f t="shared" si="8"/>
        <v>0</v>
      </c>
      <c r="E84" s="33">
        <f t="shared" si="9"/>
        <v>-1694.6399999999999</v>
      </c>
      <c r="F84" s="33">
        <f t="shared" si="10"/>
        <v>0</v>
      </c>
      <c r="G84" s="33">
        <f t="shared" si="7"/>
        <v>73446.890896726254</v>
      </c>
      <c r="H84" s="33">
        <f t="shared" si="11"/>
        <v>0</v>
      </c>
      <c r="I84" s="33">
        <f t="shared" si="12"/>
        <v>73446.890896726254</v>
      </c>
      <c r="K84" s="96"/>
      <c r="L84" s="86">
        <f>+ROUND(healthpension!V87*0.5,2)</f>
        <v>51.76</v>
      </c>
      <c r="M84" s="86">
        <f>+ROUND(healthpension!Y87*0.5,2)</f>
        <v>18.850000000000001</v>
      </c>
      <c r="N84" s="230"/>
    </row>
    <row r="85" spans="1:14" s="33" customFormat="1" x14ac:dyDescent="0.25">
      <c r="A85" s="33">
        <f>+fulltime!A85</f>
        <v>0</v>
      </c>
      <c r="B85" s="33">
        <f>fulltime!M85</f>
        <v>84144.573018244206</v>
      </c>
      <c r="C85" s="33">
        <f>+ficalifeW2!T97</f>
        <v>161.32953600000008</v>
      </c>
      <c r="D85" s="33">
        <f t="shared" si="8"/>
        <v>0</v>
      </c>
      <c r="E85" s="33">
        <f t="shared" si="9"/>
        <v>-2135.04</v>
      </c>
      <c r="F85" s="33">
        <f t="shared" si="10"/>
        <v>0</v>
      </c>
      <c r="G85" s="33">
        <f t="shared" si="7"/>
        <v>82170.862554244217</v>
      </c>
      <c r="H85" s="33">
        <f t="shared" si="11"/>
        <v>0</v>
      </c>
      <c r="I85" s="33">
        <f t="shared" si="12"/>
        <v>82170.862554244217</v>
      </c>
      <c r="K85" s="96"/>
      <c r="L85" s="86">
        <f>+ROUND(healthpension!V88*0.5,2)</f>
        <v>70.11</v>
      </c>
      <c r="M85" s="86">
        <f>+ROUND(healthpension!Y88*0.5,2)</f>
        <v>18.850000000000001</v>
      </c>
      <c r="N85" s="230"/>
    </row>
    <row r="86" spans="1:14" s="33" customFormat="1" x14ac:dyDescent="0.25">
      <c r="A86" s="33">
        <f>+fulltime!A86</f>
        <v>0</v>
      </c>
      <c r="B86" s="33">
        <f>fulltime!M86</f>
        <v>82705.639748501359</v>
      </c>
      <c r="C86" s="33">
        <f>+ficalifeW2!T98</f>
        <v>298.63775999999996</v>
      </c>
      <c r="D86" s="33">
        <f t="shared" si="8"/>
        <v>-1661.52</v>
      </c>
      <c r="E86" s="33">
        <f t="shared" si="9"/>
        <v>-2135.04</v>
      </c>
      <c r="F86" s="33">
        <f t="shared" si="10"/>
        <v>0</v>
      </c>
      <c r="G86" s="33">
        <f t="shared" si="7"/>
        <v>79207.717508501359</v>
      </c>
      <c r="H86" s="33">
        <f t="shared" si="11"/>
        <v>0</v>
      </c>
      <c r="I86" s="33">
        <f t="shared" si="12"/>
        <v>79207.717508501359</v>
      </c>
      <c r="K86" s="96">
        <v>69.23</v>
      </c>
      <c r="L86" s="86">
        <f>+ROUND(healthpension!V89*0.5,2)</f>
        <v>70.11</v>
      </c>
      <c r="M86" s="86">
        <f>+ROUND(healthpension!Y89*0.5,2)</f>
        <v>18.850000000000001</v>
      </c>
      <c r="N86" s="230"/>
    </row>
    <row r="87" spans="1:14" s="33" customFormat="1" x14ac:dyDescent="0.25">
      <c r="A87" s="33">
        <f>+fulltime!A87</f>
        <v>0</v>
      </c>
      <c r="B87" s="33">
        <f>fulltime!M87</f>
        <v>88315.020249120949</v>
      </c>
      <c r="C87" s="33">
        <f>+ficalifeW2!T99</f>
        <v>943.52659200000016</v>
      </c>
      <c r="D87" s="33">
        <f t="shared" si="8"/>
        <v>-1384.56</v>
      </c>
      <c r="E87" s="33">
        <f t="shared" si="9"/>
        <v>-1519.2</v>
      </c>
      <c r="F87" s="33">
        <f t="shared" si="10"/>
        <v>0</v>
      </c>
      <c r="G87" s="33">
        <f t="shared" si="7"/>
        <v>86354.786841120949</v>
      </c>
      <c r="H87" s="33">
        <f t="shared" si="11"/>
        <v>0</v>
      </c>
      <c r="I87" s="33">
        <f t="shared" si="12"/>
        <v>86354.786841120949</v>
      </c>
      <c r="K87" s="96">
        <v>57.69</v>
      </c>
      <c r="L87" s="86">
        <f>+ROUND(healthpension!V90*0.5,2)</f>
        <v>44.45</v>
      </c>
      <c r="M87" s="86">
        <f>+ROUND(healthpension!Y90*0.5,2)</f>
        <v>18.850000000000001</v>
      </c>
      <c r="N87" s="230"/>
    </row>
    <row r="88" spans="1:14" s="33" customFormat="1" x14ac:dyDescent="0.25">
      <c r="A88" s="33">
        <f>+fulltime!A88</f>
        <v>0</v>
      </c>
      <c r="B88" s="33">
        <f>fulltime!M88</f>
        <v>71630.376485273679</v>
      </c>
      <c r="C88" s="33">
        <f>+ficalifeW2!T100</f>
        <v>901.66060799999991</v>
      </c>
      <c r="D88" s="33">
        <f t="shared" si="8"/>
        <v>-1292.4000000000001</v>
      </c>
      <c r="E88" s="33">
        <f t="shared" si="9"/>
        <v>-2135.04</v>
      </c>
      <c r="F88" s="33">
        <f t="shared" si="10"/>
        <v>0</v>
      </c>
      <c r="G88" s="33">
        <f t="shared" si="7"/>
        <v>69104.597093273696</v>
      </c>
      <c r="H88" s="33">
        <f t="shared" si="11"/>
        <v>0</v>
      </c>
      <c r="I88" s="33">
        <f t="shared" si="12"/>
        <v>69104.597093273696</v>
      </c>
      <c r="K88" s="96">
        <v>53.85</v>
      </c>
      <c r="L88" s="86">
        <f>+ROUND(healthpension!V91*0.5,2)</f>
        <v>70.11</v>
      </c>
      <c r="M88" s="86">
        <f>+ROUND(healthpension!Y91*0.5,2)</f>
        <v>18.850000000000001</v>
      </c>
      <c r="N88" s="230"/>
    </row>
    <row r="89" spans="1:14" s="33" customFormat="1" x14ac:dyDescent="0.25">
      <c r="A89" s="33">
        <f>+fulltime!A89</f>
        <v>0</v>
      </c>
      <c r="B89" s="33">
        <f>fulltime!M89</f>
        <v>56377.7848000554</v>
      </c>
      <c r="C89" s="33">
        <f>+ficalifeW2!T101</f>
        <v>140.23219200000003</v>
      </c>
      <c r="D89" s="33">
        <f t="shared" si="8"/>
        <v>0</v>
      </c>
      <c r="E89" s="33">
        <f t="shared" si="9"/>
        <v>-2135.04</v>
      </c>
      <c r="F89" s="33">
        <f t="shared" si="10"/>
        <v>0</v>
      </c>
      <c r="G89" s="33">
        <f t="shared" si="7"/>
        <v>54382.976992055403</v>
      </c>
      <c r="H89" s="33">
        <f t="shared" si="11"/>
        <v>0</v>
      </c>
      <c r="I89" s="33">
        <f t="shared" si="12"/>
        <v>54382.976992055403</v>
      </c>
      <c r="K89" s="96"/>
      <c r="L89" s="86">
        <f>+ROUND(healthpension!V92*0.5,2)</f>
        <v>70.11</v>
      </c>
      <c r="M89" s="86">
        <f>+ROUND(healthpension!Y92*0.5,2)</f>
        <v>18.850000000000001</v>
      </c>
      <c r="N89" s="230"/>
    </row>
    <row r="90" spans="1:14" s="33" customFormat="1" x14ac:dyDescent="0.25">
      <c r="A90" s="33">
        <f>+fulltime!A90</f>
        <v>0</v>
      </c>
      <c r="B90" s="33">
        <f>fulltime!M90</f>
        <v>78320.18911582639</v>
      </c>
      <c r="C90" s="33">
        <f>+ficalifeW2!T102</f>
        <v>110.09952</v>
      </c>
      <c r="D90" s="33">
        <f t="shared" si="8"/>
        <v>0</v>
      </c>
      <c r="E90" s="33">
        <f t="shared" si="9"/>
        <v>-495.12</v>
      </c>
      <c r="F90" s="33">
        <f t="shared" si="10"/>
        <v>0</v>
      </c>
      <c r="G90" s="33">
        <f t="shared" si="7"/>
        <v>77935.168635826398</v>
      </c>
      <c r="H90" s="33">
        <f t="shared" si="11"/>
        <v>0</v>
      </c>
      <c r="I90" s="33">
        <f t="shared" si="12"/>
        <v>77935.168635826398</v>
      </c>
      <c r="K90" s="96"/>
      <c r="L90" s="86">
        <f>+ROUND(healthpension!V93*0.5,2)</f>
        <v>20.63</v>
      </c>
      <c r="M90" s="86">
        <f>+ROUND(healthpension!Y93*0.5,2)</f>
        <v>0</v>
      </c>
      <c r="N90" s="230"/>
    </row>
    <row r="91" spans="1:14" s="33" customFormat="1" x14ac:dyDescent="0.25">
      <c r="A91" s="33">
        <f>+fulltime!A91</f>
        <v>0</v>
      </c>
      <c r="B91" s="33">
        <f>fulltime!M91</f>
        <v>75442.411977283598</v>
      </c>
      <c r="C91" s="33">
        <f>+ficalifeW2!T103</f>
        <v>821.69491199999982</v>
      </c>
      <c r="D91" s="33">
        <f t="shared" si="8"/>
        <v>0</v>
      </c>
      <c r="E91" s="33">
        <f t="shared" si="9"/>
        <v>-1694.6399999999999</v>
      </c>
      <c r="F91" s="33">
        <f t="shared" si="10"/>
        <v>0</v>
      </c>
      <c r="G91" s="33">
        <f t="shared" si="7"/>
        <v>74569.466889283605</v>
      </c>
      <c r="H91" s="33">
        <f t="shared" si="11"/>
        <v>0</v>
      </c>
      <c r="I91" s="33">
        <f t="shared" si="12"/>
        <v>74569.466889283605</v>
      </c>
      <c r="K91" s="96"/>
      <c r="L91" s="86">
        <f>+ROUND(healthpension!V94*0.5,2)</f>
        <v>51.76</v>
      </c>
      <c r="M91" s="86">
        <f>+ROUND(healthpension!Y94*0.5,2)</f>
        <v>18.850000000000001</v>
      </c>
      <c r="N91" s="230"/>
    </row>
    <row r="92" spans="1:14" s="33" customFormat="1" x14ac:dyDescent="0.25">
      <c r="A92" s="33">
        <f>+fulltime!A92</f>
        <v>0</v>
      </c>
      <c r="B92" s="33">
        <f>fulltime!M92</f>
        <v>66947.261933567497</v>
      </c>
      <c r="C92" s="33">
        <f>+ficalifeW2!T104</f>
        <v>2409.7488000000003</v>
      </c>
      <c r="D92" s="33">
        <f t="shared" si="8"/>
        <v>0</v>
      </c>
      <c r="E92" s="33">
        <f t="shared" si="9"/>
        <v>-1694.6399999999999</v>
      </c>
      <c r="F92" s="33">
        <f t="shared" si="10"/>
        <v>0</v>
      </c>
      <c r="G92" s="33">
        <f t="shared" si="7"/>
        <v>67662.370733567499</v>
      </c>
      <c r="H92" s="33">
        <f t="shared" si="11"/>
        <v>0</v>
      </c>
      <c r="I92" s="33">
        <f t="shared" si="12"/>
        <v>67662.370733567499</v>
      </c>
      <c r="K92" s="96"/>
      <c r="L92" s="86">
        <f>+ROUND(healthpension!V95*0.5,2)</f>
        <v>51.76</v>
      </c>
      <c r="M92" s="86">
        <f>+ROUND(healthpension!Y95*0.5,2)</f>
        <v>18.850000000000001</v>
      </c>
      <c r="N92" s="230"/>
    </row>
    <row r="93" spans="1:14" s="33" customFormat="1" x14ac:dyDescent="0.25">
      <c r="A93" s="33">
        <f>+fulltime!A93</f>
        <v>0</v>
      </c>
      <c r="B93" s="33">
        <f>fulltime!M93</f>
        <v>60819.199999999997</v>
      </c>
      <c r="C93" s="33">
        <f>+ficalifeW2!T105</f>
        <v>723.08121599999993</v>
      </c>
      <c r="D93" s="33">
        <f t="shared" si="8"/>
        <v>0</v>
      </c>
      <c r="E93" s="33">
        <f t="shared" si="9"/>
        <v>-2135.04</v>
      </c>
      <c r="F93" s="33">
        <f t="shared" si="10"/>
        <v>0</v>
      </c>
      <c r="G93" s="33">
        <f t="shared" si="7"/>
        <v>59407.241215999995</v>
      </c>
      <c r="H93" s="33">
        <f t="shared" si="11"/>
        <v>0</v>
      </c>
      <c r="I93" s="33">
        <f t="shared" si="12"/>
        <v>59407.241215999995</v>
      </c>
      <c r="K93" s="96"/>
      <c r="L93" s="86">
        <f>+ROUND(healthpension!V96*0.5,2)</f>
        <v>70.11</v>
      </c>
      <c r="M93" s="86">
        <f>+ROUND(healthpension!Y96*0.5,2)</f>
        <v>18.850000000000001</v>
      </c>
      <c r="N93" s="230"/>
    </row>
    <row r="94" spans="1:14" s="33" customFormat="1" x14ac:dyDescent="0.25">
      <c r="A94" s="33">
        <f>+fulltime!A94</f>
        <v>0</v>
      </c>
      <c r="B94" s="33">
        <f>fulltime!M94</f>
        <v>42799.553110285298</v>
      </c>
      <c r="C94" s="33">
        <f>+ficalifeW2!T106</f>
        <v>117.05472000000002</v>
      </c>
      <c r="D94" s="33">
        <f t="shared" si="8"/>
        <v>-1999.92</v>
      </c>
      <c r="E94" s="33">
        <f t="shared" si="9"/>
        <v>-1682.6399999999999</v>
      </c>
      <c r="F94" s="33">
        <f t="shared" si="10"/>
        <v>0</v>
      </c>
      <c r="G94" s="33">
        <f t="shared" si="7"/>
        <v>39234.047830285301</v>
      </c>
      <c r="H94" s="33">
        <f t="shared" si="11"/>
        <v>0</v>
      </c>
      <c r="I94" s="33">
        <f t="shared" si="12"/>
        <v>39234.047830285301</v>
      </c>
      <c r="K94" s="96">
        <v>83.33</v>
      </c>
      <c r="L94" s="86">
        <f>+ROUND(healthpension!V97*0.5,2)</f>
        <v>70.11</v>
      </c>
      <c r="M94" s="86">
        <f>+ROUND(healthpension!Y97*0.5,2)</f>
        <v>0</v>
      </c>
      <c r="N94" s="230"/>
    </row>
    <row r="95" spans="1:14" s="33" customFormat="1" x14ac:dyDescent="0.25">
      <c r="A95" s="33">
        <f>+fulltime!A95</f>
        <v>0</v>
      </c>
      <c r="B95" s="33">
        <f>fulltime!M95</f>
        <v>68016</v>
      </c>
      <c r="C95" s="33">
        <f>+ficalifeW2!T107</f>
        <v>177.17184</v>
      </c>
      <c r="D95" s="33">
        <f t="shared" si="8"/>
        <v>0</v>
      </c>
      <c r="E95" s="33">
        <f t="shared" si="9"/>
        <v>-1694.6399999999999</v>
      </c>
      <c r="F95" s="33">
        <f t="shared" si="10"/>
        <v>0</v>
      </c>
      <c r="G95" s="33">
        <f t="shared" si="7"/>
        <v>66498.531839999996</v>
      </c>
      <c r="H95" s="33">
        <f t="shared" si="11"/>
        <v>0</v>
      </c>
      <c r="I95" s="33">
        <f t="shared" si="12"/>
        <v>66498.531839999996</v>
      </c>
      <c r="K95" s="96"/>
      <c r="L95" s="86">
        <f>+ROUND(healthpension!V98*0.5,2)</f>
        <v>51.76</v>
      </c>
      <c r="M95" s="86">
        <f>+ROUND(healthpension!Y98*0.5,2)</f>
        <v>18.850000000000001</v>
      </c>
      <c r="N95" s="230"/>
    </row>
    <row r="96" spans="1:14" s="33" customFormat="1" x14ac:dyDescent="0.25">
      <c r="A96" s="33">
        <f>+fulltime!A96</f>
        <v>0</v>
      </c>
      <c r="B96" s="33">
        <f>fulltime!M96</f>
        <v>108822.12691729431</v>
      </c>
      <c r="C96" s="33">
        <f>+ficalifeW2!T108</f>
        <v>994.63142400000015</v>
      </c>
      <c r="D96" s="33">
        <f t="shared" si="8"/>
        <v>-2353.92</v>
      </c>
      <c r="E96" s="33">
        <f t="shared" si="9"/>
        <v>-2135.04</v>
      </c>
      <c r="F96" s="33">
        <f t="shared" si="10"/>
        <v>0</v>
      </c>
      <c r="G96" s="33">
        <f t="shared" si="7"/>
        <v>105327.79834129433</v>
      </c>
      <c r="H96" s="33">
        <f t="shared" si="11"/>
        <v>0</v>
      </c>
      <c r="I96" s="33">
        <f t="shared" si="12"/>
        <v>105327.79834129433</v>
      </c>
      <c r="K96" s="96">
        <v>98.08</v>
      </c>
      <c r="L96" s="86">
        <f>+ROUND(healthpension!V99*0.5,2)</f>
        <v>70.11</v>
      </c>
      <c r="M96" s="86">
        <f>+ROUND(healthpension!Y99*0.5,2)</f>
        <v>18.850000000000001</v>
      </c>
      <c r="N96" s="230"/>
    </row>
    <row r="97" spans="1:14" s="33" customFormat="1" x14ac:dyDescent="0.25">
      <c r="A97" s="33">
        <f>+fulltime!A97</f>
        <v>0</v>
      </c>
      <c r="B97" s="33">
        <f>fulltime!M97</f>
        <v>74040.212378722208</v>
      </c>
      <c r="C97" s="33">
        <f>+ficalifeW2!T109</f>
        <v>229.23455999999999</v>
      </c>
      <c r="D97" s="33">
        <f t="shared" si="8"/>
        <v>-2307.6000000000004</v>
      </c>
      <c r="E97" s="33">
        <f t="shared" si="9"/>
        <v>-2135.04</v>
      </c>
      <c r="F97" s="33">
        <f t="shared" si="10"/>
        <v>0</v>
      </c>
      <c r="G97" s="33">
        <f t="shared" si="7"/>
        <v>69826.806938722206</v>
      </c>
      <c r="H97" s="33">
        <f t="shared" si="11"/>
        <v>0</v>
      </c>
      <c r="I97" s="33">
        <f t="shared" si="12"/>
        <v>69826.806938722206</v>
      </c>
      <c r="K97" s="96">
        <v>96.15</v>
      </c>
      <c r="L97" s="86">
        <f>+ROUND(healthpension!V100*0.5,2)</f>
        <v>70.11</v>
      </c>
      <c r="M97" s="86">
        <f>+ROUND(healthpension!Y100*0.5,2)</f>
        <v>18.850000000000001</v>
      </c>
      <c r="N97" s="230"/>
    </row>
    <row r="98" spans="1:14" s="33" customFormat="1" x14ac:dyDescent="0.25">
      <c r="A98" s="33">
        <f>+fulltime!A98</f>
        <v>0</v>
      </c>
      <c r="B98" s="33">
        <f>fulltime!M98</f>
        <v>115377.60000000001</v>
      </c>
      <c r="C98" s="33">
        <f>+ficalifeW2!T110</f>
        <v>1579.6452479999998</v>
      </c>
      <c r="D98" s="33">
        <f t="shared" si="8"/>
        <v>-461.52</v>
      </c>
      <c r="E98" s="33">
        <f t="shared" si="9"/>
        <v>-1694.6399999999999</v>
      </c>
      <c r="F98" s="33">
        <f t="shared" si="10"/>
        <v>1565.46</v>
      </c>
      <c r="G98" s="33">
        <f t="shared" si="7"/>
        <v>116366.54524800001</v>
      </c>
      <c r="H98" s="33">
        <f t="shared" si="11"/>
        <v>0</v>
      </c>
      <c r="I98" s="33">
        <f t="shared" si="12"/>
        <v>116366.54524800001</v>
      </c>
      <c r="K98" s="96">
        <v>19.23</v>
      </c>
      <c r="L98" s="86">
        <f>+ROUND(healthpension!V101*0.5,2)</f>
        <v>51.76</v>
      </c>
      <c r="M98" s="86">
        <f>+ROUND(healthpension!Y101*0.5,2)</f>
        <v>18.850000000000001</v>
      </c>
      <c r="N98" s="230">
        <v>60.21</v>
      </c>
    </row>
    <row r="99" spans="1:14" s="33" customFormat="1" x14ac:dyDescent="0.25">
      <c r="A99" s="33">
        <f>+fulltime!A99</f>
        <v>0</v>
      </c>
      <c r="B99" s="33">
        <f>fulltime!M99</f>
        <v>83072.289024610393</v>
      </c>
      <c r="C99" s="33">
        <f>+ficalifeW2!T111</f>
        <v>120.09792</v>
      </c>
      <c r="D99" s="33">
        <f t="shared" si="8"/>
        <v>0</v>
      </c>
      <c r="E99" s="33">
        <f t="shared" si="9"/>
        <v>-2135.04</v>
      </c>
      <c r="F99" s="33">
        <f t="shared" si="10"/>
        <v>0</v>
      </c>
      <c r="G99" s="33">
        <f t="shared" ref="G99:G130" si="13">SUM(B99:F99)</f>
        <v>81057.346944610399</v>
      </c>
      <c r="H99" s="33">
        <f t="shared" si="11"/>
        <v>0</v>
      </c>
      <c r="I99" s="33">
        <f t="shared" si="12"/>
        <v>81057.346944610399</v>
      </c>
      <c r="K99" s="96"/>
      <c r="L99" s="86">
        <f>+ROUND(healthpension!V102*0.5,2)</f>
        <v>70.11</v>
      </c>
      <c r="M99" s="86">
        <f>+ROUND(healthpension!Y102*0.5,2)</f>
        <v>18.850000000000001</v>
      </c>
      <c r="N99" s="230"/>
    </row>
    <row r="100" spans="1:14" s="33" customFormat="1" x14ac:dyDescent="0.25">
      <c r="A100" s="33">
        <f>+fulltime!A100</f>
        <v>0</v>
      </c>
      <c r="B100" s="33">
        <f>fulltime!M100</f>
        <v>57516.183319582</v>
      </c>
      <c r="C100" s="33">
        <f>+ficalifeW2!T112</f>
        <v>972.66432000000009</v>
      </c>
      <c r="D100" s="33">
        <f t="shared" si="8"/>
        <v>0</v>
      </c>
      <c r="E100" s="33">
        <f t="shared" si="9"/>
        <v>-1694.6399999999999</v>
      </c>
      <c r="F100" s="33">
        <f t="shared" si="10"/>
        <v>0</v>
      </c>
      <c r="G100" s="33">
        <f t="shared" si="13"/>
        <v>56794.207639582004</v>
      </c>
      <c r="H100" s="33">
        <f t="shared" si="11"/>
        <v>0</v>
      </c>
      <c r="I100" s="33">
        <f t="shared" si="12"/>
        <v>56794.207639582004</v>
      </c>
      <c r="K100" s="96"/>
      <c r="L100" s="86">
        <f>+ROUND(healthpension!V103*0.5,2)</f>
        <v>51.76</v>
      </c>
      <c r="M100" s="86">
        <f>+ROUND(healthpension!Y103*0.5,2)</f>
        <v>18.850000000000001</v>
      </c>
      <c r="N100" s="230"/>
    </row>
    <row r="101" spans="1:14" s="33" customFormat="1" x14ac:dyDescent="0.25">
      <c r="A101" s="33">
        <f>+fulltime!A101</f>
        <v>0</v>
      </c>
      <c r="B101" s="33">
        <f>fulltime!M101</f>
        <v>64548.480174083954</v>
      </c>
      <c r="C101" s="33">
        <f>+ficalifeW2!T113</f>
        <v>479.54438400000009</v>
      </c>
      <c r="D101" s="33">
        <f t="shared" si="8"/>
        <v>-553.91999999999996</v>
      </c>
      <c r="E101" s="33">
        <f t="shared" si="9"/>
        <v>-2135.04</v>
      </c>
      <c r="F101" s="33">
        <f t="shared" si="10"/>
        <v>0</v>
      </c>
      <c r="G101" s="33">
        <f t="shared" si="13"/>
        <v>62339.064558083955</v>
      </c>
      <c r="H101" s="33">
        <f t="shared" si="11"/>
        <v>0</v>
      </c>
      <c r="I101" s="33">
        <f t="shared" si="12"/>
        <v>62339.064558083955</v>
      </c>
      <c r="K101" s="96">
        <v>23.08</v>
      </c>
      <c r="L101" s="86">
        <f>+ROUND(healthpension!V104*0.5,2)</f>
        <v>70.11</v>
      </c>
      <c r="M101" s="86">
        <f>+ROUND(healthpension!Y104*0.5,2)</f>
        <v>18.850000000000001</v>
      </c>
      <c r="N101" s="230"/>
    </row>
    <row r="102" spans="1:14" s="33" customFormat="1" x14ac:dyDescent="0.25">
      <c r="A102" s="33">
        <f>+fulltime!A102</f>
        <v>0</v>
      </c>
      <c r="B102" s="33">
        <f>fulltime!M102</f>
        <v>54991.857609511484</v>
      </c>
      <c r="C102" s="33">
        <f>+ficalifeW2!T114</f>
        <v>342.00460800000002</v>
      </c>
      <c r="D102" s="33">
        <f t="shared" si="8"/>
        <v>-600</v>
      </c>
      <c r="E102" s="33">
        <f t="shared" si="9"/>
        <v>-2135.04</v>
      </c>
      <c r="F102" s="33">
        <f>+N102*26</f>
        <v>0</v>
      </c>
      <c r="G102" s="33">
        <f t="shared" si="13"/>
        <v>52598.822217511486</v>
      </c>
      <c r="H102" s="33">
        <f t="shared" si="11"/>
        <v>0</v>
      </c>
      <c r="I102" s="33">
        <f t="shared" si="12"/>
        <v>52598.822217511486</v>
      </c>
      <c r="K102" s="96">
        <v>25</v>
      </c>
      <c r="L102" s="86">
        <f>+ROUND(healthpension!V105*0.5,2)</f>
        <v>70.11</v>
      </c>
      <c r="M102" s="86">
        <f>+ROUND(healthpension!Y105*0.5,2)</f>
        <v>18.850000000000001</v>
      </c>
      <c r="N102" s="230"/>
    </row>
    <row r="103" spans="1:14" s="33" customFormat="1" x14ac:dyDescent="0.25">
      <c r="A103" s="33">
        <f>+fulltime!A103</f>
        <v>0</v>
      </c>
      <c r="B103" s="33">
        <f>fulltime!M103</f>
        <v>80910.148506102298</v>
      </c>
      <c r="C103" s="33">
        <f>+ficalifeW2!T115</f>
        <v>470.57241600000009</v>
      </c>
      <c r="D103" s="33">
        <f t="shared" si="8"/>
        <v>-1200</v>
      </c>
      <c r="E103" s="33">
        <f t="shared" si="9"/>
        <v>-1694.6399999999999</v>
      </c>
      <c r="F103" s="33">
        <f>+N103*26</f>
        <v>0</v>
      </c>
      <c r="G103" s="33">
        <f t="shared" si="13"/>
        <v>78486.080922102294</v>
      </c>
      <c r="H103" s="33">
        <f t="shared" si="11"/>
        <v>0</v>
      </c>
      <c r="I103" s="33">
        <f t="shared" si="12"/>
        <v>78486.080922102294</v>
      </c>
      <c r="K103" s="96">
        <v>50</v>
      </c>
      <c r="L103" s="86">
        <f>+ROUND(healthpension!V106*0.5,2)</f>
        <v>51.76</v>
      </c>
      <c r="M103" s="86">
        <f>+ROUND(healthpension!Y106*0.5,2)</f>
        <v>18.850000000000001</v>
      </c>
      <c r="N103" s="230"/>
    </row>
    <row r="104" spans="1:14" s="33" customFormat="1" x14ac:dyDescent="0.25">
      <c r="A104" s="33">
        <f>+fulltime!A104</f>
        <v>0</v>
      </c>
      <c r="B104" s="33">
        <f>fulltime!M104</f>
        <v>145516.79999999999</v>
      </c>
      <c r="C104" s="33">
        <f>+ficalifeW2!T116</f>
        <v>6043.4280960000006</v>
      </c>
      <c r="D104" s="33">
        <f t="shared" si="8"/>
        <v>-1440</v>
      </c>
      <c r="E104" s="33">
        <f t="shared" si="9"/>
        <v>-1694.6399999999999</v>
      </c>
      <c r="F104" s="33">
        <f>+N104*26</f>
        <v>0</v>
      </c>
      <c r="G104" s="33">
        <f t="shared" si="13"/>
        <v>148425.58809599996</v>
      </c>
      <c r="H104" s="33">
        <f t="shared" si="11"/>
        <v>29925.588095999963</v>
      </c>
      <c r="I104" s="33">
        <f t="shared" si="12"/>
        <v>118500</v>
      </c>
      <c r="K104" s="96">
        <v>60</v>
      </c>
      <c r="L104" s="86">
        <f>+ROUND(healthpension!V107*0.5,2)</f>
        <v>51.76</v>
      </c>
      <c r="M104" s="86">
        <f>+ROUND(healthpension!Y107*0.5,2)</f>
        <v>18.850000000000001</v>
      </c>
      <c r="N104" s="230"/>
    </row>
    <row r="105" spans="1:14" s="33" customFormat="1" x14ac:dyDescent="0.25">
      <c r="A105" s="33">
        <f>+fulltime!A105</f>
        <v>0</v>
      </c>
      <c r="B105" s="33">
        <f>fulltime!M105</f>
        <v>68598.831755435996</v>
      </c>
      <c r="C105" s="33">
        <f>+ficalifeW2!T117</f>
        <v>814.96435200000008</v>
      </c>
      <c r="D105" s="33">
        <f t="shared" si="8"/>
        <v>-1560</v>
      </c>
      <c r="E105" s="33">
        <f t="shared" si="9"/>
        <v>-2135.04</v>
      </c>
      <c r="F105" s="33">
        <f t="shared" ref="F105:F149" si="14">+N105*26</f>
        <v>0</v>
      </c>
      <c r="G105" s="33">
        <f t="shared" si="13"/>
        <v>65718.756107435998</v>
      </c>
      <c r="H105" s="33">
        <f t="shared" si="11"/>
        <v>0</v>
      </c>
      <c r="I105" s="33">
        <f t="shared" si="12"/>
        <v>65718.756107435998</v>
      </c>
      <c r="K105" s="96">
        <v>65</v>
      </c>
      <c r="L105" s="86">
        <f>+ROUND(healthpension!V108*0.5,2)</f>
        <v>70.11</v>
      </c>
      <c r="M105" s="86">
        <f>+ROUND(healthpension!Y108*0.5,2)</f>
        <v>18.850000000000001</v>
      </c>
      <c r="N105" s="230"/>
    </row>
    <row r="106" spans="1:14" s="33" customFormat="1" x14ac:dyDescent="0.25">
      <c r="A106" s="33">
        <f>+fulltime!A106</f>
        <v>0</v>
      </c>
      <c r="B106" s="33">
        <f>fulltime!M106</f>
        <v>81797.647268336397</v>
      </c>
      <c r="C106" s="33">
        <f>+ficalifeW2!T118</f>
        <v>245.04192000000009</v>
      </c>
      <c r="D106" s="33">
        <f t="shared" si="8"/>
        <v>0</v>
      </c>
      <c r="E106" s="33">
        <f t="shared" si="9"/>
        <v>-2135.04</v>
      </c>
      <c r="F106" s="33">
        <f t="shared" si="14"/>
        <v>0</v>
      </c>
      <c r="G106" s="33">
        <f t="shared" si="13"/>
        <v>79907.649188336407</v>
      </c>
      <c r="H106" s="33">
        <f t="shared" si="11"/>
        <v>0</v>
      </c>
      <c r="I106" s="33">
        <f t="shared" si="12"/>
        <v>79907.649188336407</v>
      </c>
      <c r="K106" s="96"/>
      <c r="L106" s="86">
        <f>+ROUND(healthpension!V109*0.5,2)</f>
        <v>70.11</v>
      </c>
      <c r="M106" s="86">
        <f>+ROUND(healthpension!Y109*0.5,2)</f>
        <v>18.850000000000001</v>
      </c>
      <c r="N106" s="230"/>
    </row>
    <row r="107" spans="1:14" s="33" customFormat="1" x14ac:dyDescent="0.25">
      <c r="A107" s="33">
        <f>+fulltime!A107</f>
        <v>0</v>
      </c>
      <c r="B107" s="33">
        <f>fulltime!M107</f>
        <v>55446.3006859128</v>
      </c>
      <c r="C107" s="33">
        <f>+ficalifeW2!T119</f>
        <v>69.515519999999995</v>
      </c>
      <c r="D107" s="33">
        <f t="shared" si="8"/>
        <v>0</v>
      </c>
      <c r="E107" s="33">
        <f t="shared" si="9"/>
        <v>-495.12</v>
      </c>
      <c r="F107" s="33">
        <f t="shared" si="14"/>
        <v>0</v>
      </c>
      <c r="G107" s="33">
        <f t="shared" si="13"/>
        <v>55020.696205912798</v>
      </c>
      <c r="H107" s="33">
        <f t="shared" si="11"/>
        <v>0</v>
      </c>
      <c r="I107" s="33">
        <f t="shared" si="12"/>
        <v>55020.696205912798</v>
      </c>
      <c r="K107" s="96"/>
      <c r="L107" s="86">
        <f>+ROUND(healthpension!V110*0.5,2)</f>
        <v>20.63</v>
      </c>
      <c r="M107" s="86">
        <f>+ROUND(healthpension!Y110*0.5,2)</f>
        <v>0</v>
      </c>
      <c r="N107" s="230"/>
    </row>
    <row r="108" spans="1:14" s="33" customFormat="1" x14ac:dyDescent="0.25">
      <c r="A108" s="33">
        <f>+fulltime!A108</f>
        <v>0</v>
      </c>
      <c r="B108" s="33">
        <f>fulltime!M108</f>
        <v>91126.158109875192</v>
      </c>
      <c r="C108" s="33">
        <f>+ficalifeW2!T120</f>
        <v>181.356672</v>
      </c>
      <c r="D108" s="33">
        <f t="shared" si="8"/>
        <v>-600</v>
      </c>
      <c r="E108" s="33">
        <f t="shared" si="9"/>
        <v>-2135.04</v>
      </c>
      <c r="F108" s="33">
        <f t="shared" si="14"/>
        <v>0</v>
      </c>
      <c r="G108" s="33">
        <f t="shared" si="13"/>
        <v>88572.474781875193</v>
      </c>
      <c r="H108" s="33">
        <f t="shared" si="11"/>
        <v>0</v>
      </c>
      <c r="I108" s="33">
        <f t="shared" si="12"/>
        <v>88572.474781875193</v>
      </c>
      <c r="K108" s="96">
        <v>25</v>
      </c>
      <c r="L108" s="86">
        <f>+ROUND(healthpension!V111*0.5,2)</f>
        <v>70.11</v>
      </c>
      <c r="M108" s="86">
        <f>+ROUND(healthpension!Y111*0.5,2)</f>
        <v>18.850000000000001</v>
      </c>
      <c r="N108" s="230"/>
    </row>
    <row r="109" spans="1:14" s="33" customFormat="1" x14ac:dyDescent="0.25">
      <c r="A109" s="33">
        <f>+fulltime!A109</f>
        <v>0</v>
      </c>
      <c r="B109" s="33">
        <f>fulltime!M109</f>
        <v>102419.2</v>
      </c>
      <c r="C109" s="33">
        <f>+ficalifeW2!T121</f>
        <v>1379.0492159999997</v>
      </c>
      <c r="D109" s="33">
        <f t="shared" si="8"/>
        <v>-1753.92</v>
      </c>
      <c r="E109" s="33">
        <f t="shared" si="9"/>
        <v>-1242.24</v>
      </c>
      <c r="F109" s="33">
        <f t="shared" si="14"/>
        <v>2808</v>
      </c>
      <c r="G109" s="33">
        <f t="shared" si="13"/>
        <v>103610.08921599999</v>
      </c>
      <c r="H109" s="33">
        <f t="shared" si="11"/>
        <v>0</v>
      </c>
      <c r="I109" s="33">
        <f t="shared" si="12"/>
        <v>103610.08921599999</v>
      </c>
      <c r="K109" s="96">
        <v>73.08</v>
      </c>
      <c r="L109" s="86">
        <f>+ROUND(healthpension!V112*0.5,2)</f>
        <v>51.76</v>
      </c>
      <c r="M109" s="86">
        <f>+ROUND(healthpension!Y112*0.5,2)</f>
        <v>0</v>
      </c>
      <c r="N109" s="230">
        <v>108</v>
      </c>
    </row>
    <row r="110" spans="1:14" s="33" customFormat="1" x14ac:dyDescent="0.25">
      <c r="A110" s="33">
        <f>+fulltime!A110</f>
        <v>0</v>
      </c>
      <c r="B110" s="33">
        <f>fulltime!M110</f>
        <v>50807.4400606696</v>
      </c>
      <c r="C110" s="33">
        <f>+ficalifeW2!T122</f>
        <v>572.68358400000011</v>
      </c>
      <c r="D110" s="33">
        <f t="shared" si="8"/>
        <v>-1846.08</v>
      </c>
      <c r="E110" s="33">
        <f t="shared" si="9"/>
        <v>-2135.04</v>
      </c>
      <c r="F110" s="33">
        <f t="shared" si="14"/>
        <v>0</v>
      </c>
      <c r="G110" s="33">
        <f t="shared" si="13"/>
        <v>47399.003644669596</v>
      </c>
      <c r="H110" s="33">
        <f t="shared" si="11"/>
        <v>0</v>
      </c>
      <c r="I110" s="33">
        <f t="shared" si="12"/>
        <v>47399.003644669596</v>
      </c>
      <c r="K110" s="96">
        <v>76.92</v>
      </c>
      <c r="L110" s="86">
        <f>+ROUND(healthpension!V113*0.5,2)</f>
        <v>70.11</v>
      </c>
      <c r="M110" s="86">
        <f>+ROUND(healthpension!Y113*0.5,2)</f>
        <v>18.850000000000001</v>
      </c>
      <c r="N110" s="230"/>
    </row>
    <row r="111" spans="1:14" s="33" customFormat="1" x14ac:dyDescent="0.25">
      <c r="A111" s="33">
        <f>+fulltime!A111</f>
        <v>0</v>
      </c>
      <c r="B111" s="33">
        <f>fulltime!M111</f>
        <v>63396.109395886531</v>
      </c>
      <c r="C111" s="33">
        <f>+ficalifeW2!T123</f>
        <v>635.61926400000016</v>
      </c>
      <c r="D111" s="33">
        <f t="shared" si="8"/>
        <v>-1800</v>
      </c>
      <c r="E111" s="33">
        <f t="shared" si="9"/>
        <v>-2135.04</v>
      </c>
      <c r="F111" s="33">
        <f t="shared" si="14"/>
        <v>0</v>
      </c>
      <c r="G111" s="33">
        <f t="shared" si="13"/>
        <v>60096.688659886531</v>
      </c>
      <c r="H111" s="33">
        <f t="shared" si="11"/>
        <v>0</v>
      </c>
      <c r="I111" s="33">
        <f t="shared" si="12"/>
        <v>60096.688659886531</v>
      </c>
      <c r="K111" s="96">
        <v>75</v>
      </c>
      <c r="L111" s="86">
        <f>+ROUND(healthpension!V114*0.5,2)</f>
        <v>70.11</v>
      </c>
      <c r="M111" s="86">
        <f>+ROUND(healthpension!Y114*0.5,2)</f>
        <v>18.850000000000001</v>
      </c>
      <c r="N111" s="230"/>
    </row>
    <row r="112" spans="1:14" s="33" customFormat="1" x14ac:dyDescent="0.25">
      <c r="A112" s="33">
        <f>+fulltime!A112</f>
        <v>0</v>
      </c>
      <c r="B112" s="33">
        <f>fulltime!M112</f>
        <v>105116.44734326591</v>
      </c>
      <c r="C112" s="33">
        <f>+ficalifeW2!T124</f>
        <v>976.92230400000017</v>
      </c>
      <c r="D112" s="33">
        <f t="shared" si="8"/>
        <v>-2307.6000000000004</v>
      </c>
      <c r="E112" s="33">
        <f t="shared" si="9"/>
        <v>-2135.04</v>
      </c>
      <c r="F112" s="33">
        <f t="shared" si="14"/>
        <v>0</v>
      </c>
      <c r="G112" s="33">
        <f t="shared" si="13"/>
        <v>101650.72964726592</v>
      </c>
      <c r="H112" s="33">
        <f t="shared" si="11"/>
        <v>0</v>
      </c>
      <c r="I112" s="33">
        <f t="shared" si="12"/>
        <v>101650.72964726592</v>
      </c>
      <c r="K112" s="96">
        <v>96.15</v>
      </c>
      <c r="L112" s="86">
        <f>+ROUND(healthpension!V115*0.5,2)</f>
        <v>70.11</v>
      </c>
      <c r="M112" s="86">
        <f>+ROUND(healthpension!Y115*0.5,2)</f>
        <v>18.850000000000001</v>
      </c>
      <c r="N112" s="230"/>
    </row>
    <row r="113" spans="1:14" s="33" customFormat="1" x14ac:dyDescent="0.25">
      <c r="A113" s="33">
        <f>+fulltime!A113</f>
        <v>0</v>
      </c>
      <c r="B113" s="33">
        <f>fulltime!M113</f>
        <v>60338.299014957651</v>
      </c>
      <c r="C113" s="33">
        <f>+ficalifeW2!T125</f>
        <v>270.61055999999996</v>
      </c>
      <c r="D113" s="33">
        <f t="shared" si="8"/>
        <v>-1107.5999999999999</v>
      </c>
      <c r="E113" s="33">
        <f t="shared" si="9"/>
        <v>-2135.04</v>
      </c>
      <c r="F113" s="33">
        <f t="shared" si="14"/>
        <v>0</v>
      </c>
      <c r="G113" s="33">
        <f t="shared" si="13"/>
        <v>57366.269574957652</v>
      </c>
      <c r="H113" s="33">
        <f t="shared" si="11"/>
        <v>0</v>
      </c>
      <c r="I113" s="33">
        <f>+IF(H113&gt;0,G113-H113,G113)</f>
        <v>57366.269574957652</v>
      </c>
      <c r="K113" s="96">
        <v>46.15</v>
      </c>
      <c r="L113" s="86">
        <f>+ROUND(healthpension!V116*0.5,2)</f>
        <v>70.11</v>
      </c>
      <c r="M113" s="86">
        <f>+ROUND(healthpension!Y116*0.5,2)</f>
        <v>18.850000000000001</v>
      </c>
      <c r="N113" s="230"/>
    </row>
    <row r="114" spans="1:14" s="33" customFormat="1" x14ac:dyDescent="0.25">
      <c r="A114" s="33">
        <f>+fulltime!A114</f>
        <v>0</v>
      </c>
      <c r="B114" s="33">
        <f>fulltime!M114</f>
        <v>95243.199999999997</v>
      </c>
      <c r="C114" s="33">
        <f>+ficalifeW2!T126</f>
        <v>1918.5784319999998</v>
      </c>
      <c r="D114" s="33">
        <f t="shared" si="8"/>
        <v>-1846.08</v>
      </c>
      <c r="E114" s="33">
        <f t="shared" si="9"/>
        <v>-1694.6399999999999</v>
      </c>
      <c r="F114" s="33">
        <f t="shared" si="14"/>
        <v>713.96</v>
      </c>
      <c r="G114" s="33">
        <f t="shared" si="13"/>
        <v>94335.018431999997</v>
      </c>
      <c r="H114" s="33">
        <f t="shared" si="11"/>
        <v>0</v>
      </c>
      <c r="I114" s="33">
        <f t="shared" ref="I114:I149" si="15">+IF(H114&gt;0,G114-H114,G114)</f>
        <v>94335.018431999997</v>
      </c>
      <c r="K114" s="96">
        <v>76.92</v>
      </c>
      <c r="L114" s="86">
        <f>+ROUND(healthpension!V117*0.5,2)</f>
        <v>51.76</v>
      </c>
      <c r="M114" s="86">
        <f>+ROUND(healthpension!Y117*0.5,2)</f>
        <v>18.850000000000001</v>
      </c>
      <c r="N114" s="230">
        <v>27.46</v>
      </c>
    </row>
    <row r="115" spans="1:14" s="33" customFormat="1" x14ac:dyDescent="0.25">
      <c r="A115" s="33">
        <f>+fulltime!A115</f>
        <v>0</v>
      </c>
      <c r="B115" s="33">
        <f>fulltime!M115</f>
        <v>50329.211047802499</v>
      </c>
      <c r="C115" s="33">
        <f>+ficalifeW2!T127</f>
        <v>868.31078400000024</v>
      </c>
      <c r="D115" s="33">
        <f t="shared" si="8"/>
        <v>-1200</v>
      </c>
      <c r="E115" s="33">
        <f t="shared" si="9"/>
        <v>-1694.6399999999999</v>
      </c>
      <c r="F115" s="33">
        <f t="shared" si="14"/>
        <v>0</v>
      </c>
      <c r="G115" s="33">
        <f t="shared" si="13"/>
        <v>48302.881831802501</v>
      </c>
      <c r="H115" s="33">
        <f t="shared" si="11"/>
        <v>0</v>
      </c>
      <c r="I115" s="33">
        <f t="shared" si="15"/>
        <v>48302.881831802501</v>
      </c>
      <c r="K115" s="96">
        <v>50</v>
      </c>
      <c r="L115" s="86">
        <f>+ROUND(healthpension!V118*0.5,2)</f>
        <v>51.76</v>
      </c>
      <c r="M115" s="86">
        <f>+ROUND(healthpension!Y118*0.5,2)</f>
        <v>18.850000000000001</v>
      </c>
      <c r="N115" s="230"/>
    </row>
    <row r="116" spans="1:14" s="33" customFormat="1" x14ac:dyDescent="0.25">
      <c r="A116" s="33">
        <f>+fulltime!A116</f>
        <v>0</v>
      </c>
      <c r="B116" s="33">
        <f>fulltime!M116</f>
        <v>90926.700892252498</v>
      </c>
      <c r="C116" s="33">
        <f>+ficalifeW2!T128</f>
        <v>520.77312000000006</v>
      </c>
      <c r="D116" s="33">
        <f t="shared" si="8"/>
        <v>-1846.08</v>
      </c>
      <c r="E116" s="33">
        <f t="shared" si="9"/>
        <v>-1694.6399999999999</v>
      </c>
      <c r="F116" s="33">
        <f t="shared" si="14"/>
        <v>0</v>
      </c>
      <c r="G116" s="33">
        <f t="shared" si="13"/>
        <v>87906.754012252495</v>
      </c>
      <c r="H116" s="33">
        <f t="shared" si="11"/>
        <v>0</v>
      </c>
      <c r="I116" s="33">
        <f t="shared" si="15"/>
        <v>87906.754012252495</v>
      </c>
      <c r="K116" s="96">
        <v>76.92</v>
      </c>
      <c r="L116" s="86">
        <f>+ROUND(healthpension!V119*0.5,2)</f>
        <v>51.76</v>
      </c>
      <c r="M116" s="86">
        <f>+ROUND(healthpension!Y119*0.5,2)</f>
        <v>18.850000000000001</v>
      </c>
      <c r="N116" s="230"/>
    </row>
    <row r="117" spans="1:14" s="33" customFormat="1" x14ac:dyDescent="0.25">
      <c r="A117" s="33">
        <f>+fulltime!A117</f>
        <v>0</v>
      </c>
      <c r="B117" s="33">
        <f>fulltime!M117</f>
        <v>75598.481383405757</v>
      </c>
      <c r="C117" s="33">
        <f>+ficalifeW2!T129</f>
        <v>821.69491199999982</v>
      </c>
      <c r="D117" s="33">
        <f t="shared" si="8"/>
        <v>0</v>
      </c>
      <c r="E117" s="33">
        <f t="shared" si="9"/>
        <v>-1694.6399999999999</v>
      </c>
      <c r="F117" s="33">
        <f t="shared" si="14"/>
        <v>0</v>
      </c>
      <c r="G117" s="33">
        <f t="shared" si="13"/>
        <v>74725.536295405764</v>
      </c>
      <c r="H117" s="33">
        <f t="shared" si="11"/>
        <v>0</v>
      </c>
      <c r="I117" s="33">
        <f t="shared" si="15"/>
        <v>74725.536295405764</v>
      </c>
      <c r="K117" s="96"/>
      <c r="L117" s="86">
        <f>+ROUND(healthpension!V120*0.5,2)</f>
        <v>51.76</v>
      </c>
      <c r="M117" s="86">
        <f>+ROUND(healthpension!Y120*0.5,2)</f>
        <v>18.850000000000001</v>
      </c>
      <c r="N117" s="230"/>
    </row>
    <row r="118" spans="1:14" s="33" customFormat="1" x14ac:dyDescent="0.25">
      <c r="A118" s="33">
        <f>+fulltime!A118</f>
        <v>0</v>
      </c>
      <c r="B118" s="33">
        <f>fulltime!M118</f>
        <v>53456</v>
      </c>
      <c r="C118" s="33">
        <f>+ficalifeW2!T130</f>
        <v>334.61568</v>
      </c>
      <c r="D118" s="33">
        <f t="shared" si="8"/>
        <v>0</v>
      </c>
      <c r="E118" s="33">
        <f t="shared" si="9"/>
        <v>-2135.04</v>
      </c>
      <c r="F118" s="33">
        <f t="shared" si="14"/>
        <v>0</v>
      </c>
      <c r="G118" s="33">
        <f t="shared" si="13"/>
        <v>51655.575680000002</v>
      </c>
      <c r="H118" s="33">
        <f t="shared" si="11"/>
        <v>0</v>
      </c>
      <c r="I118" s="33">
        <f t="shared" si="15"/>
        <v>51655.575680000002</v>
      </c>
      <c r="K118" s="96"/>
      <c r="L118" s="86">
        <f>+ROUND(healthpension!V121*0.5,2)</f>
        <v>70.11</v>
      </c>
      <c r="M118" s="86">
        <f>+ROUND(healthpension!Y121*0.5,2)</f>
        <v>18.850000000000001</v>
      </c>
      <c r="N118" s="230"/>
    </row>
    <row r="119" spans="1:14" s="33" customFormat="1" x14ac:dyDescent="0.25">
      <c r="A119" s="33">
        <f>+fulltime!A119</f>
        <v>0</v>
      </c>
      <c r="B119" s="33">
        <f>fulltime!M119</f>
        <v>77339.254919319239</v>
      </c>
      <c r="C119" s="33">
        <f>+ficalifeW2!T131</f>
        <v>445.51123199999995</v>
      </c>
      <c r="D119" s="33">
        <f t="shared" si="8"/>
        <v>0</v>
      </c>
      <c r="E119" s="33">
        <f t="shared" si="9"/>
        <v>-1694.6399999999999</v>
      </c>
      <c r="F119" s="33">
        <f t="shared" si="14"/>
        <v>0</v>
      </c>
      <c r="G119" s="33">
        <f t="shared" si="13"/>
        <v>76090.126151319244</v>
      </c>
      <c r="H119" s="33">
        <f t="shared" si="11"/>
        <v>0</v>
      </c>
      <c r="I119" s="33">
        <f t="shared" si="15"/>
        <v>76090.126151319244</v>
      </c>
      <c r="K119" s="96"/>
      <c r="L119" s="86">
        <f>+ROUND(healthpension!V122*0.5,2)</f>
        <v>51.76</v>
      </c>
      <c r="M119" s="86">
        <f>+ROUND(healthpension!Y122*0.5,2)</f>
        <v>18.850000000000001</v>
      </c>
      <c r="N119" s="230"/>
    </row>
    <row r="120" spans="1:14" s="33" customFormat="1" x14ac:dyDescent="0.25">
      <c r="A120" s="33">
        <f>+fulltime!A120</f>
        <v>0</v>
      </c>
      <c r="B120" s="33">
        <f>fulltime!M120</f>
        <v>67537.600000000006</v>
      </c>
      <c r="C120" s="33">
        <f>+ficalifeW2!T132</f>
        <v>1287.893376</v>
      </c>
      <c r="D120" s="33">
        <f t="shared" si="8"/>
        <v>0</v>
      </c>
      <c r="E120" s="33">
        <f t="shared" si="9"/>
        <v>-1694.6399999999999</v>
      </c>
      <c r="F120" s="33">
        <f t="shared" si="14"/>
        <v>0</v>
      </c>
      <c r="G120" s="33">
        <f t="shared" si="13"/>
        <v>67130.853375999999</v>
      </c>
      <c r="H120" s="33">
        <f t="shared" si="11"/>
        <v>0</v>
      </c>
      <c r="I120" s="33">
        <f t="shared" si="15"/>
        <v>67130.853375999999</v>
      </c>
      <c r="K120" s="96"/>
      <c r="L120" s="86">
        <f>+ROUND(healthpension!V123*0.5,2)</f>
        <v>51.76</v>
      </c>
      <c r="M120" s="86">
        <f>+ROUND(healthpension!Y123*0.5,2)</f>
        <v>18.850000000000001</v>
      </c>
      <c r="N120" s="230"/>
    </row>
    <row r="121" spans="1:14" s="33" customFormat="1" x14ac:dyDescent="0.25">
      <c r="A121" s="33">
        <f>+fulltime!A121</f>
        <v>0</v>
      </c>
      <c r="B121" s="33">
        <f>fulltime!M121</f>
        <v>63242.312215617603</v>
      </c>
      <c r="C121" s="33">
        <f>+ficalifeW2!T133</f>
        <v>329.18803200000002</v>
      </c>
      <c r="D121" s="33">
        <f t="shared" si="8"/>
        <v>-923.04</v>
      </c>
      <c r="E121" s="33">
        <f t="shared" si="9"/>
        <v>-1519.2</v>
      </c>
      <c r="F121" s="33">
        <f t="shared" si="14"/>
        <v>0</v>
      </c>
      <c r="G121" s="33">
        <f t="shared" si="13"/>
        <v>61129.260247617603</v>
      </c>
      <c r="H121" s="33">
        <f t="shared" si="11"/>
        <v>0</v>
      </c>
      <c r="I121" s="33">
        <f t="shared" si="15"/>
        <v>61129.260247617603</v>
      </c>
      <c r="K121" s="96">
        <v>38.46</v>
      </c>
      <c r="L121" s="86">
        <f>+ROUND(healthpension!V124*0.5,2)</f>
        <v>44.45</v>
      </c>
      <c r="M121" s="86">
        <f>+ROUND(healthpension!Y124*0.5,2)</f>
        <v>18.850000000000001</v>
      </c>
      <c r="N121" s="230"/>
    </row>
    <row r="122" spans="1:14" s="33" customFormat="1" x14ac:dyDescent="0.25">
      <c r="A122" s="33">
        <f>+fulltime!A122</f>
        <v>0</v>
      </c>
      <c r="B122" s="33">
        <f>fulltime!M122</f>
        <v>122512</v>
      </c>
      <c r="C122" s="33">
        <f>+ficalifeW2!T134</f>
        <v>364.53888000000001</v>
      </c>
      <c r="D122" s="33">
        <f t="shared" si="8"/>
        <v>-480</v>
      </c>
      <c r="E122" s="33">
        <f t="shared" si="9"/>
        <v>-2135.04</v>
      </c>
      <c r="F122" s="33">
        <f t="shared" si="14"/>
        <v>1827.5400000000002</v>
      </c>
      <c r="G122" s="33">
        <f t="shared" si="13"/>
        <v>122089.03887999999</v>
      </c>
      <c r="H122" s="33">
        <f t="shared" si="11"/>
        <v>3589.0388799999928</v>
      </c>
      <c r="I122" s="33">
        <f t="shared" si="15"/>
        <v>118500</v>
      </c>
      <c r="K122" s="96">
        <v>20</v>
      </c>
      <c r="L122" s="86">
        <f>+ROUND(healthpension!V125*0.5,2)</f>
        <v>70.11</v>
      </c>
      <c r="M122" s="86">
        <f>+ROUND(healthpension!Y125*0.5,2)</f>
        <v>18.850000000000001</v>
      </c>
      <c r="N122" s="230">
        <v>70.290000000000006</v>
      </c>
    </row>
    <row r="123" spans="1:14" s="33" customFormat="1" x14ac:dyDescent="0.25">
      <c r="A123" s="33">
        <f>+fulltime!A123</f>
        <v>0</v>
      </c>
      <c r="B123" s="33">
        <f>fulltime!M123</f>
        <v>90353.250168984494</v>
      </c>
      <c r="C123" s="33">
        <f>+ficalifeW2!T135</f>
        <v>965.12659200000007</v>
      </c>
      <c r="D123" s="33">
        <f t="shared" si="8"/>
        <v>-2307.6000000000004</v>
      </c>
      <c r="E123" s="33">
        <f t="shared" si="9"/>
        <v>-1694.6399999999999</v>
      </c>
      <c r="F123" s="33">
        <f t="shared" si="14"/>
        <v>0</v>
      </c>
      <c r="G123" s="33">
        <f t="shared" si="13"/>
        <v>87316.136760984489</v>
      </c>
      <c r="H123" s="33">
        <f t="shared" si="11"/>
        <v>0</v>
      </c>
      <c r="I123" s="33">
        <f t="shared" si="15"/>
        <v>87316.136760984489</v>
      </c>
      <c r="K123" s="96">
        <v>96.15</v>
      </c>
      <c r="L123" s="86">
        <f>+ROUND(healthpension!V126*0.5,2)</f>
        <v>51.76</v>
      </c>
      <c r="M123" s="86">
        <f>+ROUND(healthpension!Y126*0.5,2)</f>
        <v>18.850000000000001</v>
      </c>
      <c r="N123" s="230"/>
    </row>
    <row r="124" spans="1:14" s="33" customFormat="1" x14ac:dyDescent="0.25">
      <c r="A124" s="33">
        <f>+fulltime!A124</f>
        <v>0</v>
      </c>
      <c r="B124" s="33">
        <f>fulltime!M124</f>
        <v>66567.699450719752</v>
      </c>
      <c r="C124" s="33">
        <f>+ficalifeW2!T136</f>
        <v>1198.2393600000003</v>
      </c>
      <c r="D124" s="33">
        <f t="shared" si="8"/>
        <v>0</v>
      </c>
      <c r="E124" s="33">
        <f t="shared" si="9"/>
        <v>-1242.24</v>
      </c>
      <c r="F124" s="33">
        <f t="shared" si="14"/>
        <v>0</v>
      </c>
      <c r="G124" s="33">
        <f t="shared" si="13"/>
        <v>66523.698810719754</v>
      </c>
      <c r="H124" s="33">
        <f t="shared" si="11"/>
        <v>0</v>
      </c>
      <c r="I124" s="33">
        <f t="shared" si="15"/>
        <v>66523.698810719754</v>
      </c>
      <c r="K124" s="96"/>
      <c r="L124" s="86">
        <f>+ROUND(healthpension!V127*0.5,2)</f>
        <v>51.76</v>
      </c>
      <c r="M124" s="86">
        <f>+ROUND(healthpension!Y127*0.5,2)</f>
        <v>0</v>
      </c>
      <c r="N124" s="230"/>
    </row>
    <row r="125" spans="1:14" s="33" customFormat="1" x14ac:dyDescent="0.25">
      <c r="A125" s="33">
        <f>+fulltime!A125</f>
        <v>0</v>
      </c>
      <c r="B125" s="33">
        <f>fulltime!M125</f>
        <v>274996.8</v>
      </c>
      <c r="C125" s="33">
        <f>+ficalifeW2!T137</f>
        <v>2190.5735039999995</v>
      </c>
      <c r="D125" s="33">
        <f t="shared" si="8"/>
        <v>-461.52</v>
      </c>
      <c r="E125" s="33">
        <f t="shared" si="9"/>
        <v>-2135.04</v>
      </c>
      <c r="F125" s="33">
        <f t="shared" si="14"/>
        <v>698.88</v>
      </c>
      <c r="G125" s="33">
        <f t="shared" si="13"/>
        <v>275289.69350399997</v>
      </c>
      <c r="H125" s="33">
        <f t="shared" si="11"/>
        <v>156789.69350399997</v>
      </c>
      <c r="I125" s="33">
        <f t="shared" si="15"/>
        <v>118500</v>
      </c>
      <c r="K125" s="96">
        <v>19.23</v>
      </c>
      <c r="L125" s="86">
        <f>+ROUND(healthpension!V128*0.5,2)</f>
        <v>70.11</v>
      </c>
      <c r="M125" s="86">
        <f>+ROUND(healthpension!Y128*0.5,2)</f>
        <v>18.850000000000001</v>
      </c>
      <c r="N125" s="230">
        <v>26.88</v>
      </c>
    </row>
    <row r="126" spans="1:14" s="33" customFormat="1" x14ac:dyDescent="0.25">
      <c r="A126" s="33">
        <f>+fulltime!A126</f>
        <v>0</v>
      </c>
      <c r="B126" s="33">
        <f>fulltime!M126</f>
        <v>57676.505113396001</v>
      </c>
      <c r="C126" s="33">
        <f>+ficalifeW2!T138</f>
        <v>348.57696000000004</v>
      </c>
      <c r="D126" s="33">
        <f t="shared" si="8"/>
        <v>0</v>
      </c>
      <c r="E126" s="33">
        <f t="shared" si="9"/>
        <v>-1694.6399999999999</v>
      </c>
      <c r="F126" s="33">
        <f t="shared" si="14"/>
        <v>0</v>
      </c>
      <c r="G126" s="33">
        <f t="shared" si="13"/>
        <v>56330.442073396</v>
      </c>
      <c r="H126" s="33">
        <f t="shared" si="11"/>
        <v>0</v>
      </c>
      <c r="I126" s="33">
        <f t="shared" si="15"/>
        <v>56330.442073396</v>
      </c>
      <c r="K126" s="96"/>
      <c r="L126" s="86">
        <f>+ROUND(healthpension!V129*0.5,2)</f>
        <v>51.76</v>
      </c>
      <c r="M126" s="86">
        <f>+ROUND(healthpension!Y129*0.5,2)</f>
        <v>18.850000000000001</v>
      </c>
      <c r="N126" s="230"/>
    </row>
    <row r="127" spans="1:14" s="33" customFormat="1" x14ac:dyDescent="0.25">
      <c r="A127" s="33">
        <f>+fulltime!A127</f>
        <v>0</v>
      </c>
      <c r="B127" s="33">
        <f>fulltime!M127</f>
        <v>82297.458355911411</v>
      </c>
      <c r="C127" s="33">
        <f>+ficalifeW2!T139</f>
        <v>445.51123199999995</v>
      </c>
      <c r="D127" s="33">
        <f t="shared" si="8"/>
        <v>0</v>
      </c>
      <c r="E127" s="33">
        <f t="shared" si="9"/>
        <v>-1694.6399999999999</v>
      </c>
      <c r="F127" s="33">
        <f t="shared" si="14"/>
        <v>0</v>
      </c>
      <c r="G127" s="33">
        <f t="shared" si="13"/>
        <v>81048.329587911416</v>
      </c>
      <c r="H127" s="33">
        <f t="shared" si="11"/>
        <v>0</v>
      </c>
      <c r="I127" s="33">
        <f t="shared" si="15"/>
        <v>81048.329587911416</v>
      </c>
      <c r="K127" s="96"/>
      <c r="L127" s="86">
        <f>+ROUND(healthpension!V130*0.5,2)</f>
        <v>51.76</v>
      </c>
      <c r="M127" s="86">
        <f>+ROUND(healthpension!Y130*0.5,2)</f>
        <v>18.850000000000001</v>
      </c>
      <c r="N127" s="230"/>
    </row>
    <row r="128" spans="1:14" s="33" customFormat="1" x14ac:dyDescent="0.25">
      <c r="A128" s="33">
        <f>+fulltime!A128</f>
        <v>0</v>
      </c>
      <c r="B128" s="33">
        <f>fulltime!M128</f>
        <v>74579.194492994706</v>
      </c>
      <c r="C128" s="33">
        <f>+ficalifeW2!T140</f>
        <v>145.90617600000002</v>
      </c>
      <c r="D128" s="33">
        <f t="shared" si="8"/>
        <v>0</v>
      </c>
      <c r="E128" s="33">
        <f t="shared" si="9"/>
        <v>-2135.04</v>
      </c>
      <c r="F128" s="33">
        <f>+N128*26</f>
        <v>0</v>
      </c>
      <c r="G128" s="33">
        <f t="shared" si="13"/>
        <v>72590.060668994716</v>
      </c>
      <c r="H128" s="33">
        <f t="shared" si="11"/>
        <v>0</v>
      </c>
      <c r="I128" s="33">
        <f t="shared" si="15"/>
        <v>72590.060668994716</v>
      </c>
      <c r="K128" s="96"/>
      <c r="L128" s="86">
        <f>+ROUND(healthpension!V131*0.5,2)</f>
        <v>70.11</v>
      </c>
      <c r="M128" s="86">
        <f>+ROUND(healthpension!Y131*0.5,2)</f>
        <v>18.850000000000001</v>
      </c>
      <c r="N128" s="230"/>
    </row>
    <row r="129" spans="1:14" s="33" customFormat="1" x14ac:dyDescent="0.25">
      <c r="A129" s="33">
        <f>+fulltime!A129</f>
        <v>0</v>
      </c>
      <c r="B129" s="33">
        <f>fulltime!M129</f>
        <v>41094.564180683199</v>
      </c>
      <c r="C129" s="33">
        <f>+ficalifeW2!T141</f>
        <v>58.450176000000013</v>
      </c>
      <c r="D129" s="33">
        <f t="shared" si="8"/>
        <v>0</v>
      </c>
      <c r="E129" s="33">
        <f t="shared" si="9"/>
        <v>-1694.6399999999999</v>
      </c>
      <c r="F129" s="33">
        <f t="shared" si="14"/>
        <v>0</v>
      </c>
      <c r="G129" s="33">
        <f t="shared" si="13"/>
        <v>39458.374356683198</v>
      </c>
      <c r="H129" s="33">
        <f t="shared" si="11"/>
        <v>0</v>
      </c>
      <c r="I129" s="33">
        <f t="shared" si="15"/>
        <v>39458.374356683198</v>
      </c>
      <c r="K129" s="96"/>
      <c r="L129" s="86">
        <f>+ROUND(healthpension!V132*0.5,2)</f>
        <v>51.76</v>
      </c>
      <c r="M129" s="86">
        <f>+ROUND(healthpension!Y132*0.5,2)</f>
        <v>18.850000000000001</v>
      </c>
      <c r="N129" s="230"/>
    </row>
    <row r="130" spans="1:14" s="33" customFormat="1" x14ac:dyDescent="0.25">
      <c r="A130" s="33">
        <f>+fulltime!A130</f>
        <v>0</v>
      </c>
      <c r="B130" s="33">
        <f>fulltime!M130</f>
        <v>149094.39999999999</v>
      </c>
      <c r="C130" s="33">
        <f>+ficalifeW2!T142</f>
        <v>733.10976000000005</v>
      </c>
      <c r="D130" s="33">
        <f t="shared" si="8"/>
        <v>-2353.92</v>
      </c>
      <c r="E130" s="33">
        <f t="shared" si="9"/>
        <v>-1519.2</v>
      </c>
      <c r="F130" s="33">
        <f t="shared" si="14"/>
        <v>9750</v>
      </c>
      <c r="G130" s="33">
        <f t="shared" si="13"/>
        <v>155704.38975999996</v>
      </c>
      <c r="H130" s="33">
        <f t="shared" si="11"/>
        <v>37204.389759999962</v>
      </c>
      <c r="I130" s="33">
        <f t="shared" si="15"/>
        <v>118500</v>
      </c>
      <c r="K130" s="96">
        <v>98.08</v>
      </c>
      <c r="L130" s="86">
        <f>+ROUND(healthpension!V133*0.5,2)</f>
        <v>44.45</v>
      </c>
      <c r="M130" s="86">
        <f>+ROUND(healthpension!Y133*0.5,2)</f>
        <v>18.850000000000001</v>
      </c>
      <c r="N130" s="230">
        <v>375</v>
      </c>
    </row>
    <row r="131" spans="1:14" s="33" customFormat="1" x14ac:dyDescent="0.25">
      <c r="A131" s="33">
        <f>+fulltime!A131</f>
        <v>0</v>
      </c>
      <c r="B131" s="33">
        <f>fulltime!M131</f>
        <v>108014.39999999999</v>
      </c>
      <c r="C131" s="33">
        <f>+ficalifeW2!T143</f>
        <v>795.95923199999993</v>
      </c>
      <c r="D131" s="33">
        <f t="shared" si="8"/>
        <v>-461.52</v>
      </c>
      <c r="E131" s="33">
        <f t="shared" si="9"/>
        <v>-2135.04</v>
      </c>
      <c r="F131" s="33">
        <f t="shared" si="14"/>
        <v>0</v>
      </c>
      <c r="G131" s="33">
        <f t="shared" ref="G131:G153" si="16">SUM(B131:F131)</f>
        <v>106213.79923199999</v>
      </c>
      <c r="H131" s="33">
        <f t="shared" si="11"/>
        <v>0</v>
      </c>
      <c r="I131" s="33">
        <f t="shared" si="15"/>
        <v>106213.79923199999</v>
      </c>
      <c r="K131" s="96">
        <v>19.23</v>
      </c>
      <c r="L131" s="86">
        <f>+ROUND(healthpension!V134*0.5,2)</f>
        <v>70.11</v>
      </c>
      <c r="M131" s="86">
        <f>+ROUND(healthpension!Y134*0.5,2)</f>
        <v>18.850000000000001</v>
      </c>
      <c r="N131" s="230"/>
    </row>
    <row r="132" spans="1:14" s="33" customFormat="1" x14ac:dyDescent="0.25">
      <c r="A132" s="33">
        <f>+fulltime!A132</f>
        <v>0</v>
      </c>
      <c r="B132" s="33">
        <f>fulltime!M132</f>
        <v>53061.746701909768</v>
      </c>
      <c r="C132" s="33">
        <f>+ficalifeW2!T144</f>
        <v>48.661440000000013</v>
      </c>
      <c r="D132" s="33">
        <f t="shared" ref="D132:D149" si="17">-K132*24</f>
        <v>0</v>
      </c>
      <c r="E132" s="33">
        <f t="shared" ref="E132:E153" si="18">-SUM(L132:M132)*24</f>
        <v>-495.12</v>
      </c>
      <c r="F132" s="33">
        <f t="shared" si="14"/>
        <v>0</v>
      </c>
      <c r="G132" s="33">
        <f t="shared" si="16"/>
        <v>52615.288141909768</v>
      </c>
      <c r="H132" s="33">
        <f t="shared" ref="H132:H149" si="19">+IF(G132&gt;118500,G132-118500,0)</f>
        <v>0</v>
      </c>
      <c r="I132" s="33">
        <f t="shared" si="15"/>
        <v>52615.288141909768</v>
      </c>
      <c r="K132" s="96"/>
      <c r="L132" s="86">
        <f>+ROUND(healthpension!V135*0.5,2)</f>
        <v>20.63</v>
      </c>
      <c r="M132" s="86">
        <f>+ROUND(healthpension!Y135*0.5,2)</f>
        <v>0</v>
      </c>
      <c r="N132" s="230"/>
    </row>
    <row r="133" spans="1:14" s="33" customFormat="1" x14ac:dyDescent="0.25">
      <c r="A133" s="33">
        <f>+fulltime!A133</f>
        <v>0</v>
      </c>
      <c r="B133" s="33">
        <f>fulltime!M133</f>
        <v>77849.384378318908</v>
      </c>
      <c r="C133" s="33">
        <f>+ficalifeW2!T145</f>
        <v>978.70540799999992</v>
      </c>
      <c r="D133" s="33">
        <f t="shared" si="17"/>
        <v>-600</v>
      </c>
      <c r="E133" s="33">
        <f t="shared" si="18"/>
        <v>-2135.04</v>
      </c>
      <c r="F133" s="33">
        <f t="shared" si="14"/>
        <v>0</v>
      </c>
      <c r="G133" s="33">
        <f t="shared" si="16"/>
        <v>76093.049786318908</v>
      </c>
      <c r="H133" s="33">
        <f t="shared" si="19"/>
        <v>0</v>
      </c>
      <c r="I133" s="33">
        <f t="shared" si="15"/>
        <v>76093.049786318908</v>
      </c>
      <c r="K133" s="96">
        <v>25</v>
      </c>
      <c r="L133" s="86">
        <f>+ROUND(healthpension!V136*0.5,2)</f>
        <v>70.11</v>
      </c>
      <c r="M133" s="86">
        <f>+ROUND(healthpension!Y136*0.5,2)</f>
        <v>18.850000000000001</v>
      </c>
      <c r="N133" s="230"/>
    </row>
    <row r="134" spans="1:14" s="33" customFormat="1" x14ac:dyDescent="0.25">
      <c r="A134" s="33">
        <f>+fulltime!A134</f>
        <v>0</v>
      </c>
      <c r="B134" s="33">
        <f>fulltime!M134</f>
        <v>84323.953325194801</v>
      </c>
      <c r="C134" s="33">
        <f>+ficalifeW2!T146</f>
        <v>168.413568</v>
      </c>
      <c r="D134" s="33">
        <f t="shared" si="17"/>
        <v>0</v>
      </c>
      <c r="E134" s="33">
        <f t="shared" si="18"/>
        <v>-2135.04</v>
      </c>
      <c r="F134" s="33">
        <f t="shared" si="14"/>
        <v>0</v>
      </c>
      <c r="G134" s="33">
        <f t="shared" si="16"/>
        <v>82357.326893194811</v>
      </c>
      <c r="H134" s="33">
        <f t="shared" si="19"/>
        <v>0</v>
      </c>
      <c r="I134" s="33">
        <f t="shared" si="15"/>
        <v>82357.326893194811</v>
      </c>
      <c r="K134" s="96"/>
      <c r="L134" s="86">
        <f>+ROUND(healthpension!V137*0.5,2)</f>
        <v>70.11</v>
      </c>
      <c r="M134" s="86">
        <f>+ROUND(healthpension!Y137*0.5,2)</f>
        <v>18.850000000000001</v>
      </c>
      <c r="N134" s="230"/>
    </row>
    <row r="135" spans="1:14" s="33" customFormat="1" x14ac:dyDescent="0.25">
      <c r="A135" s="33">
        <f>+fulltime!A135</f>
        <v>0</v>
      </c>
      <c r="B135" s="33">
        <f>fulltime!M135</f>
        <v>95837.473271663956</v>
      </c>
      <c r="C135" s="33">
        <f>+ficalifeW2!T147</f>
        <v>1611.1054080000001</v>
      </c>
      <c r="D135" s="33">
        <f t="shared" si="17"/>
        <v>-1680</v>
      </c>
      <c r="E135" s="33">
        <f t="shared" si="18"/>
        <v>-1694.6399999999999</v>
      </c>
      <c r="F135" s="33">
        <f t="shared" si="14"/>
        <v>0</v>
      </c>
      <c r="G135" s="33">
        <f t="shared" si="16"/>
        <v>94073.938679663959</v>
      </c>
      <c r="H135" s="33">
        <f t="shared" si="19"/>
        <v>0</v>
      </c>
      <c r="I135" s="33">
        <f t="shared" si="15"/>
        <v>94073.938679663959</v>
      </c>
      <c r="K135" s="96">
        <v>70</v>
      </c>
      <c r="L135" s="86">
        <f>+ROUND(healthpension!V138*0.5,2)</f>
        <v>51.76</v>
      </c>
      <c r="M135" s="86">
        <f>+ROUND(healthpension!Y138*0.5,2)</f>
        <v>18.850000000000001</v>
      </c>
      <c r="N135" s="230"/>
    </row>
    <row r="136" spans="1:14" s="33" customFormat="1" x14ac:dyDescent="0.25">
      <c r="A136" s="33">
        <f>+fulltime!A136</f>
        <v>0</v>
      </c>
      <c r="B136" s="33">
        <f>fulltime!M136</f>
        <v>82441.522376825509</v>
      </c>
      <c r="C136" s="33">
        <f>+ficalifeW2!T148</f>
        <v>821.69491199999982</v>
      </c>
      <c r="D136" s="33">
        <f t="shared" si="17"/>
        <v>0</v>
      </c>
      <c r="E136" s="33">
        <f t="shared" si="18"/>
        <v>-1694.6399999999999</v>
      </c>
      <c r="F136" s="33">
        <f t="shared" si="14"/>
        <v>0</v>
      </c>
      <c r="G136" s="33">
        <f t="shared" si="16"/>
        <v>81568.577288825516</v>
      </c>
      <c r="H136" s="33">
        <f t="shared" si="19"/>
        <v>0</v>
      </c>
      <c r="I136" s="33">
        <f t="shared" si="15"/>
        <v>81568.577288825516</v>
      </c>
      <c r="K136" s="96"/>
      <c r="L136" s="86">
        <f>+ROUND(healthpension!V139*0.5,2)</f>
        <v>51.76</v>
      </c>
      <c r="M136" s="86">
        <f>+ROUND(healthpension!Y139*0.5,2)</f>
        <v>18.850000000000001</v>
      </c>
      <c r="N136" s="230"/>
    </row>
    <row r="137" spans="1:14" s="33" customFormat="1" x14ac:dyDescent="0.25">
      <c r="A137" s="33">
        <f>+fulltime!A137</f>
        <v>0</v>
      </c>
      <c r="B137" s="33">
        <f>fulltime!M137</f>
        <v>148803.20000000001</v>
      </c>
      <c r="C137" s="33">
        <f>+ficalifeW2!T149</f>
        <v>3218.764032</v>
      </c>
      <c r="D137" s="33">
        <f>-K137*24</f>
        <v>-1107.5999999999999</v>
      </c>
      <c r="E137" s="33">
        <f t="shared" si="18"/>
        <v>-1694.6399999999999</v>
      </c>
      <c r="F137" s="33">
        <f t="shared" si="14"/>
        <v>3642.8600000000006</v>
      </c>
      <c r="G137" s="33">
        <f t="shared" si="16"/>
        <v>152862.58403199998</v>
      </c>
      <c r="H137" s="33">
        <f t="shared" si="19"/>
        <v>34362.584031999984</v>
      </c>
      <c r="I137" s="33">
        <f t="shared" si="15"/>
        <v>118500</v>
      </c>
      <c r="K137" s="96">
        <v>46.15</v>
      </c>
      <c r="L137" s="86">
        <f>+ROUND(healthpension!V140*0.5,2)</f>
        <v>51.76</v>
      </c>
      <c r="M137" s="86">
        <f>+ROUND(healthpension!Y140*0.5,2)</f>
        <v>18.850000000000001</v>
      </c>
      <c r="N137" s="230">
        <v>140.11000000000001</v>
      </c>
    </row>
    <row r="138" spans="1:14" s="33" customFormat="1" x14ac:dyDescent="0.25">
      <c r="A138" s="33">
        <f>+fulltime!A138</f>
        <v>0</v>
      </c>
      <c r="B138" s="33">
        <f>fulltime!M138</f>
        <v>67704</v>
      </c>
      <c r="C138" s="33">
        <f>+ficalifeW2!T150</f>
        <v>841.65791999999999</v>
      </c>
      <c r="D138" s="33">
        <f t="shared" si="17"/>
        <v>0</v>
      </c>
      <c r="E138" s="33">
        <f t="shared" si="18"/>
        <v>-1242.24</v>
      </c>
      <c r="F138" s="33">
        <f t="shared" si="14"/>
        <v>0</v>
      </c>
      <c r="G138" s="33">
        <f t="shared" si="16"/>
        <v>67303.417919999993</v>
      </c>
      <c r="H138" s="33">
        <f t="shared" si="19"/>
        <v>0</v>
      </c>
      <c r="I138" s="33">
        <f t="shared" si="15"/>
        <v>67303.417919999993</v>
      </c>
      <c r="K138" s="96"/>
      <c r="L138" s="86">
        <f>+ROUND(healthpension!V141*0.5,2)</f>
        <v>51.76</v>
      </c>
      <c r="M138" s="86">
        <f>+ROUND(healthpension!Y141*0.5,2)</f>
        <v>0</v>
      </c>
      <c r="N138" s="230"/>
    </row>
    <row r="139" spans="1:14" s="33" customFormat="1" x14ac:dyDescent="0.25">
      <c r="A139" s="33">
        <f>+fulltime!A139</f>
        <v>0</v>
      </c>
      <c r="B139" s="33">
        <f>fulltime!M139</f>
        <v>69160</v>
      </c>
      <c r="C139" s="33">
        <f>+ficalifeW2!T151</f>
        <v>1280.8416000000002</v>
      </c>
      <c r="D139" s="33">
        <f t="shared" si="17"/>
        <v>-830.64</v>
      </c>
      <c r="E139" s="33">
        <f t="shared" si="18"/>
        <v>-2135.04</v>
      </c>
      <c r="F139" s="33">
        <f t="shared" si="14"/>
        <v>0</v>
      </c>
      <c r="G139" s="33">
        <f t="shared" si="16"/>
        <v>67475.161600000007</v>
      </c>
      <c r="H139" s="33">
        <f t="shared" si="19"/>
        <v>0</v>
      </c>
      <c r="I139" s="33">
        <f t="shared" si="15"/>
        <v>67475.161600000007</v>
      </c>
      <c r="K139" s="96">
        <v>34.61</v>
      </c>
      <c r="L139" s="86">
        <f>+ROUND(healthpension!V142*0.5,2)</f>
        <v>70.11</v>
      </c>
      <c r="M139" s="86">
        <f>+ROUND(healthpension!Y142*0.5,2)</f>
        <v>18.850000000000001</v>
      </c>
      <c r="N139" s="230"/>
    </row>
    <row r="140" spans="1:14" s="33" customFormat="1" x14ac:dyDescent="0.25">
      <c r="A140" s="33">
        <f>+fulltime!A140</f>
        <v>0</v>
      </c>
      <c r="B140" s="33">
        <f>fulltime!M140</f>
        <v>43992.721368808452</v>
      </c>
      <c r="C140" s="33">
        <f>+ficalifeW2!T152</f>
        <v>174.29951999999997</v>
      </c>
      <c r="D140" s="33">
        <f t="shared" si="17"/>
        <v>-1080</v>
      </c>
      <c r="E140" s="33">
        <f t="shared" si="18"/>
        <v>-2135.04</v>
      </c>
      <c r="F140" s="33">
        <f t="shared" si="14"/>
        <v>0</v>
      </c>
      <c r="G140" s="33">
        <f t="shared" si="16"/>
        <v>40951.980888808452</v>
      </c>
      <c r="H140" s="33">
        <f t="shared" si="19"/>
        <v>0</v>
      </c>
      <c r="I140" s="33">
        <f t="shared" si="15"/>
        <v>40951.980888808452</v>
      </c>
      <c r="K140" s="96">
        <v>45</v>
      </c>
      <c r="L140" s="86">
        <f>+ROUND(healthpension!V143*0.5,2)</f>
        <v>70.11</v>
      </c>
      <c r="M140" s="86">
        <f>+ROUND(healthpension!Y143*0.5,2)</f>
        <v>18.850000000000001</v>
      </c>
      <c r="N140" s="230"/>
    </row>
    <row r="141" spans="1:14" s="33" customFormat="1" x14ac:dyDescent="0.25">
      <c r="A141" s="33">
        <f>+fulltime!A141</f>
        <v>0</v>
      </c>
      <c r="B141" s="33">
        <f>fulltime!M141</f>
        <v>54992.329896796873</v>
      </c>
      <c r="C141" s="33">
        <f>+ficalifeW2!T153</f>
        <v>948.44812800000022</v>
      </c>
      <c r="D141" s="33">
        <f t="shared" si="17"/>
        <v>-1680</v>
      </c>
      <c r="E141" s="33">
        <f t="shared" si="18"/>
        <v>-1694.6399999999999</v>
      </c>
      <c r="F141" s="33">
        <f t="shared" si="14"/>
        <v>0</v>
      </c>
      <c r="G141" s="33">
        <f t="shared" si="16"/>
        <v>52566.138024796877</v>
      </c>
      <c r="H141" s="33">
        <f t="shared" si="19"/>
        <v>0</v>
      </c>
      <c r="I141" s="33">
        <f t="shared" si="15"/>
        <v>52566.138024796877</v>
      </c>
      <c r="K141" s="96">
        <v>70</v>
      </c>
      <c r="L141" s="86">
        <f>+ROUND(healthpension!V144*0.5,2)</f>
        <v>51.76</v>
      </c>
      <c r="M141" s="86">
        <f>+ROUND(healthpension!Y144*0.5,2)</f>
        <v>18.850000000000001</v>
      </c>
      <c r="N141" s="230"/>
    </row>
    <row r="142" spans="1:14" s="33" customFormat="1" x14ac:dyDescent="0.25">
      <c r="A142" s="33">
        <f>+fulltime!A142</f>
        <v>0</v>
      </c>
      <c r="B142" s="33">
        <f>fulltime!M142</f>
        <v>57082.608968870656</v>
      </c>
      <c r="C142" s="33">
        <f>+ficalifeW2!T154</f>
        <v>77.593728000000013</v>
      </c>
      <c r="D142" s="33">
        <f t="shared" si="17"/>
        <v>-912</v>
      </c>
      <c r="E142" s="33">
        <f t="shared" si="18"/>
        <v>-2135.04</v>
      </c>
      <c r="F142" s="33">
        <f>+N142*26</f>
        <v>0</v>
      </c>
      <c r="G142" s="33">
        <f t="shared" si="16"/>
        <v>54113.162696870655</v>
      </c>
      <c r="H142" s="33">
        <f t="shared" si="19"/>
        <v>0</v>
      </c>
      <c r="I142" s="33">
        <f t="shared" si="15"/>
        <v>54113.162696870655</v>
      </c>
      <c r="K142" s="96">
        <v>38</v>
      </c>
      <c r="L142" s="86">
        <f>+ROUND(healthpension!V145*0.5,2)</f>
        <v>70.11</v>
      </c>
      <c r="M142" s="86">
        <f>+ROUND(healthpension!Y145*0.5,2)</f>
        <v>18.850000000000001</v>
      </c>
      <c r="N142" s="230"/>
    </row>
    <row r="143" spans="1:14" s="33" customFormat="1" x14ac:dyDescent="0.25">
      <c r="A143" s="33">
        <f>+fulltime!A143</f>
        <v>0</v>
      </c>
      <c r="B143" s="33">
        <f>fulltime!M143</f>
        <v>60322.407540192602</v>
      </c>
      <c r="C143" s="33">
        <f>+ficalifeW2!T155</f>
        <v>985.80556800000033</v>
      </c>
      <c r="D143" s="33">
        <f t="shared" si="17"/>
        <v>-480</v>
      </c>
      <c r="E143" s="33">
        <f t="shared" si="18"/>
        <v>-495.12</v>
      </c>
      <c r="F143" s="33">
        <f t="shared" si="14"/>
        <v>0</v>
      </c>
      <c r="G143" s="33">
        <f t="shared" si="16"/>
        <v>60333.093108192603</v>
      </c>
      <c r="H143" s="33">
        <f t="shared" si="19"/>
        <v>0</v>
      </c>
      <c r="I143" s="33">
        <f t="shared" si="15"/>
        <v>60333.093108192603</v>
      </c>
      <c r="K143" s="96">
        <v>20</v>
      </c>
      <c r="L143" s="86">
        <f>+ROUND(healthpension!V146*0.5,2)</f>
        <v>20.63</v>
      </c>
      <c r="M143" s="86">
        <f>+ROUND(healthpension!Y146*0.5,2)</f>
        <v>0</v>
      </c>
      <c r="N143" s="230"/>
    </row>
    <row r="144" spans="1:14" s="33" customFormat="1" x14ac:dyDescent="0.25">
      <c r="A144" s="33">
        <f>+fulltime!A144</f>
        <v>0</v>
      </c>
      <c r="B144" s="33">
        <f>fulltime!M144</f>
        <v>72877.531991994023</v>
      </c>
      <c r="C144" s="33">
        <f>+ficalifeW2!T156</f>
        <v>891.35712000000012</v>
      </c>
      <c r="D144" s="33">
        <f t="shared" si="17"/>
        <v>-2353.92</v>
      </c>
      <c r="E144" s="33">
        <f t="shared" si="18"/>
        <v>-2135.04</v>
      </c>
      <c r="F144" s="33">
        <f t="shared" si="14"/>
        <v>0</v>
      </c>
      <c r="G144" s="33">
        <f t="shared" si="16"/>
        <v>69279.929111994032</v>
      </c>
      <c r="H144" s="33">
        <f t="shared" si="19"/>
        <v>0</v>
      </c>
      <c r="I144" s="33">
        <f t="shared" si="15"/>
        <v>69279.929111994032</v>
      </c>
      <c r="K144" s="96">
        <v>98.08</v>
      </c>
      <c r="L144" s="86">
        <f>+ROUND(healthpension!V147*0.5,2)</f>
        <v>70.11</v>
      </c>
      <c r="M144" s="86">
        <f>+ROUND(healthpension!Y147*0.5,2)</f>
        <v>18.850000000000001</v>
      </c>
      <c r="N144" s="230"/>
    </row>
    <row r="145" spans="1:14" s="33" customFormat="1" x14ac:dyDescent="0.25">
      <c r="A145" s="33">
        <f>+fulltime!A145</f>
        <v>0</v>
      </c>
      <c r="B145" s="33">
        <f>fulltime!M145</f>
        <v>68945.060085978999</v>
      </c>
      <c r="C145" s="33">
        <f>+ficalifeW2!T157</f>
        <v>70.900800000000004</v>
      </c>
      <c r="D145" s="33">
        <f t="shared" si="17"/>
        <v>0</v>
      </c>
      <c r="E145" s="33">
        <f t="shared" si="18"/>
        <v>-495.12</v>
      </c>
      <c r="F145" s="33">
        <f t="shared" si="14"/>
        <v>0</v>
      </c>
      <c r="G145" s="33">
        <f t="shared" si="16"/>
        <v>68520.840885979007</v>
      </c>
      <c r="H145" s="33">
        <f t="shared" si="19"/>
        <v>0</v>
      </c>
      <c r="I145" s="33">
        <f t="shared" si="15"/>
        <v>68520.840885979007</v>
      </c>
      <c r="K145" s="96"/>
      <c r="L145" s="86">
        <f>+ROUND(healthpension!V148*0.5,2)</f>
        <v>20.63</v>
      </c>
      <c r="M145" s="86">
        <f>+ROUND(healthpension!Y148*0.5,2)</f>
        <v>0</v>
      </c>
      <c r="N145" s="230"/>
    </row>
    <row r="146" spans="1:14" s="33" customFormat="1" x14ac:dyDescent="0.25">
      <c r="A146" s="33">
        <f>+fulltime!A146</f>
        <v>0</v>
      </c>
      <c r="B146" s="33">
        <f>fulltime!M146</f>
        <v>58864.732744696797</v>
      </c>
      <c r="C146" s="33">
        <f>+ficalifeW2!T158</f>
        <v>940.46515200000022</v>
      </c>
      <c r="D146" s="33">
        <f t="shared" si="17"/>
        <v>-960</v>
      </c>
      <c r="E146" s="33">
        <f t="shared" si="18"/>
        <v>-1694.6399999999999</v>
      </c>
      <c r="F146" s="33">
        <f t="shared" si="14"/>
        <v>0</v>
      </c>
      <c r="G146" s="33">
        <f t="shared" si="16"/>
        <v>57150.557896696795</v>
      </c>
      <c r="H146" s="33">
        <f t="shared" si="19"/>
        <v>0</v>
      </c>
      <c r="I146" s="33">
        <f t="shared" si="15"/>
        <v>57150.557896696795</v>
      </c>
      <c r="K146" s="96">
        <v>40</v>
      </c>
      <c r="L146" s="86">
        <f>+ROUND(healthpension!V149*0.5,2)</f>
        <v>51.76</v>
      </c>
      <c r="M146" s="86">
        <f>+ROUND(healthpension!Y149*0.5,2)</f>
        <v>18.850000000000001</v>
      </c>
      <c r="N146" s="230"/>
    </row>
    <row r="147" spans="1:14" s="33" customFormat="1" x14ac:dyDescent="0.25">
      <c r="A147" s="33">
        <f>+fulltime!A147</f>
        <v>0</v>
      </c>
      <c r="B147" s="33">
        <f>fulltime!M147</f>
        <v>56028.403879826401</v>
      </c>
      <c r="C147" s="33">
        <f>+ficalifeW2!T159</f>
        <v>150.68006400000002</v>
      </c>
      <c r="D147" s="33">
        <f t="shared" si="17"/>
        <v>-3672</v>
      </c>
      <c r="E147" s="33">
        <f t="shared" si="18"/>
        <v>-2135.04</v>
      </c>
      <c r="F147" s="33">
        <f t="shared" si="14"/>
        <v>0</v>
      </c>
      <c r="G147" s="33">
        <f t="shared" si="16"/>
        <v>50372.0439438264</v>
      </c>
      <c r="H147" s="33">
        <f t="shared" si="19"/>
        <v>0</v>
      </c>
      <c r="I147" s="33">
        <f t="shared" si="15"/>
        <v>50372.0439438264</v>
      </c>
      <c r="K147" s="96">
        <v>153</v>
      </c>
      <c r="L147" s="86">
        <f>+ROUND(healthpension!V150*0.5,2)</f>
        <v>70.11</v>
      </c>
      <c r="M147" s="86">
        <f>+ROUND(healthpension!Y150*0.5,2)</f>
        <v>18.850000000000001</v>
      </c>
      <c r="N147" s="230"/>
    </row>
    <row r="148" spans="1:14" s="33" customFormat="1" x14ac:dyDescent="0.25">
      <c r="A148" s="33">
        <f>+fulltime!A148</f>
        <v>0</v>
      </c>
      <c r="B148" s="33">
        <f>fulltime!M148</f>
        <v>43072.532096159186</v>
      </c>
      <c r="C148" s="33">
        <f>+ficalifeW2!T160</f>
        <v>69.032831999999985</v>
      </c>
      <c r="D148" s="33">
        <f t="shared" si="17"/>
        <v>-1368</v>
      </c>
      <c r="E148" s="33">
        <f t="shared" si="18"/>
        <v>-2135.04</v>
      </c>
      <c r="F148" s="33">
        <f t="shared" si="14"/>
        <v>0</v>
      </c>
      <c r="G148" s="33">
        <f t="shared" si="16"/>
        <v>39638.524928159182</v>
      </c>
      <c r="H148" s="33">
        <f t="shared" si="19"/>
        <v>0</v>
      </c>
      <c r="I148" s="33">
        <f t="shared" si="15"/>
        <v>39638.524928159182</v>
      </c>
      <c r="K148" s="96">
        <v>57</v>
      </c>
      <c r="L148" s="86">
        <f>+ROUND(healthpension!V151*0.5,2)</f>
        <v>70.11</v>
      </c>
      <c r="M148" s="86">
        <f>+ROUND(healthpension!Y151*0.5,2)</f>
        <v>18.850000000000001</v>
      </c>
      <c r="N148" s="230"/>
    </row>
    <row r="149" spans="1:14" s="33" customFormat="1" x14ac:dyDescent="0.25">
      <c r="A149" s="33">
        <f>+fulltime!A149</f>
        <v>0</v>
      </c>
      <c r="B149" s="33">
        <f>fulltime!M149</f>
        <v>71079.629805826393</v>
      </c>
      <c r="C149" s="33">
        <f>+ficalifeW2!T161</f>
        <v>875.14425600000038</v>
      </c>
      <c r="D149" s="33">
        <f t="shared" si="17"/>
        <v>0</v>
      </c>
      <c r="E149" s="33">
        <f t="shared" si="18"/>
        <v>-1242.24</v>
      </c>
      <c r="F149" s="33">
        <f t="shared" si="14"/>
        <v>0</v>
      </c>
      <c r="G149" s="33">
        <f t="shared" si="16"/>
        <v>70712.534061826387</v>
      </c>
      <c r="H149" s="33">
        <f t="shared" si="19"/>
        <v>0</v>
      </c>
      <c r="I149" s="33">
        <f t="shared" si="15"/>
        <v>70712.534061826387</v>
      </c>
      <c r="K149" s="96"/>
      <c r="L149" s="86">
        <f>+ROUND(healthpension!V152*0.5,2)</f>
        <v>51.76</v>
      </c>
      <c r="M149" s="86">
        <f>+ROUND(healthpension!Y152*0.5,2)</f>
        <v>0</v>
      </c>
      <c r="N149" s="230"/>
    </row>
    <row r="150" spans="1:14" s="33" customFormat="1" x14ac:dyDescent="0.25">
      <c r="A150" s="33">
        <f>+fulltime!A150</f>
        <v>0</v>
      </c>
      <c r="B150" s="33">
        <f>fulltime!M150</f>
        <v>80495.450841435013</v>
      </c>
      <c r="C150" s="33">
        <f>+ficalifeW2!T162</f>
        <v>164.81356800000003</v>
      </c>
      <c r="D150" s="33">
        <f t="shared" ref="D150:D153" si="20">-K150*24</f>
        <v>0</v>
      </c>
      <c r="E150" s="33">
        <f t="shared" si="18"/>
        <v>-495.12</v>
      </c>
      <c r="F150" s="33">
        <f t="shared" ref="F150:F153" si="21">+N150*26</f>
        <v>0</v>
      </c>
      <c r="G150" s="33">
        <f t="shared" si="16"/>
        <v>80165.144409435015</v>
      </c>
      <c r="H150" s="33">
        <f t="shared" ref="H150:H153" si="22">+IF(G150&gt;118500,G150-118500,0)</f>
        <v>0</v>
      </c>
      <c r="I150" s="33">
        <f t="shared" ref="I150:I153" si="23">+IF(H150&gt;0,G150-H150,G150)</f>
        <v>80165.144409435015</v>
      </c>
      <c r="K150" s="96"/>
      <c r="L150" s="86">
        <f>+ROUND(healthpension!V153*0.5,2)</f>
        <v>20.63</v>
      </c>
      <c r="M150" s="86">
        <f>+ROUND(healthpension!Y153*0.5,2)</f>
        <v>0</v>
      </c>
      <c r="N150" s="230"/>
    </row>
    <row r="151" spans="1:14" s="33" customFormat="1" x14ac:dyDescent="0.25">
      <c r="A151" s="33">
        <f>+fulltime!A151</f>
        <v>0</v>
      </c>
      <c r="B151" s="33">
        <f>fulltime!M151</f>
        <v>69694.568000493819</v>
      </c>
      <c r="C151" s="33">
        <f>+ficalifeW2!T163</f>
        <v>427.23916800000006</v>
      </c>
      <c r="D151" s="33">
        <f t="shared" si="20"/>
        <v>0</v>
      </c>
      <c r="E151" s="33">
        <f t="shared" si="18"/>
        <v>-1519.2</v>
      </c>
      <c r="F151" s="33">
        <f t="shared" si="21"/>
        <v>0</v>
      </c>
      <c r="G151" s="33">
        <f t="shared" si="16"/>
        <v>68602.607168493822</v>
      </c>
      <c r="H151" s="33">
        <f t="shared" si="22"/>
        <v>0</v>
      </c>
      <c r="I151" s="33">
        <f t="shared" si="23"/>
        <v>68602.607168493822</v>
      </c>
      <c r="K151" s="96"/>
      <c r="L151" s="86">
        <f>+ROUND(healthpension!V154*0.5,2)</f>
        <v>44.45</v>
      </c>
      <c r="M151" s="86">
        <f>+ROUND(healthpension!Y154*0.5,2)</f>
        <v>18.850000000000001</v>
      </c>
      <c r="N151" s="230"/>
    </row>
    <row r="152" spans="1:14" s="33" customFormat="1" x14ac:dyDescent="0.25">
      <c r="A152" s="33">
        <f>+fulltime!A152</f>
        <v>0</v>
      </c>
      <c r="B152" s="33">
        <f>fulltime!M152</f>
        <v>58027.176234500002</v>
      </c>
      <c r="C152" s="33">
        <f>+ficalifeW2!T164</f>
        <v>150.33600000000001</v>
      </c>
      <c r="D152" s="33">
        <f t="shared" si="20"/>
        <v>0</v>
      </c>
      <c r="E152" s="33">
        <f t="shared" si="18"/>
        <v>-2135.04</v>
      </c>
      <c r="F152" s="33">
        <f t="shared" si="21"/>
        <v>0</v>
      </c>
      <c r="G152" s="33">
        <f t="shared" si="16"/>
        <v>56042.472234500005</v>
      </c>
      <c r="H152" s="33">
        <f t="shared" si="22"/>
        <v>0</v>
      </c>
      <c r="I152" s="33">
        <f t="shared" si="23"/>
        <v>56042.472234500005</v>
      </c>
      <c r="K152" s="96"/>
      <c r="L152" s="86">
        <f>+ROUND(healthpension!V155*0.5,2)</f>
        <v>70.11</v>
      </c>
      <c r="M152" s="86">
        <f>+ROUND(healthpension!Y155*0.5,2)</f>
        <v>18.850000000000001</v>
      </c>
      <c r="N152" s="230"/>
    </row>
    <row r="153" spans="1:14" s="33" customFormat="1" x14ac:dyDescent="0.25">
      <c r="A153" s="33">
        <f>+fulltime!A153</f>
        <v>0</v>
      </c>
      <c r="B153" s="33">
        <f>fulltime!M153</f>
        <v>0</v>
      </c>
      <c r="C153" s="33">
        <f>+ficalifeW2!T165</f>
        <v>0</v>
      </c>
      <c r="D153" s="33">
        <f t="shared" si="20"/>
        <v>0</v>
      </c>
      <c r="E153" s="33">
        <f t="shared" si="18"/>
        <v>0</v>
      </c>
      <c r="F153" s="33">
        <f t="shared" si="21"/>
        <v>0</v>
      </c>
      <c r="G153" s="33">
        <f t="shared" si="16"/>
        <v>0</v>
      </c>
      <c r="H153" s="33">
        <f t="shared" si="22"/>
        <v>0</v>
      </c>
      <c r="I153" s="33">
        <f t="shared" si="23"/>
        <v>0</v>
      </c>
      <c r="K153" s="170"/>
      <c r="L153" s="35"/>
      <c r="M153" s="35"/>
      <c r="N153" s="93"/>
    </row>
    <row r="154" spans="1:14" s="33" customFormat="1" x14ac:dyDescent="0.25">
      <c r="A154" s="33">
        <f>+fulltime!A154</f>
        <v>0</v>
      </c>
      <c r="K154" s="170"/>
      <c r="L154" s="35"/>
      <c r="M154" s="35"/>
      <c r="N154" s="93"/>
    </row>
    <row r="155" spans="1:14" s="33" customFormat="1" x14ac:dyDescent="0.25">
      <c r="K155" s="170"/>
      <c r="L155" s="35"/>
      <c r="M155" s="35"/>
      <c r="N155" s="93"/>
    </row>
    <row r="156" spans="1:14" s="33" customFormat="1" x14ac:dyDescent="0.25">
      <c r="B156" s="257">
        <f>SUM(B3:B155)</f>
        <v>11524857.198836956</v>
      </c>
      <c r="C156" s="85">
        <f t="shared" ref="C156:I156" si="24">SUM(C3:C155)</f>
        <v>92682.154368000061</v>
      </c>
      <c r="D156" s="85">
        <f t="shared" si="24"/>
        <v>-110876.40000000002</v>
      </c>
      <c r="E156" s="85">
        <f t="shared" si="24"/>
        <v>-256808.16000000047</v>
      </c>
      <c r="F156" s="85">
        <f t="shared" si="24"/>
        <v>29074.239999999998</v>
      </c>
      <c r="G156" s="85">
        <f t="shared" si="24"/>
        <v>11278929.033204962</v>
      </c>
      <c r="H156" s="85">
        <f t="shared" si="24"/>
        <v>308184.13539000176</v>
      </c>
      <c r="I156" s="85">
        <f t="shared" si="24"/>
        <v>10970744.897814957</v>
      </c>
      <c r="K156" s="171">
        <f>SUM(K3:K155)</f>
        <v>4619.8500000000004</v>
      </c>
      <c r="L156" s="85">
        <f>SUM(L3:L155)</f>
        <v>8400.64</v>
      </c>
      <c r="M156" s="85">
        <f>SUM(M3:M155)</f>
        <v>2299.6999999999948</v>
      </c>
      <c r="N156" s="94">
        <f>SUM(N3:N155)</f>
        <v>1118.2399999999998</v>
      </c>
    </row>
    <row r="157" spans="1:14" x14ac:dyDescent="0.25">
      <c r="A157" s="37" t="s">
        <v>153</v>
      </c>
      <c r="B157" s="258">
        <f>+G159</f>
        <v>0</v>
      </c>
      <c r="D157" s="185"/>
      <c r="E157" s="186"/>
      <c r="F157" s="40"/>
      <c r="G157" s="40"/>
      <c r="H157" s="40"/>
      <c r="J157" s="33"/>
    </row>
    <row r="158" spans="1:14" x14ac:dyDescent="0.25">
      <c r="A158" s="37" t="s">
        <v>274</v>
      </c>
      <c r="B158" s="258">
        <f>+G161</f>
        <v>1649.375</v>
      </c>
      <c r="C158" s="33"/>
      <c r="E158" s="40"/>
      <c r="F158" s="140"/>
      <c r="G158" s="33">
        <f>+G156</f>
        <v>11278929.033204962</v>
      </c>
      <c r="H158" s="33"/>
      <c r="I158" s="33">
        <f>+I156</f>
        <v>10970744.897814957</v>
      </c>
      <c r="J158" s="33"/>
    </row>
    <row r="159" spans="1:14" x14ac:dyDescent="0.25">
      <c r="B159" s="257">
        <f>+B156+G159+G161</f>
        <v>11526506.573836956</v>
      </c>
      <c r="F159" s="37" t="s">
        <v>153</v>
      </c>
      <c r="G159" s="184">
        <f>fulltime!D156</f>
        <v>0</v>
      </c>
      <c r="H159" s="33"/>
      <c r="I159" s="45">
        <f>+G159</f>
        <v>0</v>
      </c>
      <c r="J159" s="33"/>
    </row>
    <row r="160" spans="1:14" x14ac:dyDescent="0.25">
      <c r="B160" s="33"/>
      <c r="C160" s="33"/>
      <c r="F160" s="37"/>
      <c r="G160" s="33">
        <f>SUM(G158:G159)</f>
        <v>11278929.033204962</v>
      </c>
      <c r="H160" s="33"/>
      <c r="I160" s="33">
        <f>SUM(I158:I159)</f>
        <v>10970744.897814957</v>
      </c>
    </row>
    <row r="161" spans="2:10" x14ac:dyDescent="0.25">
      <c r="F161" s="37" t="s">
        <v>234</v>
      </c>
      <c r="G161" s="184">
        <f>parttime!H13</f>
        <v>1649.375</v>
      </c>
      <c r="I161" s="45">
        <f>+G161</f>
        <v>1649.375</v>
      </c>
    </row>
    <row r="162" spans="2:10" x14ac:dyDescent="0.25">
      <c r="B162" s="33"/>
      <c r="C162" s="33"/>
      <c r="F162" s="37"/>
      <c r="G162" s="33">
        <f>SUM(G160:G161)</f>
        <v>11280578.408204962</v>
      </c>
      <c r="H162" s="33"/>
      <c r="I162" s="33">
        <f>SUM(I160:I161)</f>
        <v>10972394.272814957</v>
      </c>
    </row>
    <row r="163" spans="2:10" x14ac:dyDescent="0.25">
      <c r="B163" s="33"/>
      <c r="C163" s="33"/>
      <c r="F163" s="37" t="s">
        <v>22</v>
      </c>
      <c r="G163">
        <v>1.4500000000000001E-2</v>
      </c>
      <c r="H163" s="37" t="s">
        <v>241</v>
      </c>
      <c r="I163">
        <v>6.2E-2</v>
      </c>
    </row>
    <row r="164" spans="2:10" x14ac:dyDescent="0.25">
      <c r="B164" s="33"/>
      <c r="C164" s="33"/>
      <c r="G164" s="85">
        <f>+ROUND(G162*G163,0)</f>
        <v>163568</v>
      </c>
      <c r="H164" s="33"/>
      <c r="I164" s="85">
        <f>+ROUND(I162*I163,0)</f>
        <v>680288</v>
      </c>
      <c r="J164" s="67"/>
    </row>
    <row r="165" spans="2:10" x14ac:dyDescent="0.25">
      <c r="B165" s="10"/>
      <c r="G165" s="77" t="s">
        <v>242</v>
      </c>
      <c r="H165" s="77"/>
      <c r="I165" s="141"/>
      <c r="J165" s="67"/>
    </row>
    <row r="166" spans="2:10" ht="13.8" thickBot="1" x14ac:dyDescent="0.3">
      <c r="B166" s="33"/>
      <c r="C166" s="33"/>
      <c r="H166" s="142">
        <f>+G164+I164</f>
        <v>843856</v>
      </c>
      <c r="J166" s="67"/>
    </row>
    <row r="167" spans="2:10" ht="13.8" thickTop="1" x14ac:dyDescent="0.25">
      <c r="B167" s="10"/>
      <c r="E167" s="12"/>
      <c r="F167" s="12"/>
      <c r="G167" s="77"/>
      <c r="H167" s="77"/>
      <c r="I167" s="33"/>
    </row>
  </sheetData>
  <mergeCells count="8">
    <mergeCell ref="B1:B2"/>
    <mergeCell ref="G1:G2"/>
    <mergeCell ref="H1:H2"/>
    <mergeCell ref="I1:I2"/>
    <mergeCell ref="D1:D2"/>
    <mergeCell ref="E1:E2"/>
    <mergeCell ref="F1:F2"/>
    <mergeCell ref="C1:C2"/>
  </mergeCells>
  <phoneticPr fontId="0" type="noConversion"/>
  <pageMargins left="0.75" right="0.19" top="0.49" bottom="0.5" header="0.5" footer="0.5"/>
  <pageSetup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3"/>
  <sheetViews>
    <sheetView workbookViewId="0">
      <selection activeCell="C11" sqref="C11"/>
    </sheetView>
  </sheetViews>
  <sheetFormatPr defaultRowHeight="13.2" x14ac:dyDescent="0.25"/>
  <cols>
    <col min="1" max="1" width="18.44140625" bestFit="1" customWidth="1"/>
    <col min="2" max="2" width="14.5546875" bestFit="1" customWidth="1"/>
    <col min="3" max="4" width="10.109375" bestFit="1" customWidth="1"/>
  </cols>
  <sheetData>
    <row r="1" spans="1:5" x14ac:dyDescent="0.25">
      <c r="C1" s="244">
        <v>2016</v>
      </c>
      <c r="D1" s="244"/>
    </row>
    <row r="2" spans="1:5" x14ac:dyDescent="0.25">
      <c r="C2" s="1" t="s">
        <v>24</v>
      </c>
      <c r="D2" s="1" t="s">
        <v>25</v>
      </c>
    </row>
    <row r="3" spans="1:5" x14ac:dyDescent="0.25">
      <c r="A3" t="s">
        <v>23</v>
      </c>
      <c r="B3" s="55">
        <f>+fulltime!A155</f>
        <v>150</v>
      </c>
      <c r="C3" s="10">
        <v>7000</v>
      </c>
      <c r="D3" s="10">
        <v>10200</v>
      </c>
    </row>
    <row r="4" spans="1:5" x14ac:dyDescent="0.25">
      <c r="C4" s="10"/>
      <c r="D4" s="10"/>
    </row>
    <row r="5" spans="1:5" x14ac:dyDescent="0.25">
      <c r="B5" s="1"/>
      <c r="C5" s="10">
        <f>C3*B3</f>
        <v>1050000</v>
      </c>
      <c r="D5" s="10">
        <f>D3*B3</f>
        <v>1530000</v>
      </c>
    </row>
    <row r="6" spans="1:5" x14ac:dyDescent="0.25">
      <c r="B6" s="1"/>
      <c r="C6" s="10"/>
      <c r="D6" s="10"/>
    </row>
    <row r="7" spans="1:5" x14ac:dyDescent="0.25">
      <c r="A7" t="s">
        <v>26</v>
      </c>
      <c r="B7" s="1">
        <f>+parttime!A11</f>
        <v>0</v>
      </c>
      <c r="C7" s="10">
        <f>parttime!H13</f>
        <v>1649.375</v>
      </c>
      <c r="D7" s="10">
        <f>parttime!H13</f>
        <v>1649.375</v>
      </c>
    </row>
    <row r="8" spans="1:5" x14ac:dyDescent="0.25">
      <c r="B8" s="1"/>
      <c r="C8" s="10"/>
      <c r="D8" s="10"/>
    </row>
    <row r="9" spans="1:5" x14ac:dyDescent="0.25">
      <c r="C9" s="65">
        <f>C5+C7</f>
        <v>1051649.375</v>
      </c>
      <c r="D9" s="65">
        <f>D5+D7</f>
        <v>1531649.375</v>
      </c>
    </row>
    <row r="11" spans="1:5" x14ac:dyDescent="0.25">
      <c r="B11" s="37" t="s">
        <v>27</v>
      </c>
      <c r="C11">
        <f>0.06-0.036</f>
        <v>2.4E-2</v>
      </c>
      <c r="D11" s="52">
        <v>1.21E-2</v>
      </c>
    </row>
    <row r="12" spans="1:5" x14ac:dyDescent="0.25">
      <c r="B12" s="37"/>
    </row>
    <row r="13" spans="1:5" x14ac:dyDescent="0.25">
      <c r="B13" s="37" t="s">
        <v>28</v>
      </c>
      <c r="C13" s="10">
        <f>ROUND(C9*C11,4)</f>
        <v>25239.584999999999</v>
      </c>
      <c r="D13" s="10">
        <f>ROUND(D9*D11,4)</f>
        <v>18532.957399999999</v>
      </c>
      <c r="E13" s="10">
        <f>C13+D13</f>
        <v>43772.542399999998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84"/>
  <sheetViews>
    <sheetView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H175" sqref="H175"/>
    </sheetView>
  </sheetViews>
  <sheetFormatPr defaultRowHeight="13.2" x14ac:dyDescent="0.25"/>
  <cols>
    <col min="1" max="1" width="18.88671875" bestFit="1" customWidth="1"/>
    <col min="2" max="2" width="9.109375" style="55" customWidth="1"/>
    <col min="3" max="3" width="11.33203125" bestFit="1" customWidth="1"/>
    <col min="4" max="4" width="10.33203125" bestFit="1" customWidth="1"/>
    <col min="5" max="5" width="10.6640625" bestFit="1" customWidth="1"/>
    <col min="6" max="6" width="11.33203125" bestFit="1" customWidth="1"/>
    <col min="7" max="7" width="10.33203125" bestFit="1" customWidth="1"/>
    <col min="8" max="8" width="14.44140625" bestFit="1" customWidth="1"/>
    <col min="9" max="9" width="12.109375" customWidth="1"/>
    <col min="10" max="10" width="13.109375" bestFit="1" customWidth="1"/>
    <col min="11" max="11" width="6" bestFit="1" customWidth="1"/>
    <col min="12" max="12" width="8.6640625" bestFit="1" customWidth="1"/>
    <col min="14" max="14" width="10.33203125" bestFit="1" customWidth="1"/>
    <col min="15" max="15" width="8.6640625" style="33" bestFit="1" customWidth="1"/>
    <col min="16" max="16" width="10.33203125" bestFit="1" customWidth="1"/>
    <col min="17" max="17" width="11.33203125" bestFit="1" customWidth="1"/>
  </cols>
  <sheetData>
    <row r="1" spans="1:15" s="1" customFormat="1" x14ac:dyDescent="0.25">
      <c r="A1" s="1" t="s">
        <v>4</v>
      </c>
      <c r="B1" s="55" t="s">
        <v>5</v>
      </c>
      <c r="C1" s="1" t="s">
        <v>17</v>
      </c>
      <c r="D1" s="1" t="s">
        <v>17</v>
      </c>
      <c r="E1" s="1" t="s">
        <v>31</v>
      </c>
      <c r="F1" s="1" t="s">
        <v>33</v>
      </c>
      <c r="G1" s="1" t="s">
        <v>206</v>
      </c>
      <c r="H1" s="1" t="s">
        <v>208</v>
      </c>
      <c r="I1" s="1" t="s">
        <v>207</v>
      </c>
      <c r="O1" s="53"/>
    </row>
    <row r="2" spans="1:15" s="1" customFormat="1" x14ac:dyDescent="0.25">
      <c r="A2" s="23"/>
      <c r="B2" s="56"/>
      <c r="C2" s="23" t="s">
        <v>29</v>
      </c>
      <c r="D2" s="23" t="s">
        <v>30</v>
      </c>
      <c r="E2" s="54" t="s">
        <v>32</v>
      </c>
      <c r="F2" s="23" t="s">
        <v>20</v>
      </c>
      <c r="G2" s="23" t="s">
        <v>35</v>
      </c>
      <c r="H2" s="23" t="s">
        <v>181</v>
      </c>
      <c r="I2" s="23" t="s">
        <v>34</v>
      </c>
      <c r="O2" s="53"/>
    </row>
    <row r="3" spans="1:15" x14ac:dyDescent="0.25">
      <c r="A3">
        <f>fulltime!A3</f>
        <v>0</v>
      </c>
      <c r="B3" s="55">
        <f>fulltime!B3</f>
        <v>648</v>
      </c>
      <c r="C3" s="33">
        <f>fulltime!D3</f>
        <v>75878.399999999994</v>
      </c>
      <c r="D3" s="33">
        <f>fulltime!G3</f>
        <v>0</v>
      </c>
      <c r="E3" s="33">
        <f>ROUND(D3/1.5,4)</f>
        <v>0</v>
      </c>
      <c r="F3" s="33">
        <f>C3+E3</f>
        <v>75878.399999999994</v>
      </c>
      <c r="G3" s="33"/>
      <c r="H3" s="33" t="s">
        <v>309</v>
      </c>
      <c r="I3" s="33">
        <f>+F3</f>
        <v>75878.399999999994</v>
      </c>
      <c r="J3" s="33"/>
    </row>
    <row r="4" spans="1:15" x14ac:dyDescent="0.25">
      <c r="A4">
        <f>fulltime!A4</f>
        <v>0</v>
      </c>
      <c r="B4" s="55">
        <f>fulltime!B4</f>
        <v>682</v>
      </c>
      <c r="C4" s="33">
        <f>fulltime!D4</f>
        <v>52540.800000000003</v>
      </c>
      <c r="D4" s="33">
        <f>fulltime!G4</f>
        <v>416.79</v>
      </c>
      <c r="E4" s="33">
        <f t="shared" ref="E4:E34" si="0">ROUND(D4/1.5,4)</f>
        <v>277.86</v>
      </c>
      <c r="F4" s="33">
        <f t="shared" ref="F4:F34" si="1">C4+E4</f>
        <v>52818.66</v>
      </c>
      <c r="G4" s="33">
        <f>+F4</f>
        <v>52818.66</v>
      </c>
      <c r="H4" s="33" t="s">
        <v>309</v>
      </c>
      <c r="I4" s="33" t="s">
        <v>309</v>
      </c>
      <c r="J4" s="33"/>
    </row>
    <row r="5" spans="1:15" x14ac:dyDescent="0.25">
      <c r="A5">
        <f>fulltime!A5</f>
        <v>0</v>
      </c>
      <c r="B5" s="55">
        <f>fulltime!B5</f>
        <v>635</v>
      </c>
      <c r="C5" s="33">
        <f>fulltime!D5</f>
        <v>67932.800000000003</v>
      </c>
      <c r="D5" s="33">
        <f>fulltime!G5</f>
        <v>6390.75</v>
      </c>
      <c r="E5" s="33">
        <f t="shared" si="0"/>
        <v>4260.5</v>
      </c>
      <c r="F5" s="33">
        <f t="shared" si="1"/>
        <v>72193.3</v>
      </c>
      <c r="G5" s="33">
        <f>+F5</f>
        <v>72193.3</v>
      </c>
      <c r="H5" s="33" t="s">
        <v>309</v>
      </c>
      <c r="I5" s="33" t="s">
        <v>309</v>
      </c>
      <c r="J5" s="33"/>
    </row>
    <row r="6" spans="1:15" x14ac:dyDescent="0.25">
      <c r="A6">
        <f>fulltime!A6</f>
        <v>0</v>
      </c>
      <c r="B6" s="55">
        <f>fulltime!B6</f>
        <v>475</v>
      </c>
      <c r="C6" s="33">
        <f>fulltime!D6</f>
        <v>87734.399999999994</v>
      </c>
      <c r="D6" s="33">
        <f>fulltime!G6</f>
        <v>0</v>
      </c>
      <c r="E6" s="33">
        <f t="shared" si="0"/>
        <v>0</v>
      </c>
      <c r="F6" s="33">
        <f t="shared" si="1"/>
        <v>87734.399999999994</v>
      </c>
      <c r="G6" s="33" t="s">
        <v>309</v>
      </c>
      <c r="H6" s="33" t="s">
        <v>309</v>
      </c>
      <c r="I6" s="33">
        <f>+F6</f>
        <v>87734.399999999994</v>
      </c>
      <c r="J6" s="33"/>
    </row>
    <row r="7" spans="1:15" x14ac:dyDescent="0.25">
      <c r="A7">
        <f>fulltime!A7</f>
        <v>0</v>
      </c>
      <c r="B7" s="55">
        <f>fulltime!B7</f>
        <v>228</v>
      </c>
      <c r="C7" s="33">
        <f>fulltime!D7</f>
        <v>112819.2</v>
      </c>
      <c r="D7" s="33">
        <f>fulltime!G7</f>
        <v>0</v>
      </c>
      <c r="E7" s="33">
        <f t="shared" si="0"/>
        <v>0</v>
      </c>
      <c r="F7" s="33">
        <f t="shared" si="1"/>
        <v>112819.2</v>
      </c>
      <c r="G7" s="33">
        <f>+F7</f>
        <v>112819.2</v>
      </c>
      <c r="H7" s="33" t="s">
        <v>309</v>
      </c>
      <c r="I7" s="33" t="s">
        <v>309</v>
      </c>
      <c r="J7" s="33"/>
    </row>
    <row r="8" spans="1:15" x14ac:dyDescent="0.25">
      <c r="A8">
        <f>fulltime!A8</f>
        <v>0</v>
      </c>
      <c r="B8" s="55">
        <f>fulltime!B8</f>
        <v>410</v>
      </c>
      <c r="C8" s="33">
        <f>fulltime!D8</f>
        <v>66414.399999999994</v>
      </c>
      <c r="D8" s="33">
        <f>fulltime!G8</f>
        <v>12582.02</v>
      </c>
      <c r="E8" s="33">
        <f t="shared" si="0"/>
        <v>8388.0133000000005</v>
      </c>
      <c r="F8" s="33">
        <f t="shared" si="1"/>
        <v>74802.4133</v>
      </c>
      <c r="G8" s="33" t="s">
        <v>309</v>
      </c>
      <c r="H8" s="33" t="s">
        <v>309</v>
      </c>
      <c r="I8" s="33">
        <f>+F8</f>
        <v>74802.4133</v>
      </c>
      <c r="J8" s="33"/>
    </row>
    <row r="9" spans="1:15" x14ac:dyDescent="0.25">
      <c r="A9">
        <f>fulltime!A9</f>
        <v>0</v>
      </c>
      <c r="B9" s="55">
        <f>fulltime!B9</f>
        <v>647</v>
      </c>
      <c r="C9" s="33">
        <f>fulltime!D9</f>
        <v>45240</v>
      </c>
      <c r="D9" s="33">
        <f>fulltime!G9</f>
        <v>1050.53</v>
      </c>
      <c r="E9" s="33">
        <f t="shared" si="0"/>
        <v>700.35329999999999</v>
      </c>
      <c r="F9" s="33">
        <f t="shared" si="1"/>
        <v>45940.353300000002</v>
      </c>
      <c r="G9" s="33">
        <f t="shared" ref="G9:G11" si="2">+F9</f>
        <v>45940.353300000002</v>
      </c>
      <c r="H9" s="33" t="s">
        <v>309</v>
      </c>
      <c r="I9" s="33" t="s">
        <v>309</v>
      </c>
      <c r="J9" s="33"/>
    </row>
    <row r="10" spans="1:15" x14ac:dyDescent="0.25">
      <c r="A10">
        <f>fulltime!A10</f>
        <v>0</v>
      </c>
      <c r="B10" s="55">
        <f>fulltime!B10</f>
        <v>645</v>
      </c>
      <c r="C10" s="33">
        <f>fulltime!D10</f>
        <v>81244.800000000003</v>
      </c>
      <c r="D10" s="33">
        <f>fulltime!G10</f>
        <v>0</v>
      </c>
      <c r="E10" s="33">
        <f t="shared" si="0"/>
        <v>0</v>
      </c>
      <c r="F10" s="33">
        <f t="shared" si="1"/>
        <v>81244.800000000003</v>
      </c>
      <c r="G10" s="33">
        <f t="shared" si="2"/>
        <v>81244.800000000003</v>
      </c>
      <c r="H10" s="33" t="s">
        <v>309</v>
      </c>
      <c r="I10" s="33" t="s">
        <v>309</v>
      </c>
      <c r="J10" s="33"/>
    </row>
    <row r="11" spans="1:15" x14ac:dyDescent="0.25">
      <c r="A11">
        <f>fulltime!A11</f>
        <v>0</v>
      </c>
      <c r="B11" s="55">
        <f>fulltime!B11</f>
        <v>518</v>
      </c>
      <c r="C11" s="33">
        <f>fulltime!D11</f>
        <v>53913.599999999999</v>
      </c>
      <c r="D11" s="33">
        <f>fulltime!G11</f>
        <v>1238.72</v>
      </c>
      <c r="E11" s="33">
        <f t="shared" si="0"/>
        <v>825.81330000000003</v>
      </c>
      <c r="F11" s="33">
        <f t="shared" si="1"/>
        <v>54739.4133</v>
      </c>
      <c r="G11" s="33">
        <f t="shared" si="2"/>
        <v>54739.4133</v>
      </c>
      <c r="H11" s="33" t="s">
        <v>309</v>
      </c>
      <c r="I11" s="33" t="s">
        <v>309</v>
      </c>
      <c r="J11" s="33"/>
    </row>
    <row r="12" spans="1:15" x14ac:dyDescent="0.25">
      <c r="A12">
        <f>fulltime!A12</f>
        <v>0</v>
      </c>
      <c r="B12" s="55">
        <f>fulltime!B12</f>
        <v>535</v>
      </c>
      <c r="C12" s="33">
        <f>fulltime!D12</f>
        <v>66726.399999999994</v>
      </c>
      <c r="D12" s="33">
        <f>fulltime!G12</f>
        <v>23906.02</v>
      </c>
      <c r="E12" s="33">
        <f t="shared" si="0"/>
        <v>15937.3467</v>
      </c>
      <c r="F12" s="33">
        <f t="shared" si="1"/>
        <v>82663.746699999989</v>
      </c>
      <c r="G12" s="33" t="s">
        <v>309</v>
      </c>
      <c r="H12" s="33" t="s">
        <v>309</v>
      </c>
      <c r="I12" s="33">
        <f t="shared" ref="I12:I14" si="3">+F12</f>
        <v>82663.746699999989</v>
      </c>
      <c r="J12" s="33"/>
    </row>
    <row r="13" spans="1:15" x14ac:dyDescent="0.25">
      <c r="A13">
        <f>fulltime!A13</f>
        <v>0</v>
      </c>
      <c r="B13" s="55">
        <f>fulltime!B13</f>
        <v>649</v>
      </c>
      <c r="C13" s="33">
        <f>fulltime!D13</f>
        <v>67932.800000000003</v>
      </c>
      <c r="D13" s="33">
        <f>fulltime!G13</f>
        <v>171.47</v>
      </c>
      <c r="E13" s="33">
        <f t="shared" si="0"/>
        <v>114.3133</v>
      </c>
      <c r="F13" s="33">
        <f t="shared" si="1"/>
        <v>68047.113299999997</v>
      </c>
      <c r="G13" s="33" t="s">
        <v>309</v>
      </c>
      <c r="H13" s="33" t="s">
        <v>309</v>
      </c>
      <c r="I13" s="33">
        <f t="shared" si="3"/>
        <v>68047.113299999997</v>
      </c>
      <c r="J13" s="33"/>
    </row>
    <row r="14" spans="1:15" x14ac:dyDescent="0.25">
      <c r="A14">
        <f>fulltime!A14</f>
        <v>0</v>
      </c>
      <c r="B14" s="55">
        <f>fulltime!B14</f>
        <v>301</v>
      </c>
      <c r="C14" s="33">
        <f>fulltime!D14</f>
        <v>77230.399999999994</v>
      </c>
      <c r="D14" s="33">
        <f>fulltime!G14</f>
        <v>22946.34</v>
      </c>
      <c r="E14" s="33">
        <f t="shared" si="0"/>
        <v>15297.56</v>
      </c>
      <c r="F14" s="33">
        <f t="shared" si="1"/>
        <v>92527.959999999992</v>
      </c>
      <c r="G14" s="33" t="s">
        <v>309</v>
      </c>
      <c r="H14" s="33" t="s">
        <v>309</v>
      </c>
      <c r="I14" s="33">
        <f t="shared" si="3"/>
        <v>92527.959999999992</v>
      </c>
      <c r="J14" s="33"/>
    </row>
    <row r="15" spans="1:15" x14ac:dyDescent="0.25">
      <c r="A15">
        <f>fulltime!A15</f>
        <v>0</v>
      </c>
      <c r="B15" s="55">
        <f>fulltime!B15</f>
        <v>634</v>
      </c>
      <c r="C15" s="33">
        <f>fulltime!D15</f>
        <v>43139.199999999997</v>
      </c>
      <c r="D15" s="33">
        <f>fulltime!G15</f>
        <v>650.82000000000005</v>
      </c>
      <c r="E15" s="33">
        <f t="shared" si="0"/>
        <v>433.88</v>
      </c>
      <c r="F15" s="33">
        <f t="shared" si="1"/>
        <v>43573.079999999994</v>
      </c>
      <c r="G15" s="33">
        <f>+F15</f>
        <v>43573.079999999994</v>
      </c>
      <c r="H15" s="33" t="s">
        <v>309</v>
      </c>
      <c r="I15" s="33" t="s">
        <v>309</v>
      </c>
      <c r="J15" s="33"/>
    </row>
    <row r="16" spans="1:15" x14ac:dyDescent="0.25">
      <c r="A16">
        <f>fulltime!A16</f>
        <v>0</v>
      </c>
      <c r="B16" s="55">
        <f>fulltime!B16</f>
        <v>556</v>
      </c>
      <c r="C16" s="33">
        <f>fulltime!D16</f>
        <v>76668.800000000003</v>
      </c>
      <c r="D16" s="33">
        <f>fulltime!G16</f>
        <v>0</v>
      </c>
      <c r="E16" s="33">
        <f t="shared" si="0"/>
        <v>0</v>
      </c>
      <c r="F16" s="33">
        <f t="shared" si="1"/>
        <v>76668.800000000003</v>
      </c>
      <c r="G16" s="33" t="s">
        <v>309</v>
      </c>
      <c r="H16" s="33">
        <f>+F16</f>
        <v>76668.800000000003</v>
      </c>
      <c r="I16" s="33" t="s">
        <v>309</v>
      </c>
      <c r="J16" s="33"/>
    </row>
    <row r="17" spans="1:10" x14ac:dyDescent="0.25">
      <c r="A17">
        <f>fulltime!A17</f>
        <v>0</v>
      </c>
      <c r="B17" s="55">
        <f>fulltime!B17</f>
        <v>637</v>
      </c>
      <c r="C17" s="33">
        <f>fulltime!D17</f>
        <v>77604.800000000003</v>
      </c>
      <c r="D17" s="33">
        <f>fulltime!G17</f>
        <v>16761.52</v>
      </c>
      <c r="E17" s="33">
        <f t="shared" si="0"/>
        <v>11174.3467</v>
      </c>
      <c r="F17" s="33">
        <f t="shared" si="1"/>
        <v>88779.146699999998</v>
      </c>
      <c r="G17" s="33" t="s">
        <v>309</v>
      </c>
      <c r="H17" s="33" t="s">
        <v>309</v>
      </c>
      <c r="I17" s="33">
        <f t="shared" ref="I17:I23" si="4">+F17</f>
        <v>88779.146699999998</v>
      </c>
      <c r="J17" s="33"/>
    </row>
    <row r="18" spans="1:10" x14ac:dyDescent="0.25">
      <c r="A18">
        <f>fulltime!A18</f>
        <v>0</v>
      </c>
      <c r="B18" s="55">
        <f>fulltime!B18</f>
        <v>534</v>
      </c>
      <c r="C18" s="33">
        <f>fulltime!D18</f>
        <v>75504</v>
      </c>
      <c r="D18" s="33">
        <f>fulltime!G18</f>
        <v>17097.3</v>
      </c>
      <c r="E18" s="33">
        <f t="shared" si="0"/>
        <v>11398.2</v>
      </c>
      <c r="F18" s="33">
        <f t="shared" si="1"/>
        <v>86902.2</v>
      </c>
      <c r="G18" s="33" t="s">
        <v>309</v>
      </c>
      <c r="H18" s="33" t="s">
        <v>309</v>
      </c>
      <c r="I18" s="33">
        <f t="shared" si="4"/>
        <v>86902.2</v>
      </c>
      <c r="J18" s="33"/>
    </row>
    <row r="19" spans="1:10" x14ac:dyDescent="0.25">
      <c r="A19">
        <f>fulltime!A19</f>
        <v>0</v>
      </c>
      <c r="B19" s="55">
        <f>fulltime!B19</f>
        <v>219</v>
      </c>
      <c r="C19" s="33">
        <f>fulltime!D19</f>
        <v>67142.399999999994</v>
      </c>
      <c r="D19" s="33">
        <f>fulltime!G19</f>
        <v>23850.240000000002</v>
      </c>
      <c r="E19" s="33">
        <f t="shared" si="0"/>
        <v>15900.16</v>
      </c>
      <c r="F19" s="33">
        <f t="shared" si="1"/>
        <v>83042.559999999998</v>
      </c>
      <c r="G19" s="33" t="s">
        <v>309</v>
      </c>
      <c r="H19" s="33" t="s">
        <v>309</v>
      </c>
      <c r="I19" s="33">
        <f t="shared" si="4"/>
        <v>83042.559999999998</v>
      </c>
      <c r="J19" s="33"/>
    </row>
    <row r="20" spans="1:10" x14ac:dyDescent="0.25">
      <c r="A20">
        <f>fulltime!A20</f>
        <v>0</v>
      </c>
      <c r="B20" s="55">
        <f>fulltime!B20</f>
        <v>338</v>
      </c>
      <c r="C20" s="33">
        <f>fulltime!D20</f>
        <v>66456</v>
      </c>
      <c r="D20" s="33">
        <f>fulltime!G20</f>
        <v>8926.0300000000007</v>
      </c>
      <c r="E20" s="33">
        <f t="shared" si="0"/>
        <v>5950.6867000000002</v>
      </c>
      <c r="F20" s="33">
        <f t="shared" si="1"/>
        <v>72406.686700000006</v>
      </c>
      <c r="G20" s="33" t="s">
        <v>309</v>
      </c>
      <c r="H20" s="33" t="s">
        <v>309</v>
      </c>
      <c r="I20" s="33">
        <f t="shared" si="4"/>
        <v>72406.686700000006</v>
      </c>
      <c r="J20" s="33"/>
    </row>
    <row r="21" spans="1:10" x14ac:dyDescent="0.25">
      <c r="A21">
        <f>fulltime!A21</f>
        <v>0</v>
      </c>
      <c r="B21" s="55">
        <f>fulltime!B21</f>
        <v>512</v>
      </c>
      <c r="C21" s="33">
        <f>fulltime!D21</f>
        <v>73257.600000000006</v>
      </c>
      <c r="D21" s="33">
        <f>fulltime!G21</f>
        <v>15901.83</v>
      </c>
      <c r="E21" s="33">
        <f t="shared" si="0"/>
        <v>10601.22</v>
      </c>
      <c r="F21" s="33">
        <f t="shared" si="1"/>
        <v>83858.820000000007</v>
      </c>
      <c r="G21" s="33" t="s">
        <v>309</v>
      </c>
      <c r="H21" s="33" t="s">
        <v>309</v>
      </c>
      <c r="I21" s="33">
        <f t="shared" si="4"/>
        <v>83858.820000000007</v>
      </c>
      <c r="J21" s="33"/>
    </row>
    <row r="22" spans="1:10" x14ac:dyDescent="0.25">
      <c r="A22">
        <f>fulltime!A22</f>
        <v>0</v>
      </c>
      <c r="B22" s="55">
        <f>fulltime!B22</f>
        <v>433</v>
      </c>
      <c r="C22" s="33">
        <f>fulltime!D22</f>
        <v>66726.399999999994</v>
      </c>
      <c r="D22" s="33">
        <f>fulltime!G22</f>
        <v>16565.310000000001</v>
      </c>
      <c r="E22" s="33">
        <f t="shared" si="0"/>
        <v>11043.54</v>
      </c>
      <c r="F22" s="33">
        <f t="shared" si="1"/>
        <v>77769.94</v>
      </c>
      <c r="G22" s="33" t="s">
        <v>309</v>
      </c>
      <c r="H22" s="33" t="s">
        <v>309</v>
      </c>
      <c r="I22" s="33">
        <f t="shared" si="4"/>
        <v>77769.94</v>
      </c>
      <c r="J22" s="33"/>
    </row>
    <row r="23" spans="1:10" x14ac:dyDescent="0.25">
      <c r="A23">
        <f>fulltime!A23</f>
        <v>0</v>
      </c>
      <c r="B23" s="55">
        <f>fulltime!B23</f>
        <v>497</v>
      </c>
      <c r="C23" s="33">
        <f>fulltime!D23</f>
        <v>49940.800000000003</v>
      </c>
      <c r="D23" s="33">
        <f>fulltime!G23</f>
        <v>198.08</v>
      </c>
      <c r="E23" s="33">
        <f t="shared" si="0"/>
        <v>132.05330000000001</v>
      </c>
      <c r="F23" s="33">
        <f t="shared" si="1"/>
        <v>50072.853300000002</v>
      </c>
      <c r="G23" s="33" t="s">
        <v>309</v>
      </c>
      <c r="H23" s="33" t="s">
        <v>309</v>
      </c>
      <c r="I23" s="33">
        <f t="shared" si="4"/>
        <v>50072.853300000002</v>
      </c>
      <c r="J23" s="33"/>
    </row>
    <row r="24" spans="1:10" x14ac:dyDescent="0.25">
      <c r="A24">
        <f>fulltime!A24</f>
        <v>0</v>
      </c>
      <c r="B24" s="55">
        <f>fulltime!B24</f>
        <v>685</v>
      </c>
      <c r="C24" s="33">
        <f>fulltime!D24</f>
        <v>37980.800000000003</v>
      </c>
      <c r="D24" s="33">
        <f>fulltime!G24</f>
        <v>0</v>
      </c>
      <c r="E24" s="33">
        <f t="shared" si="0"/>
        <v>0</v>
      </c>
      <c r="F24" s="33">
        <f t="shared" si="1"/>
        <v>37980.800000000003</v>
      </c>
      <c r="G24" s="33">
        <f>+F24</f>
        <v>37980.800000000003</v>
      </c>
      <c r="H24" s="33" t="s">
        <v>309</v>
      </c>
      <c r="I24" s="33" t="s">
        <v>309</v>
      </c>
      <c r="J24" s="33"/>
    </row>
    <row r="25" spans="1:10" x14ac:dyDescent="0.25">
      <c r="A25">
        <f>fulltime!A25</f>
        <v>0</v>
      </c>
      <c r="B25" s="55">
        <f>fulltime!B25</f>
        <v>538</v>
      </c>
      <c r="C25" s="33">
        <f>fulltime!D25</f>
        <v>66414.399999999994</v>
      </c>
      <c r="D25" s="33">
        <f>fulltime!G25</f>
        <v>13099.28</v>
      </c>
      <c r="E25" s="33">
        <f t="shared" si="0"/>
        <v>8732.8533000000007</v>
      </c>
      <c r="F25" s="33">
        <f t="shared" si="1"/>
        <v>75147.253299999997</v>
      </c>
      <c r="G25" s="33" t="s">
        <v>309</v>
      </c>
      <c r="H25" s="33" t="s">
        <v>309</v>
      </c>
      <c r="I25" s="33">
        <f t="shared" ref="I25:I30" si="5">+F25</f>
        <v>75147.253299999997</v>
      </c>
      <c r="J25" s="33"/>
    </row>
    <row r="26" spans="1:10" x14ac:dyDescent="0.25">
      <c r="A26">
        <f>fulltime!A26</f>
        <v>0</v>
      </c>
      <c r="B26" s="55">
        <f>fulltime!B26</f>
        <v>335</v>
      </c>
      <c r="C26" s="33">
        <f>fulltime!D26</f>
        <v>113360</v>
      </c>
      <c r="D26" s="33">
        <f>fulltime!G26</f>
        <v>0</v>
      </c>
      <c r="E26" s="33">
        <f t="shared" si="0"/>
        <v>0</v>
      </c>
      <c r="F26" s="33">
        <f t="shared" si="1"/>
        <v>113360</v>
      </c>
      <c r="G26" s="33" t="s">
        <v>309</v>
      </c>
      <c r="H26" s="33" t="s">
        <v>309</v>
      </c>
      <c r="I26" s="33">
        <f t="shared" si="5"/>
        <v>113360</v>
      </c>
      <c r="J26" s="33"/>
    </row>
    <row r="27" spans="1:10" x14ac:dyDescent="0.25">
      <c r="A27">
        <f>fulltime!A27</f>
        <v>0</v>
      </c>
      <c r="B27" s="55">
        <f>fulltime!B27</f>
        <v>660</v>
      </c>
      <c r="C27" s="33">
        <f>fulltime!D27</f>
        <v>43700.800000000003</v>
      </c>
      <c r="D27" s="33">
        <f>fulltime!G27</f>
        <v>4790.28</v>
      </c>
      <c r="E27" s="33">
        <f t="shared" si="0"/>
        <v>3193.52</v>
      </c>
      <c r="F27" s="33">
        <f t="shared" si="1"/>
        <v>46894.32</v>
      </c>
      <c r="G27" s="33" t="s">
        <v>309</v>
      </c>
      <c r="H27" s="33" t="s">
        <v>309</v>
      </c>
      <c r="I27" s="33">
        <f t="shared" si="5"/>
        <v>46894.32</v>
      </c>
      <c r="J27" s="33"/>
    </row>
    <row r="28" spans="1:10" x14ac:dyDescent="0.25">
      <c r="A28">
        <f>fulltime!A28</f>
        <v>0</v>
      </c>
      <c r="B28" s="55">
        <f>fulltime!B28</f>
        <v>455</v>
      </c>
      <c r="C28" s="33">
        <f>fulltime!D28</f>
        <v>66414.399999999994</v>
      </c>
      <c r="D28" s="33">
        <f>fulltime!G28</f>
        <v>15270.36</v>
      </c>
      <c r="E28" s="33">
        <f t="shared" si="0"/>
        <v>10180.24</v>
      </c>
      <c r="F28" s="33">
        <f t="shared" si="1"/>
        <v>76594.64</v>
      </c>
      <c r="G28" s="33" t="s">
        <v>309</v>
      </c>
      <c r="H28" s="33" t="s">
        <v>309</v>
      </c>
      <c r="I28" s="33">
        <f t="shared" si="5"/>
        <v>76594.64</v>
      </c>
      <c r="J28" s="33"/>
    </row>
    <row r="29" spans="1:10" x14ac:dyDescent="0.25">
      <c r="A29">
        <f>fulltime!A29</f>
        <v>0</v>
      </c>
      <c r="B29" s="55">
        <f>fulltime!B29</f>
        <v>314</v>
      </c>
      <c r="C29" s="33">
        <f>fulltime!D29</f>
        <v>66414.399999999994</v>
      </c>
      <c r="D29" s="33">
        <f>fulltime!G29</f>
        <v>15015.08</v>
      </c>
      <c r="E29" s="33">
        <f t="shared" si="0"/>
        <v>10010.0533</v>
      </c>
      <c r="F29" s="33">
        <f t="shared" si="1"/>
        <v>76424.453299999994</v>
      </c>
      <c r="G29" s="33" t="s">
        <v>309</v>
      </c>
      <c r="H29" s="33" t="s">
        <v>309</v>
      </c>
      <c r="I29" s="33">
        <f t="shared" si="5"/>
        <v>76424.453299999994</v>
      </c>
      <c r="J29" s="33"/>
    </row>
    <row r="30" spans="1:10" x14ac:dyDescent="0.25">
      <c r="A30">
        <f>fulltime!A30</f>
        <v>0</v>
      </c>
      <c r="B30" s="55">
        <f>fulltime!B30</f>
        <v>428</v>
      </c>
      <c r="C30" s="33">
        <f>fulltime!D30</f>
        <v>67808</v>
      </c>
      <c r="D30" s="33">
        <f>fulltime!G30</f>
        <v>14596.65</v>
      </c>
      <c r="E30" s="33">
        <f t="shared" si="0"/>
        <v>9731.1</v>
      </c>
      <c r="F30" s="33">
        <f t="shared" si="1"/>
        <v>77539.100000000006</v>
      </c>
      <c r="G30" s="33" t="s">
        <v>309</v>
      </c>
      <c r="H30" s="33" t="s">
        <v>309</v>
      </c>
      <c r="I30" s="33">
        <f t="shared" si="5"/>
        <v>77539.100000000006</v>
      </c>
      <c r="J30" s="33"/>
    </row>
    <row r="31" spans="1:10" x14ac:dyDescent="0.25">
      <c r="A31">
        <f>fulltime!A31</f>
        <v>0</v>
      </c>
      <c r="B31" s="55">
        <f>fulltime!B31</f>
        <v>129</v>
      </c>
      <c r="C31" s="33">
        <f>fulltime!D31</f>
        <v>66331.199999999997</v>
      </c>
      <c r="D31" s="33">
        <f>fulltime!G31</f>
        <v>5433.1</v>
      </c>
      <c r="E31" s="33">
        <f t="shared" si="0"/>
        <v>3622.0666999999999</v>
      </c>
      <c r="F31" s="33">
        <f t="shared" si="1"/>
        <v>69953.266699999993</v>
      </c>
      <c r="G31" s="33">
        <f>+F31</f>
        <v>69953.266699999993</v>
      </c>
      <c r="H31" s="33" t="s">
        <v>309</v>
      </c>
      <c r="I31" s="33" t="s">
        <v>309</v>
      </c>
      <c r="J31" s="33"/>
    </row>
    <row r="32" spans="1:10" x14ac:dyDescent="0.25">
      <c r="A32">
        <f>fulltime!A32</f>
        <v>0</v>
      </c>
      <c r="B32" s="55">
        <f>fulltime!B32</f>
        <v>205</v>
      </c>
      <c r="C32" s="33">
        <f>fulltime!D32</f>
        <v>61027.199999999997</v>
      </c>
      <c r="D32" s="33">
        <f>fulltime!G32</f>
        <v>7965.81</v>
      </c>
      <c r="E32" s="33">
        <f t="shared" si="0"/>
        <v>5310.54</v>
      </c>
      <c r="F32" s="33">
        <f t="shared" si="1"/>
        <v>66337.739999999991</v>
      </c>
      <c r="G32" s="33" t="s">
        <v>309</v>
      </c>
      <c r="H32" s="33" t="s">
        <v>309</v>
      </c>
      <c r="I32" s="33">
        <f t="shared" ref="I32:I35" si="6">+F32</f>
        <v>66337.739999999991</v>
      </c>
      <c r="J32" s="33"/>
    </row>
    <row r="33" spans="1:10" x14ac:dyDescent="0.25">
      <c r="A33">
        <f>fulltime!A33</f>
        <v>0</v>
      </c>
      <c r="B33" s="55">
        <f>fulltime!B33</f>
        <v>220</v>
      </c>
      <c r="C33" s="33">
        <f>fulltime!D33</f>
        <v>77230.399999999994</v>
      </c>
      <c r="D33" s="33">
        <f>fulltime!G33</f>
        <v>16721.87</v>
      </c>
      <c r="E33" s="33">
        <f t="shared" si="0"/>
        <v>11147.9133</v>
      </c>
      <c r="F33" s="33">
        <f t="shared" si="1"/>
        <v>88378.313299999994</v>
      </c>
      <c r="G33" s="33" t="s">
        <v>309</v>
      </c>
      <c r="H33" s="33" t="s">
        <v>309</v>
      </c>
      <c r="I33" s="33">
        <f t="shared" si="6"/>
        <v>88378.313299999994</v>
      </c>
      <c r="J33" s="33"/>
    </row>
    <row r="34" spans="1:10" x14ac:dyDescent="0.25">
      <c r="A34">
        <f>fulltime!A34</f>
        <v>0</v>
      </c>
      <c r="B34" s="55">
        <f>fulltime!B34</f>
        <v>316</v>
      </c>
      <c r="C34" s="33">
        <f>fulltime!D34</f>
        <v>76668.800000000003</v>
      </c>
      <c r="D34" s="33">
        <f>fulltime!G34</f>
        <v>10569.79</v>
      </c>
      <c r="E34" s="33">
        <f t="shared" si="0"/>
        <v>7046.5267000000003</v>
      </c>
      <c r="F34" s="33">
        <f t="shared" si="1"/>
        <v>83715.326700000005</v>
      </c>
      <c r="G34" s="33" t="s">
        <v>309</v>
      </c>
      <c r="H34" s="33" t="s">
        <v>309</v>
      </c>
      <c r="I34" s="33">
        <f t="shared" si="6"/>
        <v>83715.326700000005</v>
      </c>
      <c r="J34" s="33"/>
    </row>
    <row r="35" spans="1:10" x14ac:dyDescent="0.25">
      <c r="A35">
        <f>fulltime!A35</f>
        <v>0</v>
      </c>
      <c r="B35" s="55">
        <f>fulltime!B35</f>
        <v>395</v>
      </c>
      <c r="C35" s="33">
        <f>fulltime!D35</f>
        <v>77604.800000000003</v>
      </c>
      <c r="D35" s="33">
        <f>fulltime!G35</f>
        <v>15614.24</v>
      </c>
      <c r="E35" s="33">
        <f t="shared" ref="E35:E66" si="7">ROUND(D35/1.5,4)</f>
        <v>10409.4933</v>
      </c>
      <c r="F35" s="33">
        <f t="shared" ref="F35:F66" si="8">C35+E35</f>
        <v>88014.293300000005</v>
      </c>
      <c r="G35" s="33" t="s">
        <v>309</v>
      </c>
      <c r="H35" s="33" t="s">
        <v>309</v>
      </c>
      <c r="I35" s="33">
        <f t="shared" si="6"/>
        <v>88014.293300000005</v>
      </c>
      <c r="J35" s="33"/>
    </row>
    <row r="36" spans="1:10" x14ac:dyDescent="0.25">
      <c r="A36">
        <f>fulltime!A36</f>
        <v>0</v>
      </c>
      <c r="B36" s="55">
        <f>fulltime!B36</f>
        <v>669</v>
      </c>
      <c r="C36" s="33">
        <f>fulltime!D36</f>
        <v>67579.199999999997</v>
      </c>
      <c r="D36" s="33">
        <f>fulltime!G36</f>
        <v>1510.79</v>
      </c>
      <c r="E36" s="33">
        <f t="shared" si="7"/>
        <v>1007.1933</v>
      </c>
      <c r="F36" s="33">
        <f t="shared" si="8"/>
        <v>68586.393299999996</v>
      </c>
      <c r="G36" s="33">
        <f>+F36</f>
        <v>68586.393299999996</v>
      </c>
      <c r="H36" s="33" t="s">
        <v>309</v>
      </c>
      <c r="I36" s="33" t="s">
        <v>309</v>
      </c>
      <c r="J36" s="33"/>
    </row>
    <row r="37" spans="1:10" x14ac:dyDescent="0.25">
      <c r="A37">
        <f>fulltime!A37</f>
        <v>0</v>
      </c>
      <c r="B37" s="55">
        <f>fulltime!B37</f>
        <v>214</v>
      </c>
      <c r="C37" s="33">
        <f>fulltime!D37</f>
        <v>48048</v>
      </c>
      <c r="D37" s="33">
        <f>fulltime!G37</f>
        <v>7519.05</v>
      </c>
      <c r="E37" s="33">
        <f t="shared" si="7"/>
        <v>5012.7</v>
      </c>
      <c r="F37" s="33">
        <f t="shared" si="8"/>
        <v>53060.7</v>
      </c>
      <c r="G37" s="33" t="s">
        <v>309</v>
      </c>
      <c r="H37" s="33" t="s">
        <v>309</v>
      </c>
      <c r="I37" s="33">
        <f t="shared" ref="I37:I39" si="9">+F37</f>
        <v>53060.7</v>
      </c>
      <c r="J37" s="33"/>
    </row>
    <row r="38" spans="1:10" x14ac:dyDescent="0.25">
      <c r="A38">
        <f>fulltime!A38</f>
        <v>0</v>
      </c>
      <c r="B38" s="55">
        <f>fulltime!B38</f>
        <v>330</v>
      </c>
      <c r="C38" s="33">
        <f>fulltime!D38</f>
        <v>66456</v>
      </c>
      <c r="D38" s="33">
        <f>fulltime!G38</f>
        <v>20420.36</v>
      </c>
      <c r="E38" s="33">
        <f t="shared" si="7"/>
        <v>13613.5733</v>
      </c>
      <c r="F38" s="33">
        <f t="shared" si="8"/>
        <v>80069.573300000004</v>
      </c>
      <c r="G38" s="33" t="s">
        <v>309</v>
      </c>
      <c r="H38" s="33" t="s">
        <v>309</v>
      </c>
      <c r="I38" s="33">
        <f t="shared" si="9"/>
        <v>80069.573300000004</v>
      </c>
      <c r="J38" s="33"/>
    </row>
    <row r="39" spans="1:10" x14ac:dyDescent="0.25">
      <c r="A39">
        <f>fulltime!A39</f>
        <v>0</v>
      </c>
      <c r="B39" s="55">
        <f>fulltime!B39</f>
        <v>420</v>
      </c>
      <c r="C39" s="33">
        <f>fulltime!D39</f>
        <v>66414.399999999994</v>
      </c>
      <c r="D39" s="33">
        <f>fulltime!G39</f>
        <v>15074.95</v>
      </c>
      <c r="E39" s="33">
        <f t="shared" si="7"/>
        <v>10049.966700000001</v>
      </c>
      <c r="F39" s="33">
        <f t="shared" si="8"/>
        <v>76464.366699999999</v>
      </c>
      <c r="G39" s="33" t="s">
        <v>309</v>
      </c>
      <c r="H39" s="33" t="s">
        <v>309</v>
      </c>
      <c r="I39" s="33">
        <f t="shared" si="9"/>
        <v>76464.366699999999</v>
      </c>
      <c r="J39" s="33"/>
    </row>
    <row r="40" spans="1:10" x14ac:dyDescent="0.25">
      <c r="A40">
        <f>fulltime!A40</f>
        <v>0</v>
      </c>
      <c r="B40" s="55">
        <f>fulltime!B40</f>
        <v>650</v>
      </c>
      <c r="C40" s="33">
        <f>fulltime!D40</f>
        <v>47091.199999999997</v>
      </c>
      <c r="D40" s="33">
        <f>fulltime!G40</f>
        <v>1520.05</v>
      </c>
      <c r="E40" s="33">
        <f t="shared" si="7"/>
        <v>1013.3667</v>
      </c>
      <c r="F40" s="33">
        <f t="shared" si="8"/>
        <v>48104.566699999996</v>
      </c>
      <c r="G40" s="33">
        <f t="shared" ref="G40:G45" si="10">+F40</f>
        <v>48104.566699999996</v>
      </c>
      <c r="H40" s="33" t="s">
        <v>309</v>
      </c>
      <c r="I40" s="33" t="s">
        <v>309</v>
      </c>
      <c r="J40" s="33"/>
    </row>
    <row r="41" spans="1:10" x14ac:dyDescent="0.25">
      <c r="A41">
        <f>fulltime!A41</f>
        <v>0</v>
      </c>
      <c r="B41" s="55">
        <f>fulltime!B41</f>
        <v>519</v>
      </c>
      <c r="C41" s="33">
        <f>fulltime!D41</f>
        <v>144809.60000000001</v>
      </c>
      <c r="D41" s="33">
        <f>fulltime!G41</f>
        <v>0</v>
      </c>
      <c r="E41" s="33">
        <f t="shared" si="7"/>
        <v>0</v>
      </c>
      <c r="F41" s="33">
        <f t="shared" si="8"/>
        <v>144809.60000000001</v>
      </c>
      <c r="G41" s="33">
        <f t="shared" si="10"/>
        <v>144809.60000000001</v>
      </c>
      <c r="H41" s="33" t="s">
        <v>309</v>
      </c>
      <c r="I41" s="33" t="s">
        <v>309</v>
      </c>
      <c r="J41" s="33"/>
    </row>
    <row r="42" spans="1:10" x14ac:dyDescent="0.25">
      <c r="A42">
        <f>fulltime!A42</f>
        <v>0</v>
      </c>
      <c r="B42" s="55">
        <f>fulltime!B42</f>
        <v>392</v>
      </c>
      <c r="C42" s="33">
        <f>fulltime!D42</f>
        <v>56763.199999999997</v>
      </c>
      <c r="D42" s="33">
        <f>fulltime!G42</f>
        <v>828.12</v>
      </c>
      <c r="E42" s="33">
        <f t="shared" si="7"/>
        <v>552.08000000000004</v>
      </c>
      <c r="F42" s="33">
        <f t="shared" si="8"/>
        <v>57315.28</v>
      </c>
      <c r="G42" s="33">
        <f t="shared" si="10"/>
        <v>57315.28</v>
      </c>
      <c r="H42" s="33" t="s">
        <v>309</v>
      </c>
      <c r="I42" s="33" t="s">
        <v>309</v>
      </c>
      <c r="J42" s="33"/>
    </row>
    <row r="43" spans="1:10" x14ac:dyDescent="0.25">
      <c r="A43">
        <f>fulltime!A43</f>
        <v>0</v>
      </c>
      <c r="B43" s="55">
        <f>fulltime!B43</f>
        <v>683</v>
      </c>
      <c r="C43" s="33">
        <f>fulltime!D43</f>
        <v>37980.800000000003</v>
      </c>
      <c r="D43" s="33">
        <f>fulltime!G43</f>
        <v>20.54</v>
      </c>
      <c r="E43" s="33">
        <f t="shared" si="7"/>
        <v>13.693300000000001</v>
      </c>
      <c r="F43" s="33">
        <f t="shared" si="8"/>
        <v>37994.493300000002</v>
      </c>
      <c r="G43" s="33">
        <f t="shared" si="10"/>
        <v>37994.493300000002</v>
      </c>
      <c r="H43" s="33" t="s">
        <v>309</v>
      </c>
      <c r="I43" s="33" t="s">
        <v>309</v>
      </c>
      <c r="J43" s="33"/>
    </row>
    <row r="44" spans="1:10" x14ac:dyDescent="0.25">
      <c r="A44">
        <f>fulltime!A44</f>
        <v>0</v>
      </c>
      <c r="B44" s="55">
        <f>fulltime!B44</f>
        <v>448</v>
      </c>
      <c r="C44" s="33">
        <f>fulltime!D44</f>
        <v>53913.599999999999</v>
      </c>
      <c r="D44" s="33">
        <f>fulltime!G44</f>
        <v>1104.58</v>
      </c>
      <c r="E44" s="33">
        <f t="shared" si="7"/>
        <v>736.38670000000002</v>
      </c>
      <c r="F44" s="33">
        <f t="shared" si="8"/>
        <v>54649.986700000001</v>
      </c>
      <c r="G44" s="33">
        <f t="shared" si="10"/>
        <v>54649.986700000001</v>
      </c>
      <c r="H44" s="33" t="s">
        <v>309</v>
      </c>
      <c r="I44" s="33" t="s">
        <v>309</v>
      </c>
      <c r="J44" s="33"/>
    </row>
    <row r="45" spans="1:10" x14ac:dyDescent="0.25">
      <c r="A45">
        <f>fulltime!A45</f>
        <v>0</v>
      </c>
      <c r="B45" s="55">
        <f>fulltime!B45</f>
        <v>676</v>
      </c>
      <c r="C45" s="33">
        <f>fulltime!D45</f>
        <v>42515.199999999997</v>
      </c>
      <c r="D45" s="33">
        <f>fulltime!G45</f>
        <v>1098.55</v>
      </c>
      <c r="E45" s="33">
        <f t="shared" si="7"/>
        <v>732.36670000000004</v>
      </c>
      <c r="F45" s="33">
        <f t="shared" si="8"/>
        <v>43247.566699999996</v>
      </c>
      <c r="G45" s="33">
        <f t="shared" si="10"/>
        <v>43247.566699999996</v>
      </c>
      <c r="H45" s="33" t="s">
        <v>309</v>
      </c>
      <c r="I45" s="33" t="s">
        <v>309</v>
      </c>
      <c r="J45" s="33"/>
    </row>
    <row r="46" spans="1:10" x14ac:dyDescent="0.25">
      <c r="A46">
        <f>fulltime!A46</f>
        <v>0</v>
      </c>
      <c r="B46" s="55">
        <f>fulltime!B46</f>
        <v>424</v>
      </c>
      <c r="C46" s="33">
        <f>fulltime!D46</f>
        <v>66414.399999999994</v>
      </c>
      <c r="D46" s="33">
        <f>fulltime!G46</f>
        <v>14173.57</v>
      </c>
      <c r="E46" s="33">
        <f t="shared" si="7"/>
        <v>9449.0467000000008</v>
      </c>
      <c r="F46" s="33">
        <f t="shared" si="8"/>
        <v>75863.4467</v>
      </c>
      <c r="G46" s="33" t="s">
        <v>309</v>
      </c>
      <c r="H46" s="33" t="s">
        <v>309</v>
      </c>
      <c r="I46" s="33">
        <f t="shared" ref="I46:I47" si="11">+F46</f>
        <v>75863.4467</v>
      </c>
      <c r="J46" s="33"/>
    </row>
    <row r="47" spans="1:10" x14ac:dyDescent="0.25">
      <c r="A47">
        <f>fulltime!A47</f>
        <v>0</v>
      </c>
      <c r="B47" s="55">
        <f>fulltime!B47</f>
        <v>664</v>
      </c>
      <c r="C47" s="33">
        <f>fulltime!D47</f>
        <v>66393.600000000006</v>
      </c>
      <c r="D47" s="33">
        <f>fulltime!G47</f>
        <v>16534.400000000001</v>
      </c>
      <c r="E47" s="33">
        <f t="shared" si="7"/>
        <v>11022.933300000001</v>
      </c>
      <c r="F47" s="33">
        <f t="shared" si="8"/>
        <v>77416.53330000001</v>
      </c>
      <c r="G47" s="33" t="s">
        <v>309</v>
      </c>
      <c r="H47" s="33" t="s">
        <v>309</v>
      </c>
      <c r="I47" s="33">
        <f t="shared" si="11"/>
        <v>77416.53330000001</v>
      </c>
      <c r="J47" s="33"/>
    </row>
    <row r="48" spans="1:10" x14ac:dyDescent="0.25">
      <c r="A48">
        <f>fulltime!A48</f>
        <v>0</v>
      </c>
      <c r="B48" s="55">
        <f>fulltime!B48</f>
        <v>478</v>
      </c>
      <c r="C48" s="33">
        <f>fulltime!D48</f>
        <v>77022.399999999994</v>
      </c>
      <c r="D48" s="33">
        <f>fulltime!G48</f>
        <v>0</v>
      </c>
      <c r="E48" s="33">
        <f t="shared" si="7"/>
        <v>0</v>
      </c>
      <c r="F48" s="33">
        <f t="shared" si="8"/>
        <v>77022.399999999994</v>
      </c>
      <c r="G48" s="33">
        <f>+F48</f>
        <v>77022.399999999994</v>
      </c>
      <c r="H48" s="33" t="s">
        <v>309</v>
      </c>
      <c r="I48" s="33" t="s">
        <v>309</v>
      </c>
      <c r="J48" s="33"/>
    </row>
    <row r="49" spans="1:10" x14ac:dyDescent="0.25">
      <c r="A49">
        <f>fulltime!A49</f>
        <v>0</v>
      </c>
      <c r="B49" s="55">
        <f>fulltime!B49</f>
        <v>215</v>
      </c>
      <c r="C49" s="33">
        <f>fulltime!D49</f>
        <v>56056</v>
      </c>
      <c r="D49" s="33">
        <f>fulltime!G49</f>
        <v>13380.68</v>
      </c>
      <c r="E49" s="33">
        <f t="shared" si="7"/>
        <v>8920.4532999999992</v>
      </c>
      <c r="F49" s="33">
        <f t="shared" si="8"/>
        <v>64976.453300000001</v>
      </c>
      <c r="G49" s="33" t="s">
        <v>309</v>
      </c>
      <c r="H49" s="33" t="s">
        <v>309</v>
      </c>
      <c r="I49" s="33">
        <f>+F49</f>
        <v>64976.453300000001</v>
      </c>
      <c r="J49" s="33"/>
    </row>
    <row r="50" spans="1:10" x14ac:dyDescent="0.25">
      <c r="A50">
        <f>fulltime!A50</f>
        <v>0</v>
      </c>
      <c r="B50" s="55">
        <f>fulltime!B50</f>
        <v>616</v>
      </c>
      <c r="C50" s="33">
        <f>fulltime!D50</f>
        <v>53913.599999999999</v>
      </c>
      <c r="D50" s="33">
        <f>fulltime!G50</f>
        <v>1969.27</v>
      </c>
      <c r="E50" s="33">
        <f t="shared" si="7"/>
        <v>1312.8467000000001</v>
      </c>
      <c r="F50" s="33">
        <f t="shared" si="8"/>
        <v>55226.4467</v>
      </c>
      <c r="G50" s="33">
        <f t="shared" ref="G50:G53" si="12">+F50</f>
        <v>55226.4467</v>
      </c>
      <c r="H50" s="33" t="s">
        <v>309</v>
      </c>
      <c r="I50" s="33" t="s">
        <v>309</v>
      </c>
      <c r="J50" s="33"/>
    </row>
    <row r="51" spans="1:10" x14ac:dyDescent="0.25">
      <c r="A51">
        <f>fulltime!A51</f>
        <v>0</v>
      </c>
      <c r="B51" s="55">
        <f>fulltime!B51</f>
        <v>199</v>
      </c>
      <c r="C51" s="33">
        <f>fulltime!D51</f>
        <v>103812.8</v>
      </c>
      <c r="D51" s="33">
        <f>fulltime!G51</f>
        <v>0</v>
      </c>
      <c r="E51" s="33">
        <f t="shared" si="7"/>
        <v>0</v>
      </c>
      <c r="F51" s="33">
        <f t="shared" si="8"/>
        <v>103812.8</v>
      </c>
      <c r="G51" s="33">
        <f t="shared" si="12"/>
        <v>103812.8</v>
      </c>
      <c r="H51" s="33" t="s">
        <v>309</v>
      </c>
      <c r="I51" s="33" t="s">
        <v>309</v>
      </c>
      <c r="J51" s="33"/>
    </row>
    <row r="52" spans="1:10" x14ac:dyDescent="0.25">
      <c r="A52">
        <f>fulltime!A52</f>
        <v>0</v>
      </c>
      <c r="B52" s="55">
        <f>fulltime!B52</f>
        <v>344</v>
      </c>
      <c r="C52" s="33">
        <f>fulltime!D52</f>
        <v>109782.39999999999</v>
      </c>
      <c r="D52" s="33">
        <f>fulltime!G52</f>
        <v>0</v>
      </c>
      <c r="E52" s="33">
        <f t="shared" si="7"/>
        <v>0</v>
      </c>
      <c r="F52" s="33">
        <f t="shared" si="8"/>
        <v>109782.39999999999</v>
      </c>
      <c r="G52" s="33">
        <f t="shared" si="12"/>
        <v>109782.39999999999</v>
      </c>
      <c r="H52" s="33" t="s">
        <v>309</v>
      </c>
      <c r="I52" s="33" t="s">
        <v>309</v>
      </c>
      <c r="J52" s="33"/>
    </row>
    <row r="53" spans="1:10" x14ac:dyDescent="0.25">
      <c r="A53">
        <f>fulltime!A53</f>
        <v>0</v>
      </c>
      <c r="B53" s="55">
        <f>fulltime!B53</f>
        <v>321</v>
      </c>
      <c r="C53" s="33">
        <f>fulltime!D53</f>
        <v>58011.199999999997</v>
      </c>
      <c r="D53" s="33">
        <f>fulltime!G53</f>
        <v>16190.15</v>
      </c>
      <c r="E53" s="33">
        <f t="shared" si="7"/>
        <v>10793.433300000001</v>
      </c>
      <c r="F53" s="33">
        <f t="shared" si="8"/>
        <v>68804.633300000001</v>
      </c>
      <c r="G53" s="33">
        <f t="shared" si="12"/>
        <v>68804.633300000001</v>
      </c>
      <c r="H53" s="33" t="s">
        <v>309</v>
      </c>
      <c r="I53" s="33" t="s">
        <v>309</v>
      </c>
      <c r="J53" s="33"/>
    </row>
    <row r="54" spans="1:10" x14ac:dyDescent="0.25">
      <c r="A54">
        <f>fulltime!A54</f>
        <v>0</v>
      </c>
      <c r="B54" s="55">
        <f>fulltime!B54</f>
        <v>213</v>
      </c>
      <c r="C54" s="33">
        <f>fulltime!D54</f>
        <v>75296</v>
      </c>
      <c r="D54" s="33">
        <f>fulltime!G54</f>
        <v>21054.83</v>
      </c>
      <c r="E54" s="33">
        <f t="shared" si="7"/>
        <v>14036.5533</v>
      </c>
      <c r="F54" s="33">
        <f t="shared" si="8"/>
        <v>89332.5533</v>
      </c>
      <c r="G54" s="33" t="s">
        <v>309</v>
      </c>
      <c r="H54" s="33" t="s">
        <v>309</v>
      </c>
      <c r="I54" s="33">
        <f t="shared" ref="I54:I55" si="13">+F54</f>
        <v>89332.5533</v>
      </c>
      <c r="J54" s="33"/>
    </row>
    <row r="55" spans="1:10" x14ac:dyDescent="0.25">
      <c r="A55">
        <f>fulltime!A55</f>
        <v>0</v>
      </c>
      <c r="B55" s="55">
        <f>fulltime!B55</f>
        <v>397</v>
      </c>
      <c r="C55" s="33">
        <f>fulltime!D55</f>
        <v>67932.800000000003</v>
      </c>
      <c r="D55" s="33">
        <f>fulltime!G55</f>
        <v>14570.12</v>
      </c>
      <c r="E55" s="33">
        <f t="shared" si="7"/>
        <v>9713.4133000000002</v>
      </c>
      <c r="F55" s="33">
        <f t="shared" si="8"/>
        <v>77646.213300000003</v>
      </c>
      <c r="G55" s="33" t="s">
        <v>309</v>
      </c>
      <c r="H55" s="33" t="s">
        <v>309</v>
      </c>
      <c r="I55" s="33">
        <f t="shared" si="13"/>
        <v>77646.213300000003</v>
      </c>
      <c r="J55" s="33"/>
    </row>
    <row r="56" spans="1:10" x14ac:dyDescent="0.25">
      <c r="A56">
        <f>fulltime!A56</f>
        <v>0</v>
      </c>
      <c r="B56" s="55">
        <f>fulltime!B56</f>
        <v>458</v>
      </c>
      <c r="C56" s="33">
        <f>fulltime!D56</f>
        <v>120806.39999999999</v>
      </c>
      <c r="D56" s="33">
        <f>fulltime!G56</f>
        <v>19957.45</v>
      </c>
      <c r="E56" s="33">
        <f t="shared" si="7"/>
        <v>13304.966700000001</v>
      </c>
      <c r="F56" s="33">
        <f t="shared" si="8"/>
        <v>134111.36669999998</v>
      </c>
      <c r="G56" s="33" t="s">
        <v>309</v>
      </c>
      <c r="H56" s="33">
        <f>+F56</f>
        <v>134111.36669999998</v>
      </c>
      <c r="I56" s="33" t="s">
        <v>309</v>
      </c>
      <c r="J56" s="33"/>
    </row>
    <row r="57" spans="1:10" x14ac:dyDescent="0.25">
      <c r="A57">
        <f>fulltime!A57</f>
        <v>0</v>
      </c>
      <c r="B57" s="55">
        <f>fulltime!B57</f>
        <v>382</v>
      </c>
      <c r="C57" s="33">
        <f>fulltime!D57</f>
        <v>77604.800000000003</v>
      </c>
      <c r="D57" s="33">
        <f>fulltime!G57</f>
        <v>0</v>
      </c>
      <c r="E57" s="33">
        <f t="shared" si="7"/>
        <v>0</v>
      </c>
      <c r="F57" s="33">
        <f t="shared" si="8"/>
        <v>77604.800000000003</v>
      </c>
      <c r="G57" s="33" t="s">
        <v>309</v>
      </c>
      <c r="H57" s="33" t="s">
        <v>309</v>
      </c>
      <c r="I57" s="33">
        <f t="shared" ref="I57:I61" si="14">+F57</f>
        <v>77604.800000000003</v>
      </c>
      <c r="J57" s="33"/>
    </row>
    <row r="58" spans="1:10" x14ac:dyDescent="0.25">
      <c r="A58">
        <f>fulltime!A58</f>
        <v>0</v>
      </c>
      <c r="B58" s="55">
        <f>fulltime!B58</f>
        <v>431</v>
      </c>
      <c r="C58" s="33">
        <f>fulltime!D58</f>
        <v>66414.399999999994</v>
      </c>
      <c r="D58" s="33">
        <f>fulltime!G58</f>
        <v>13171.13</v>
      </c>
      <c r="E58" s="33">
        <f t="shared" si="7"/>
        <v>8780.7533000000003</v>
      </c>
      <c r="F58" s="33">
        <f t="shared" si="8"/>
        <v>75195.153299999991</v>
      </c>
      <c r="G58" s="33" t="s">
        <v>309</v>
      </c>
      <c r="H58" s="33" t="s">
        <v>309</v>
      </c>
      <c r="I58" s="33">
        <f t="shared" si="14"/>
        <v>75195.153299999991</v>
      </c>
      <c r="J58" s="33"/>
    </row>
    <row r="59" spans="1:10" x14ac:dyDescent="0.25">
      <c r="A59">
        <f>fulltime!A59</f>
        <v>0</v>
      </c>
      <c r="B59" s="55">
        <f>fulltime!B59</f>
        <v>655</v>
      </c>
      <c r="C59" s="33">
        <f>fulltime!D59</f>
        <v>56056</v>
      </c>
      <c r="D59" s="33">
        <f>fulltime!G59</f>
        <v>21549.759999999998</v>
      </c>
      <c r="E59" s="33">
        <f t="shared" si="7"/>
        <v>14366.5067</v>
      </c>
      <c r="F59" s="33">
        <f t="shared" si="8"/>
        <v>70422.506699999998</v>
      </c>
      <c r="G59" s="33" t="s">
        <v>309</v>
      </c>
      <c r="H59" s="33" t="s">
        <v>309</v>
      </c>
      <c r="I59" s="33">
        <f t="shared" si="14"/>
        <v>70422.506699999998</v>
      </c>
      <c r="J59" s="33"/>
    </row>
    <row r="60" spans="1:10" x14ac:dyDescent="0.25">
      <c r="A60">
        <f>fulltime!A60</f>
        <v>0</v>
      </c>
      <c r="B60" s="55">
        <f>fulltime!B60</f>
        <v>541</v>
      </c>
      <c r="C60" s="33">
        <f>fulltime!D60</f>
        <v>67932.800000000003</v>
      </c>
      <c r="D60" s="33">
        <f>fulltime!G60</f>
        <v>293.94</v>
      </c>
      <c r="E60" s="33">
        <f t="shared" si="7"/>
        <v>195.96</v>
      </c>
      <c r="F60" s="33">
        <f t="shared" si="8"/>
        <v>68128.760000000009</v>
      </c>
      <c r="G60" s="33" t="s">
        <v>309</v>
      </c>
      <c r="H60" s="33" t="s">
        <v>309</v>
      </c>
      <c r="I60" s="33">
        <f t="shared" si="14"/>
        <v>68128.760000000009</v>
      </c>
      <c r="J60" s="33"/>
    </row>
    <row r="61" spans="1:10" x14ac:dyDescent="0.25">
      <c r="A61">
        <f>fulltime!A61</f>
        <v>0</v>
      </c>
      <c r="B61" s="55">
        <f>fulltime!B61</f>
        <v>672</v>
      </c>
      <c r="C61" s="33">
        <f>fulltime!D61</f>
        <v>58032</v>
      </c>
      <c r="D61" s="33">
        <f>fulltime!G61</f>
        <v>1129.95</v>
      </c>
      <c r="E61" s="33">
        <f t="shared" si="7"/>
        <v>753.3</v>
      </c>
      <c r="F61" s="33">
        <f t="shared" si="8"/>
        <v>58785.3</v>
      </c>
      <c r="G61" s="33" t="s">
        <v>309</v>
      </c>
      <c r="H61" s="33" t="s">
        <v>309</v>
      </c>
      <c r="I61" s="33">
        <f t="shared" si="14"/>
        <v>58785.3</v>
      </c>
      <c r="J61" s="33"/>
    </row>
    <row r="62" spans="1:10" x14ac:dyDescent="0.25">
      <c r="A62">
        <f>fulltime!A62</f>
        <v>0</v>
      </c>
      <c r="B62" s="55">
        <f>fulltime!B62</f>
        <v>189</v>
      </c>
      <c r="C62" s="33">
        <f>fulltime!D62</f>
        <v>81806.399999999994</v>
      </c>
      <c r="D62" s="33">
        <f>fulltime!G62</f>
        <v>0</v>
      </c>
      <c r="E62" s="33">
        <f t="shared" si="7"/>
        <v>0</v>
      </c>
      <c r="F62" s="33">
        <f t="shared" si="8"/>
        <v>81806.399999999994</v>
      </c>
      <c r="G62" s="33">
        <f>+F62</f>
        <v>81806.399999999994</v>
      </c>
      <c r="H62" s="33" t="s">
        <v>309</v>
      </c>
      <c r="I62" s="33" t="s">
        <v>309</v>
      </c>
      <c r="J62" s="33"/>
    </row>
    <row r="63" spans="1:10" x14ac:dyDescent="0.25">
      <c r="A63">
        <f>fulltime!A63</f>
        <v>0</v>
      </c>
      <c r="B63" s="55">
        <f>fulltime!B63</f>
        <v>207</v>
      </c>
      <c r="C63" s="33">
        <f>fulltime!D63</f>
        <v>106641.60000000001</v>
      </c>
      <c r="D63" s="33">
        <f>fulltime!G63</f>
        <v>0</v>
      </c>
      <c r="E63" s="33">
        <f t="shared" si="7"/>
        <v>0</v>
      </c>
      <c r="F63" s="33">
        <f t="shared" si="8"/>
        <v>106641.60000000001</v>
      </c>
      <c r="G63" s="33" t="s">
        <v>309</v>
      </c>
      <c r="H63" s="33" t="s">
        <v>309</v>
      </c>
      <c r="I63" s="33">
        <f t="shared" ref="I63:I64" si="15">+F63</f>
        <v>106641.60000000001</v>
      </c>
      <c r="J63" s="33"/>
    </row>
    <row r="64" spans="1:10" x14ac:dyDescent="0.25">
      <c r="A64">
        <f>fulltime!A64</f>
        <v>0</v>
      </c>
      <c r="B64" s="55">
        <f>fulltime!B64</f>
        <v>449</v>
      </c>
      <c r="C64" s="33">
        <f>fulltime!D64</f>
        <v>67745.600000000006</v>
      </c>
      <c r="D64" s="33">
        <f>fulltime!G64</f>
        <v>0</v>
      </c>
      <c r="E64" s="33">
        <f t="shared" si="7"/>
        <v>0</v>
      </c>
      <c r="F64" s="33">
        <f t="shared" si="8"/>
        <v>67745.600000000006</v>
      </c>
      <c r="G64" s="33" t="s">
        <v>309</v>
      </c>
      <c r="H64" s="33" t="s">
        <v>309</v>
      </c>
      <c r="I64" s="33">
        <f t="shared" si="15"/>
        <v>67745.600000000006</v>
      </c>
      <c r="J64" s="33"/>
    </row>
    <row r="65" spans="1:10" x14ac:dyDescent="0.25">
      <c r="A65">
        <f>fulltime!A65</f>
        <v>0</v>
      </c>
      <c r="B65" s="55">
        <f>fulltime!B65</f>
        <v>658</v>
      </c>
      <c r="C65" s="33">
        <f>fulltime!D65</f>
        <v>71385.600000000006</v>
      </c>
      <c r="D65" s="33">
        <f>fulltime!G65</f>
        <v>0</v>
      </c>
      <c r="E65" s="33">
        <f t="shared" si="7"/>
        <v>0</v>
      </c>
      <c r="F65" s="33">
        <f t="shared" si="8"/>
        <v>71385.600000000006</v>
      </c>
      <c r="G65" s="33" t="s">
        <v>309</v>
      </c>
      <c r="H65" s="33">
        <f>+F65</f>
        <v>71385.600000000006</v>
      </c>
      <c r="I65" s="33" t="s">
        <v>309</v>
      </c>
      <c r="J65" s="33"/>
    </row>
    <row r="66" spans="1:10" x14ac:dyDescent="0.25">
      <c r="A66">
        <f>fulltime!A66</f>
        <v>0</v>
      </c>
      <c r="B66" s="55">
        <f>fulltime!B66</f>
        <v>651</v>
      </c>
      <c r="C66" s="33">
        <f>fulltime!D66</f>
        <v>48588.800000000003</v>
      </c>
      <c r="D66" s="33">
        <f>fulltime!G66</f>
        <v>1283.1600000000001</v>
      </c>
      <c r="E66" s="33">
        <f t="shared" si="7"/>
        <v>855.44</v>
      </c>
      <c r="F66" s="33">
        <f t="shared" si="8"/>
        <v>49444.240000000005</v>
      </c>
      <c r="G66" s="33">
        <f>+F66</f>
        <v>49444.240000000005</v>
      </c>
      <c r="H66" s="33" t="s">
        <v>309</v>
      </c>
      <c r="I66" s="33" t="s">
        <v>309</v>
      </c>
      <c r="J66" s="33"/>
    </row>
    <row r="67" spans="1:10" x14ac:dyDescent="0.25">
      <c r="A67">
        <f>fulltime!A67</f>
        <v>0</v>
      </c>
      <c r="B67" s="55">
        <f>fulltime!B67</f>
        <v>581</v>
      </c>
      <c r="C67" s="33">
        <f>fulltime!D67</f>
        <v>68848</v>
      </c>
      <c r="D67" s="33">
        <f>fulltime!G67</f>
        <v>4716.75</v>
      </c>
      <c r="E67" s="33">
        <f t="shared" ref="E67:E98" si="16">ROUND(D67/1.5,4)</f>
        <v>3144.5</v>
      </c>
      <c r="F67" s="33">
        <f t="shared" ref="F67:F98" si="17">C67+E67</f>
        <v>71992.5</v>
      </c>
      <c r="G67" s="33" t="s">
        <v>309</v>
      </c>
      <c r="H67" s="33" t="s">
        <v>309</v>
      </c>
      <c r="I67" s="33">
        <f t="shared" ref="I67:I71" si="18">+F67</f>
        <v>71992.5</v>
      </c>
      <c r="J67" s="33"/>
    </row>
    <row r="68" spans="1:10" x14ac:dyDescent="0.25">
      <c r="A68">
        <f>fulltime!A68</f>
        <v>0</v>
      </c>
      <c r="B68" s="55">
        <f>fulltime!B68</f>
        <v>536</v>
      </c>
      <c r="C68" s="33">
        <f>fulltime!D68</f>
        <v>67059.199999999997</v>
      </c>
      <c r="D68" s="33">
        <f>fulltime!G68</f>
        <v>22086.5</v>
      </c>
      <c r="E68" s="33">
        <f t="shared" si="16"/>
        <v>14724.3333</v>
      </c>
      <c r="F68" s="33">
        <f t="shared" si="17"/>
        <v>81783.533299999996</v>
      </c>
      <c r="G68" s="33" t="s">
        <v>309</v>
      </c>
      <c r="H68" s="33" t="s">
        <v>309</v>
      </c>
      <c r="I68" s="33">
        <f t="shared" si="18"/>
        <v>81783.533299999996</v>
      </c>
      <c r="J68" s="33"/>
    </row>
    <row r="69" spans="1:10" x14ac:dyDescent="0.25">
      <c r="A69">
        <f>fulltime!A69</f>
        <v>0</v>
      </c>
      <c r="B69" s="55">
        <f>fulltime!B69</f>
        <v>282</v>
      </c>
      <c r="C69" s="33">
        <f>fulltime!D69</f>
        <v>105185.60000000001</v>
      </c>
      <c r="D69" s="33">
        <f>fulltime!G69</f>
        <v>0</v>
      </c>
      <c r="E69" s="33">
        <f t="shared" si="16"/>
        <v>0</v>
      </c>
      <c r="F69" s="33">
        <f t="shared" si="17"/>
        <v>105185.60000000001</v>
      </c>
      <c r="G69" s="33" t="s">
        <v>309</v>
      </c>
      <c r="H69" s="33" t="s">
        <v>309</v>
      </c>
      <c r="I69" s="33">
        <f t="shared" si="18"/>
        <v>105185.60000000001</v>
      </c>
      <c r="J69" s="33"/>
    </row>
    <row r="70" spans="1:10" x14ac:dyDescent="0.25">
      <c r="A70">
        <f>fulltime!A70</f>
        <v>0</v>
      </c>
      <c r="B70" s="55">
        <f>fulltime!B70</f>
        <v>289</v>
      </c>
      <c r="C70" s="33">
        <f>fulltime!D70</f>
        <v>62233.599999999999</v>
      </c>
      <c r="D70" s="33">
        <f>fulltime!G70</f>
        <v>605.88</v>
      </c>
      <c r="E70" s="33">
        <f t="shared" si="16"/>
        <v>403.92</v>
      </c>
      <c r="F70" s="33">
        <f t="shared" si="17"/>
        <v>62637.52</v>
      </c>
      <c r="G70" s="33" t="s">
        <v>309</v>
      </c>
      <c r="H70" s="33" t="s">
        <v>309</v>
      </c>
      <c r="I70" s="33">
        <f t="shared" si="18"/>
        <v>62637.52</v>
      </c>
      <c r="J70" s="33"/>
    </row>
    <row r="71" spans="1:10" x14ac:dyDescent="0.25">
      <c r="A71">
        <f>fulltime!A71</f>
        <v>0</v>
      </c>
      <c r="B71" s="55">
        <f>fulltime!B71</f>
        <v>479</v>
      </c>
      <c r="C71" s="33">
        <f>fulltime!D71</f>
        <v>119600</v>
      </c>
      <c r="D71" s="33">
        <f>fulltime!G71</f>
        <v>0</v>
      </c>
      <c r="E71" s="33">
        <f t="shared" si="16"/>
        <v>0</v>
      </c>
      <c r="F71" s="33">
        <f t="shared" si="17"/>
        <v>119600</v>
      </c>
      <c r="G71" s="33" t="s">
        <v>309</v>
      </c>
      <c r="H71" s="33" t="s">
        <v>309</v>
      </c>
      <c r="I71" s="33">
        <f t="shared" si="18"/>
        <v>119600</v>
      </c>
      <c r="J71" s="33"/>
    </row>
    <row r="72" spans="1:10" x14ac:dyDescent="0.25">
      <c r="A72">
        <f>fulltime!A72</f>
        <v>0</v>
      </c>
      <c r="B72" s="55">
        <f>fulltime!B72</f>
        <v>670</v>
      </c>
      <c r="C72" s="33">
        <f>fulltime!D72</f>
        <v>66580.800000000003</v>
      </c>
      <c r="D72" s="33">
        <f>fulltime!G72</f>
        <v>216.07</v>
      </c>
      <c r="E72" s="33">
        <f t="shared" si="16"/>
        <v>144.04669999999999</v>
      </c>
      <c r="F72" s="33">
        <f t="shared" si="17"/>
        <v>66724.846700000009</v>
      </c>
      <c r="G72" s="33">
        <f t="shared" ref="G72:G78" si="19">+F72</f>
        <v>66724.846700000009</v>
      </c>
      <c r="H72" s="33" t="s">
        <v>309</v>
      </c>
      <c r="I72" s="33" t="s">
        <v>309</v>
      </c>
      <c r="J72" s="33"/>
    </row>
    <row r="73" spans="1:10" x14ac:dyDescent="0.25">
      <c r="A73">
        <f>fulltime!A73</f>
        <v>0</v>
      </c>
      <c r="B73" s="55">
        <f>fulltime!B73</f>
        <v>202</v>
      </c>
      <c r="C73" s="33">
        <f>fulltime!D73</f>
        <v>43825.599999999999</v>
      </c>
      <c r="D73" s="33">
        <f>fulltime!G73</f>
        <v>897.9</v>
      </c>
      <c r="E73" s="33">
        <f t="shared" si="16"/>
        <v>598.6</v>
      </c>
      <c r="F73" s="33">
        <f t="shared" si="17"/>
        <v>44424.2</v>
      </c>
      <c r="G73" s="33">
        <f t="shared" si="19"/>
        <v>44424.2</v>
      </c>
      <c r="H73" s="33" t="s">
        <v>309</v>
      </c>
      <c r="I73" s="33" t="s">
        <v>309</v>
      </c>
      <c r="J73" s="33"/>
    </row>
    <row r="74" spans="1:10" x14ac:dyDescent="0.25">
      <c r="A74">
        <f>fulltime!A74</f>
        <v>0</v>
      </c>
      <c r="B74" s="55">
        <f>fulltime!B74</f>
        <v>323</v>
      </c>
      <c r="C74" s="33">
        <f>fulltime!D74</f>
        <v>53913.599999999999</v>
      </c>
      <c r="D74" s="33">
        <f>fulltime!G74</f>
        <v>2180.39</v>
      </c>
      <c r="E74" s="33">
        <f t="shared" si="16"/>
        <v>1453.5933</v>
      </c>
      <c r="F74" s="33">
        <f t="shared" si="17"/>
        <v>55367.193299999999</v>
      </c>
      <c r="G74" s="33">
        <f t="shared" si="19"/>
        <v>55367.193299999999</v>
      </c>
      <c r="H74" s="33" t="s">
        <v>309</v>
      </c>
      <c r="I74" s="33" t="s">
        <v>309</v>
      </c>
      <c r="J74" s="33"/>
    </row>
    <row r="75" spans="1:10" x14ac:dyDescent="0.25">
      <c r="A75">
        <f>fulltime!A75</f>
        <v>0</v>
      </c>
      <c r="B75" s="55">
        <f>fulltime!B75</f>
        <v>339</v>
      </c>
      <c r="C75" s="33">
        <f>fulltime!D75</f>
        <v>58718.400000000001</v>
      </c>
      <c r="D75" s="33">
        <f>fulltime!G75</f>
        <v>16895.66</v>
      </c>
      <c r="E75" s="33">
        <f t="shared" si="16"/>
        <v>11263.773300000001</v>
      </c>
      <c r="F75" s="33">
        <f t="shared" si="17"/>
        <v>69982.173299999995</v>
      </c>
      <c r="G75" s="33">
        <f t="shared" si="19"/>
        <v>69982.173299999995</v>
      </c>
      <c r="H75" s="33" t="s">
        <v>309</v>
      </c>
      <c r="I75" s="33" t="s">
        <v>309</v>
      </c>
      <c r="J75" s="33"/>
    </row>
    <row r="76" spans="1:10" x14ac:dyDescent="0.25">
      <c r="A76">
        <f>fulltime!A76</f>
        <v>0</v>
      </c>
      <c r="B76" s="55">
        <f>fulltime!B76</f>
        <v>414</v>
      </c>
      <c r="C76" s="33">
        <f>fulltime!D76</f>
        <v>55723.199999999997</v>
      </c>
      <c r="D76" s="33">
        <f>fulltime!G76</f>
        <v>1836.05</v>
      </c>
      <c r="E76" s="33">
        <f t="shared" si="16"/>
        <v>1224.0333000000001</v>
      </c>
      <c r="F76" s="33">
        <f t="shared" si="17"/>
        <v>56947.2333</v>
      </c>
      <c r="G76" s="33">
        <f t="shared" si="19"/>
        <v>56947.2333</v>
      </c>
      <c r="H76" s="33" t="s">
        <v>309</v>
      </c>
      <c r="I76" s="33" t="s">
        <v>309</v>
      </c>
      <c r="J76" s="33"/>
    </row>
    <row r="77" spans="1:10" x14ac:dyDescent="0.25">
      <c r="A77">
        <f>fulltime!A77</f>
        <v>0</v>
      </c>
      <c r="B77" s="55">
        <f>fulltime!B77</f>
        <v>370</v>
      </c>
      <c r="C77" s="33">
        <f>fulltime!D77</f>
        <v>53913.599999999999</v>
      </c>
      <c r="D77" s="33">
        <f>fulltime!G77</f>
        <v>936.62</v>
      </c>
      <c r="E77" s="33">
        <f t="shared" si="16"/>
        <v>624.41330000000005</v>
      </c>
      <c r="F77" s="33">
        <f t="shared" si="17"/>
        <v>54538.013299999999</v>
      </c>
      <c r="G77" s="33">
        <f t="shared" si="19"/>
        <v>54538.013299999999</v>
      </c>
      <c r="H77" s="33" t="s">
        <v>309</v>
      </c>
      <c r="I77" s="33" t="s">
        <v>309</v>
      </c>
      <c r="J77" s="33"/>
    </row>
    <row r="78" spans="1:10" x14ac:dyDescent="0.25">
      <c r="A78">
        <f>fulltime!A78</f>
        <v>0</v>
      </c>
      <c r="B78" s="55">
        <f>fulltime!B78</f>
        <v>653</v>
      </c>
      <c r="C78" s="33">
        <f>fulltime!D78</f>
        <v>43264</v>
      </c>
      <c r="D78" s="33">
        <f>fulltime!G78</f>
        <v>0</v>
      </c>
      <c r="E78" s="33">
        <f t="shared" si="16"/>
        <v>0</v>
      </c>
      <c r="F78" s="33">
        <f t="shared" si="17"/>
        <v>43264</v>
      </c>
      <c r="G78" s="33">
        <f t="shared" si="19"/>
        <v>43264</v>
      </c>
      <c r="H78" s="33" t="s">
        <v>309</v>
      </c>
      <c r="I78" s="33" t="s">
        <v>309</v>
      </c>
      <c r="J78" s="33"/>
    </row>
    <row r="79" spans="1:10" x14ac:dyDescent="0.25">
      <c r="A79">
        <f>fulltime!A79</f>
        <v>0</v>
      </c>
      <c r="B79" s="55">
        <f>fulltime!B79</f>
        <v>644</v>
      </c>
      <c r="C79" s="33">
        <f>fulltime!D79</f>
        <v>65936</v>
      </c>
      <c r="D79" s="33">
        <f>fulltime!G79</f>
        <v>713.25</v>
      </c>
      <c r="E79" s="33">
        <f t="shared" si="16"/>
        <v>475.5</v>
      </c>
      <c r="F79" s="33">
        <f t="shared" si="17"/>
        <v>66411.5</v>
      </c>
      <c r="G79" s="33" t="s">
        <v>309</v>
      </c>
      <c r="H79" s="33" t="s">
        <v>309</v>
      </c>
      <c r="I79" s="33">
        <f>+F79</f>
        <v>66411.5</v>
      </c>
      <c r="J79" s="33"/>
    </row>
    <row r="80" spans="1:10" x14ac:dyDescent="0.25">
      <c r="A80">
        <f>fulltime!A80</f>
        <v>0</v>
      </c>
      <c r="B80" s="55">
        <f>fulltime!B80</f>
        <v>371</v>
      </c>
      <c r="C80" s="33">
        <f>fulltime!D80</f>
        <v>69908.800000000003</v>
      </c>
      <c r="D80" s="33">
        <f>fulltime!G80</f>
        <v>4699.18</v>
      </c>
      <c r="E80" s="33">
        <f t="shared" si="16"/>
        <v>3132.7867000000001</v>
      </c>
      <c r="F80" s="33">
        <f t="shared" si="17"/>
        <v>73041.5867</v>
      </c>
      <c r="G80" s="33">
        <f t="shared" ref="G80:G82" si="20">+F80</f>
        <v>73041.5867</v>
      </c>
      <c r="H80" s="33" t="s">
        <v>309</v>
      </c>
      <c r="I80" s="33" t="s">
        <v>309</v>
      </c>
      <c r="J80" s="33"/>
    </row>
    <row r="81" spans="1:10" x14ac:dyDescent="0.25">
      <c r="A81">
        <f>fulltime!A81</f>
        <v>0</v>
      </c>
      <c r="B81" s="55">
        <f>fulltime!B81</f>
        <v>675</v>
      </c>
      <c r="C81" s="33">
        <f>fulltime!D81</f>
        <v>39041.599999999999</v>
      </c>
      <c r="D81" s="33">
        <f>fulltime!G81</f>
        <v>487.64</v>
      </c>
      <c r="E81" s="33">
        <f t="shared" si="16"/>
        <v>325.0933</v>
      </c>
      <c r="F81" s="33">
        <f t="shared" si="17"/>
        <v>39366.693299999999</v>
      </c>
      <c r="G81" s="33">
        <f t="shared" si="20"/>
        <v>39366.693299999999</v>
      </c>
      <c r="H81" s="33" t="s">
        <v>309</v>
      </c>
      <c r="I81" s="33" t="s">
        <v>309</v>
      </c>
      <c r="J81" s="33"/>
    </row>
    <row r="82" spans="1:10" x14ac:dyDescent="0.25">
      <c r="A82">
        <f>fulltime!A82</f>
        <v>0</v>
      </c>
      <c r="B82" s="55">
        <f>fulltime!B82</f>
        <v>667</v>
      </c>
      <c r="C82" s="33">
        <f>fulltime!D82</f>
        <v>56555.199999999997</v>
      </c>
      <c r="D82" s="33">
        <f>fulltime!G82</f>
        <v>336.48</v>
      </c>
      <c r="E82" s="33">
        <f t="shared" si="16"/>
        <v>224.32</v>
      </c>
      <c r="F82" s="33">
        <f t="shared" si="17"/>
        <v>56779.519999999997</v>
      </c>
      <c r="G82" s="33">
        <f t="shared" si="20"/>
        <v>56779.519999999997</v>
      </c>
      <c r="H82" s="33" t="s">
        <v>309</v>
      </c>
      <c r="I82" s="33" t="s">
        <v>309</v>
      </c>
      <c r="J82" s="33"/>
    </row>
    <row r="83" spans="1:10" x14ac:dyDescent="0.25">
      <c r="A83">
        <f>fulltime!A83</f>
        <v>0</v>
      </c>
      <c r="B83" s="55">
        <f>fulltime!B83</f>
        <v>668</v>
      </c>
      <c r="C83" s="33">
        <f>fulltime!D83</f>
        <v>43700.800000000003</v>
      </c>
      <c r="D83" s="33">
        <f>fulltime!G83</f>
        <v>6539.36</v>
      </c>
      <c r="E83" s="33">
        <f t="shared" si="16"/>
        <v>4359.5733</v>
      </c>
      <c r="F83" s="33">
        <f t="shared" si="17"/>
        <v>48060.373300000007</v>
      </c>
      <c r="G83" s="33" t="s">
        <v>309</v>
      </c>
      <c r="H83" s="33" t="s">
        <v>309</v>
      </c>
      <c r="I83" s="33">
        <f>+F83</f>
        <v>48060.373300000007</v>
      </c>
      <c r="J83" s="33"/>
    </row>
    <row r="84" spans="1:10" x14ac:dyDescent="0.25">
      <c r="A84">
        <f>fulltime!A84</f>
        <v>0</v>
      </c>
      <c r="B84" s="55">
        <f>fulltime!B84</f>
        <v>434</v>
      </c>
      <c r="C84" s="33">
        <f>fulltime!D84</f>
        <v>57512</v>
      </c>
      <c r="D84" s="33">
        <f>fulltime!G84</f>
        <v>16901.060000000001</v>
      </c>
      <c r="E84" s="33">
        <f t="shared" si="16"/>
        <v>11267.373299999999</v>
      </c>
      <c r="F84" s="33">
        <f t="shared" si="17"/>
        <v>68779.373300000007</v>
      </c>
      <c r="G84" s="33">
        <f>+F84</f>
        <v>68779.373300000007</v>
      </c>
      <c r="H84" s="33" t="s">
        <v>309</v>
      </c>
      <c r="I84" s="33" t="s">
        <v>309</v>
      </c>
      <c r="J84" s="33"/>
    </row>
    <row r="85" spans="1:10" x14ac:dyDescent="0.25">
      <c r="A85">
        <f>fulltime!A85</f>
        <v>0</v>
      </c>
      <c r="B85" s="55">
        <f>fulltime!B85</f>
        <v>638</v>
      </c>
      <c r="C85" s="33">
        <f>fulltime!D85</f>
        <v>67267.199999999997</v>
      </c>
      <c r="D85" s="33">
        <f>fulltime!G85</f>
        <v>16832.97</v>
      </c>
      <c r="E85" s="33">
        <f t="shared" si="16"/>
        <v>11221.98</v>
      </c>
      <c r="F85" s="33">
        <f t="shared" si="17"/>
        <v>78489.179999999993</v>
      </c>
      <c r="G85" s="33" t="s">
        <v>309</v>
      </c>
      <c r="H85" s="33" t="s">
        <v>309</v>
      </c>
      <c r="I85" s="33">
        <f t="shared" ref="I85:I88" si="21">+F85</f>
        <v>78489.179999999993</v>
      </c>
      <c r="J85" s="33"/>
    </row>
    <row r="86" spans="1:10" x14ac:dyDescent="0.25">
      <c r="A86">
        <f>fulltime!A86</f>
        <v>0</v>
      </c>
      <c r="B86" s="55">
        <f>fulltime!B86</f>
        <v>476</v>
      </c>
      <c r="C86" s="33">
        <f>fulltime!D86</f>
        <v>66414.399999999994</v>
      </c>
      <c r="D86" s="33">
        <f>fulltime!G86</f>
        <v>16248.38</v>
      </c>
      <c r="E86" s="33">
        <f t="shared" si="16"/>
        <v>10832.2533</v>
      </c>
      <c r="F86" s="33">
        <f t="shared" si="17"/>
        <v>77246.653299999991</v>
      </c>
      <c r="G86" s="33" t="s">
        <v>309</v>
      </c>
      <c r="H86" s="33" t="s">
        <v>309</v>
      </c>
      <c r="I86" s="33">
        <f t="shared" si="21"/>
        <v>77246.653299999991</v>
      </c>
      <c r="J86" s="33"/>
    </row>
    <row r="87" spans="1:10" x14ac:dyDescent="0.25">
      <c r="A87">
        <f>fulltime!A87</f>
        <v>0</v>
      </c>
      <c r="B87" s="55">
        <f>fulltime!B87</f>
        <v>160</v>
      </c>
      <c r="C87" s="33">
        <f>fulltime!D87</f>
        <v>77230.399999999994</v>
      </c>
      <c r="D87" s="33">
        <f>fulltime!G87</f>
        <v>10832.68</v>
      </c>
      <c r="E87" s="33">
        <f t="shared" si="16"/>
        <v>7221.7866999999997</v>
      </c>
      <c r="F87" s="33">
        <f t="shared" si="17"/>
        <v>84452.186699999991</v>
      </c>
      <c r="G87" s="33" t="s">
        <v>309</v>
      </c>
      <c r="H87" s="33" t="s">
        <v>309</v>
      </c>
      <c r="I87" s="33">
        <f t="shared" si="21"/>
        <v>84452.186699999991</v>
      </c>
      <c r="J87" s="33"/>
    </row>
    <row r="88" spans="1:10" x14ac:dyDescent="0.25">
      <c r="A88">
        <f>fulltime!A88</f>
        <v>0</v>
      </c>
      <c r="B88" s="55">
        <f>fulltime!B88</f>
        <v>539</v>
      </c>
      <c r="C88" s="33">
        <f>fulltime!D88</f>
        <v>69409.600000000006</v>
      </c>
      <c r="D88" s="33">
        <f>fulltime!G88</f>
        <v>2214.9299999999998</v>
      </c>
      <c r="E88" s="33">
        <f t="shared" si="16"/>
        <v>1476.62</v>
      </c>
      <c r="F88" s="33">
        <f t="shared" si="17"/>
        <v>70886.22</v>
      </c>
      <c r="G88" s="33" t="s">
        <v>309</v>
      </c>
      <c r="H88" s="33" t="s">
        <v>309</v>
      </c>
      <c r="I88" s="33">
        <f t="shared" si="21"/>
        <v>70886.22</v>
      </c>
      <c r="J88" s="33"/>
    </row>
    <row r="89" spans="1:10" x14ac:dyDescent="0.25">
      <c r="A89">
        <f>fulltime!A89</f>
        <v>0</v>
      </c>
      <c r="B89" s="55">
        <f>fulltime!B89</f>
        <v>646</v>
      </c>
      <c r="C89" s="33">
        <f>fulltime!D89</f>
        <v>52540.800000000003</v>
      </c>
      <c r="D89" s="33">
        <f>fulltime!G89</f>
        <v>3826.89</v>
      </c>
      <c r="E89" s="33">
        <f t="shared" si="16"/>
        <v>2551.2600000000002</v>
      </c>
      <c r="F89" s="33">
        <f t="shared" si="17"/>
        <v>55092.060000000005</v>
      </c>
      <c r="G89" s="33">
        <f>+F89</f>
        <v>55092.060000000005</v>
      </c>
      <c r="H89" s="33" t="s">
        <v>309</v>
      </c>
      <c r="I89" s="33" t="s">
        <v>309</v>
      </c>
      <c r="J89" s="33"/>
    </row>
    <row r="90" spans="1:10" x14ac:dyDescent="0.25">
      <c r="A90">
        <f>fulltime!A90</f>
        <v>0</v>
      </c>
      <c r="B90" s="55">
        <f>fulltime!B90</f>
        <v>447</v>
      </c>
      <c r="C90" s="33">
        <f>fulltime!D90</f>
        <v>50648</v>
      </c>
      <c r="D90" s="33">
        <f>fulltime!G90</f>
        <v>27599.39</v>
      </c>
      <c r="E90" s="33">
        <f t="shared" si="16"/>
        <v>18399.5933</v>
      </c>
      <c r="F90" s="33">
        <f t="shared" si="17"/>
        <v>69047.593300000008</v>
      </c>
      <c r="G90" s="33" t="s">
        <v>309</v>
      </c>
      <c r="H90" s="33" t="s">
        <v>309</v>
      </c>
      <c r="I90" s="33">
        <f>+F90</f>
        <v>69047.593300000008</v>
      </c>
      <c r="J90" s="33"/>
    </row>
    <row r="91" spans="1:10" x14ac:dyDescent="0.25">
      <c r="A91">
        <f>fulltime!A91</f>
        <v>0</v>
      </c>
      <c r="B91" s="55">
        <f>fulltime!B91</f>
        <v>201</v>
      </c>
      <c r="C91" s="33">
        <f>fulltime!D91</f>
        <v>66414.399999999994</v>
      </c>
      <c r="D91" s="33">
        <f>fulltime!G91</f>
        <v>9004.26</v>
      </c>
      <c r="E91" s="33">
        <f t="shared" si="16"/>
        <v>6002.84</v>
      </c>
      <c r="F91" s="33">
        <f t="shared" si="17"/>
        <v>72417.239999999991</v>
      </c>
      <c r="G91" s="33" t="s">
        <v>309</v>
      </c>
      <c r="H91" s="33"/>
      <c r="I91" s="33">
        <f>+F91</f>
        <v>72417.239999999991</v>
      </c>
      <c r="J91" s="33"/>
    </row>
    <row r="92" spans="1:10" x14ac:dyDescent="0.25">
      <c r="A92">
        <f>fulltime!A92</f>
        <v>0</v>
      </c>
      <c r="B92" s="55">
        <f>fulltime!B92</f>
        <v>381</v>
      </c>
      <c r="C92" s="33">
        <f>fulltime!D92</f>
        <v>66040</v>
      </c>
      <c r="D92" s="33">
        <f>fulltime!G92</f>
        <v>904.88</v>
      </c>
      <c r="E92" s="33">
        <f t="shared" si="16"/>
        <v>603.25329999999997</v>
      </c>
      <c r="F92" s="33">
        <f t="shared" si="17"/>
        <v>66643.253299999997</v>
      </c>
      <c r="G92" s="33">
        <f t="shared" ref="G92:G95" si="22">+F92</f>
        <v>66643.253299999997</v>
      </c>
      <c r="H92" s="33"/>
      <c r="I92" s="33" t="s">
        <v>309</v>
      </c>
      <c r="J92" s="33"/>
    </row>
    <row r="93" spans="1:10" x14ac:dyDescent="0.25">
      <c r="A93">
        <f>fulltime!A93</f>
        <v>0</v>
      </c>
      <c r="B93" s="55">
        <f>fulltime!B93</f>
        <v>320</v>
      </c>
      <c r="C93" s="33">
        <f>fulltime!D93</f>
        <v>60819.199999999997</v>
      </c>
      <c r="D93" s="33">
        <f>fulltime!G93</f>
        <v>0</v>
      </c>
      <c r="E93" s="33">
        <f t="shared" si="16"/>
        <v>0</v>
      </c>
      <c r="F93" s="33">
        <f t="shared" si="17"/>
        <v>60819.199999999997</v>
      </c>
      <c r="G93" s="33">
        <f t="shared" si="22"/>
        <v>60819.199999999997</v>
      </c>
      <c r="H93" s="33"/>
      <c r="I93" s="33" t="s">
        <v>309</v>
      </c>
      <c r="J93" s="33"/>
    </row>
    <row r="94" spans="1:10" x14ac:dyDescent="0.25">
      <c r="A94">
        <f>fulltime!A94</f>
        <v>0</v>
      </c>
      <c r="B94" s="55">
        <f>fulltime!B94</f>
        <v>679</v>
      </c>
      <c r="C94" s="33">
        <f>fulltime!D94</f>
        <v>42515.199999999997</v>
      </c>
      <c r="D94" s="33">
        <f>fulltime!G94</f>
        <v>283.61</v>
      </c>
      <c r="E94" s="33">
        <f t="shared" si="16"/>
        <v>189.07329999999999</v>
      </c>
      <c r="F94" s="33">
        <f t="shared" si="17"/>
        <v>42704.273299999993</v>
      </c>
      <c r="G94" s="33">
        <f t="shared" si="22"/>
        <v>42704.273299999993</v>
      </c>
      <c r="H94" s="33"/>
      <c r="I94" s="33" t="s">
        <v>309</v>
      </c>
      <c r="J94" s="33"/>
    </row>
    <row r="95" spans="1:10" x14ac:dyDescent="0.25">
      <c r="A95">
        <f>fulltime!A95</f>
        <v>0</v>
      </c>
      <c r="B95" s="55">
        <f>fulltime!B95</f>
        <v>643</v>
      </c>
      <c r="C95" s="33">
        <f>fulltime!D95</f>
        <v>68016</v>
      </c>
      <c r="D95" s="33">
        <f>fulltime!G95</f>
        <v>0</v>
      </c>
      <c r="E95" s="33">
        <f t="shared" si="16"/>
        <v>0</v>
      </c>
      <c r="F95" s="33">
        <f t="shared" si="17"/>
        <v>68016</v>
      </c>
      <c r="G95" s="33">
        <f t="shared" si="22"/>
        <v>68016</v>
      </c>
      <c r="H95" s="33"/>
      <c r="I95" s="33" t="s">
        <v>309</v>
      </c>
      <c r="J95" s="33"/>
    </row>
    <row r="96" spans="1:10" x14ac:dyDescent="0.25">
      <c r="A96">
        <f>fulltime!A96</f>
        <v>0</v>
      </c>
      <c r="B96" s="55">
        <f>fulltime!B96</f>
        <v>244</v>
      </c>
      <c r="C96" s="33">
        <f>fulltime!D96</f>
        <v>78748.800000000003</v>
      </c>
      <c r="D96" s="33">
        <f>fulltime!G96</f>
        <v>29994.21</v>
      </c>
      <c r="E96" s="33">
        <f t="shared" si="16"/>
        <v>19996.14</v>
      </c>
      <c r="F96" s="33">
        <f t="shared" si="17"/>
        <v>98744.94</v>
      </c>
      <c r="G96" s="33" t="s">
        <v>309</v>
      </c>
      <c r="H96" s="33"/>
      <c r="I96" s="33">
        <f t="shared" ref="I96:I98" si="23">+F96</f>
        <v>98744.94</v>
      </c>
      <c r="J96" s="33"/>
    </row>
    <row r="97" spans="1:10" x14ac:dyDescent="0.25">
      <c r="A97">
        <f>fulltime!A97</f>
        <v>0</v>
      </c>
      <c r="B97" s="55">
        <f>fulltime!B97</f>
        <v>427</v>
      </c>
      <c r="C97" s="33">
        <f>fulltime!D97</f>
        <v>72009.600000000006</v>
      </c>
      <c r="D97" s="33">
        <f>fulltime!G97</f>
        <v>2025.27</v>
      </c>
      <c r="E97" s="33">
        <f t="shared" si="16"/>
        <v>1350.18</v>
      </c>
      <c r="F97" s="33">
        <f t="shared" si="17"/>
        <v>73359.78</v>
      </c>
      <c r="G97" s="33" t="s">
        <v>309</v>
      </c>
      <c r="H97" s="33"/>
      <c r="I97" s="33">
        <f t="shared" si="23"/>
        <v>73359.78</v>
      </c>
      <c r="J97" s="33"/>
    </row>
    <row r="98" spans="1:10" x14ac:dyDescent="0.25">
      <c r="A98">
        <f>fulltime!A98</f>
        <v>0</v>
      </c>
      <c r="B98" s="55">
        <f>fulltime!B98</f>
        <v>156</v>
      </c>
      <c r="C98" s="33">
        <f>fulltime!D98</f>
        <v>115377.60000000001</v>
      </c>
      <c r="D98" s="33">
        <f>fulltime!G98</f>
        <v>0</v>
      </c>
      <c r="E98" s="33">
        <f t="shared" si="16"/>
        <v>0</v>
      </c>
      <c r="F98" s="33">
        <f t="shared" si="17"/>
        <v>115377.60000000001</v>
      </c>
      <c r="G98" s="33" t="s">
        <v>309</v>
      </c>
      <c r="H98" s="33"/>
      <c r="I98" s="33">
        <f t="shared" si="23"/>
        <v>115377.60000000001</v>
      </c>
      <c r="J98" s="33"/>
    </row>
    <row r="99" spans="1:10" x14ac:dyDescent="0.25">
      <c r="A99">
        <f>fulltime!A99</f>
        <v>0</v>
      </c>
      <c r="B99" s="55">
        <f>fulltime!B99</f>
        <v>598</v>
      </c>
      <c r="C99" s="33">
        <f>fulltime!D99</f>
        <v>70054.399999999994</v>
      </c>
      <c r="D99" s="33">
        <f>fulltime!G99</f>
        <v>12983.64</v>
      </c>
      <c r="E99" s="33">
        <f t="shared" ref="E99:E130" si="24">ROUND(D99/1.5,4)</f>
        <v>8655.76</v>
      </c>
      <c r="F99" s="33">
        <f t="shared" ref="F99:F130" si="25">C99+E99</f>
        <v>78710.159999999989</v>
      </c>
      <c r="G99" s="33">
        <f>+F99</f>
        <v>78710.159999999989</v>
      </c>
      <c r="H99" s="33"/>
      <c r="I99" s="33" t="s">
        <v>309</v>
      </c>
      <c r="J99" s="33"/>
    </row>
    <row r="100" spans="1:10" x14ac:dyDescent="0.25">
      <c r="A100">
        <f>fulltime!A100</f>
        <v>0</v>
      </c>
      <c r="B100" s="55">
        <f>fulltime!B100</f>
        <v>617</v>
      </c>
      <c r="C100" s="33">
        <f>fulltime!D100</f>
        <v>55432</v>
      </c>
      <c r="D100" s="33">
        <f>fulltime!G100</f>
        <v>2078.6999999999998</v>
      </c>
      <c r="E100" s="33">
        <f t="shared" si="24"/>
        <v>1385.8</v>
      </c>
      <c r="F100" s="33">
        <f t="shared" si="25"/>
        <v>56817.8</v>
      </c>
      <c r="G100" s="33" t="s">
        <v>309</v>
      </c>
      <c r="H100" s="33"/>
      <c r="I100" s="33">
        <f>+F100</f>
        <v>56817.8</v>
      </c>
      <c r="J100" s="33"/>
    </row>
    <row r="101" spans="1:10" x14ac:dyDescent="0.25">
      <c r="A101">
        <f>fulltime!A101</f>
        <v>0</v>
      </c>
      <c r="B101" s="55">
        <f>fulltime!B101</f>
        <v>261</v>
      </c>
      <c r="C101" s="33">
        <f>fulltime!D101</f>
        <v>64292.800000000003</v>
      </c>
      <c r="D101" s="33">
        <f>fulltime!G101</f>
        <v>255.01</v>
      </c>
      <c r="E101" s="33">
        <f t="shared" si="24"/>
        <v>170.0067</v>
      </c>
      <c r="F101" s="33">
        <f t="shared" si="25"/>
        <v>64462.806700000001</v>
      </c>
      <c r="G101" s="33">
        <f t="shared" ref="G101:G102" si="26">+F101</f>
        <v>64462.806700000001</v>
      </c>
      <c r="H101" s="33"/>
      <c r="I101" s="33" t="s">
        <v>309</v>
      </c>
      <c r="J101" s="33"/>
    </row>
    <row r="102" spans="1:10" x14ac:dyDescent="0.25">
      <c r="A102">
        <f>fulltime!A102</f>
        <v>0</v>
      </c>
      <c r="B102" s="55">
        <f>fulltime!B102</f>
        <v>432</v>
      </c>
      <c r="C102" s="33">
        <f>fulltime!D102</f>
        <v>53913.599999999999</v>
      </c>
      <c r="D102" s="33">
        <f>fulltime!G102</f>
        <v>1075.42</v>
      </c>
      <c r="E102" s="33">
        <f t="shared" si="24"/>
        <v>716.94669999999996</v>
      </c>
      <c r="F102" s="33">
        <f t="shared" si="25"/>
        <v>54630.546699999999</v>
      </c>
      <c r="G102" s="33">
        <f t="shared" si="26"/>
        <v>54630.546699999999</v>
      </c>
      <c r="H102" s="33"/>
      <c r="I102" s="33" t="s">
        <v>309</v>
      </c>
      <c r="J102" s="33"/>
    </row>
    <row r="103" spans="1:10" x14ac:dyDescent="0.25">
      <c r="A103">
        <f>fulltime!A103</f>
        <v>0</v>
      </c>
      <c r="B103" s="55">
        <f>fulltime!B103</f>
        <v>491</v>
      </c>
      <c r="C103" s="33">
        <f>fulltime!D103</f>
        <v>67267.199999999997</v>
      </c>
      <c r="D103" s="33">
        <f>fulltime!G103</f>
        <v>13607.06</v>
      </c>
      <c r="E103" s="33">
        <f t="shared" si="24"/>
        <v>9071.3732999999993</v>
      </c>
      <c r="F103" s="33">
        <f t="shared" si="25"/>
        <v>76338.573299999989</v>
      </c>
      <c r="G103" s="33" t="s">
        <v>309</v>
      </c>
      <c r="H103" s="33"/>
      <c r="I103" s="33">
        <f t="shared" ref="I103:I112" si="27">+F103</f>
        <v>76338.573299999989</v>
      </c>
      <c r="J103" s="33"/>
    </row>
    <row r="104" spans="1:10" x14ac:dyDescent="0.25">
      <c r="A104">
        <f>fulltime!A104</f>
        <v>0</v>
      </c>
      <c r="B104" s="55">
        <f>fulltime!B104</f>
        <v>600</v>
      </c>
      <c r="C104" s="33">
        <f>fulltime!D104</f>
        <v>145516.79999999999</v>
      </c>
      <c r="D104" s="33">
        <f>fulltime!G104</f>
        <v>0</v>
      </c>
      <c r="E104" s="33">
        <f t="shared" si="24"/>
        <v>0</v>
      </c>
      <c r="F104" s="33">
        <f t="shared" si="25"/>
        <v>145516.79999999999</v>
      </c>
      <c r="G104" s="33" t="s">
        <v>309</v>
      </c>
      <c r="H104" s="33"/>
      <c r="I104" s="33">
        <f t="shared" si="27"/>
        <v>145516.79999999999</v>
      </c>
      <c r="J104" s="33"/>
    </row>
    <row r="105" spans="1:10" x14ac:dyDescent="0.25">
      <c r="A105">
        <f>fulltime!A105</f>
        <v>0</v>
      </c>
      <c r="B105" s="55">
        <f>fulltime!B105</f>
        <v>383</v>
      </c>
      <c r="C105" s="33">
        <f>fulltime!D105</f>
        <v>67142.399999999994</v>
      </c>
      <c r="D105" s="33">
        <f>fulltime!G105</f>
        <v>1452.6</v>
      </c>
      <c r="E105" s="33">
        <f t="shared" si="24"/>
        <v>968.4</v>
      </c>
      <c r="F105" s="33">
        <f t="shared" si="25"/>
        <v>68110.799999999988</v>
      </c>
      <c r="G105" s="33" t="s">
        <v>309</v>
      </c>
      <c r="H105" s="33"/>
      <c r="I105" s="33">
        <f t="shared" si="27"/>
        <v>68110.799999999988</v>
      </c>
      <c r="J105" s="33"/>
    </row>
    <row r="106" spans="1:10" x14ac:dyDescent="0.25">
      <c r="A106">
        <f>fulltime!A106</f>
        <v>0</v>
      </c>
      <c r="B106" s="55">
        <f>fulltime!B106</f>
        <v>445</v>
      </c>
      <c r="C106" s="33">
        <f>fulltime!D106</f>
        <v>75067.199999999997</v>
      </c>
      <c r="D106" s="33">
        <f>fulltime!G106</f>
        <v>6712.74</v>
      </c>
      <c r="E106" s="33">
        <f t="shared" si="24"/>
        <v>4475.16</v>
      </c>
      <c r="F106" s="33">
        <f t="shared" si="25"/>
        <v>79542.36</v>
      </c>
      <c r="G106" s="33" t="s">
        <v>309</v>
      </c>
      <c r="H106" s="33"/>
      <c r="I106" s="33">
        <f t="shared" si="27"/>
        <v>79542.36</v>
      </c>
      <c r="J106" s="33"/>
    </row>
    <row r="107" spans="1:10" x14ac:dyDescent="0.25">
      <c r="A107">
        <f>fulltime!A107</f>
        <v>0</v>
      </c>
      <c r="B107" s="55">
        <f>fulltime!B107</f>
        <v>684</v>
      </c>
      <c r="C107" s="33">
        <f>fulltime!D107</f>
        <v>55286.400000000001</v>
      </c>
      <c r="D107" s="33">
        <f>fulltime!G107</f>
        <v>159.47999999999999</v>
      </c>
      <c r="E107" s="33">
        <f t="shared" si="24"/>
        <v>106.32</v>
      </c>
      <c r="F107" s="33">
        <f t="shared" si="25"/>
        <v>55392.72</v>
      </c>
      <c r="G107" s="33" t="s">
        <v>309</v>
      </c>
      <c r="H107" s="33"/>
      <c r="I107" s="33">
        <f t="shared" si="27"/>
        <v>55392.72</v>
      </c>
      <c r="J107" s="33"/>
    </row>
    <row r="108" spans="1:10" x14ac:dyDescent="0.25">
      <c r="A108">
        <f>fulltime!A108</f>
        <v>0</v>
      </c>
      <c r="B108" s="55">
        <f>fulltime!B108</f>
        <v>640</v>
      </c>
      <c r="C108" s="33">
        <f>fulltime!D108</f>
        <v>70054.399999999994</v>
      </c>
      <c r="D108" s="33">
        <f>fulltime!G108</f>
        <v>21016.32</v>
      </c>
      <c r="E108" s="33">
        <f t="shared" si="24"/>
        <v>14010.88</v>
      </c>
      <c r="F108" s="33">
        <f t="shared" si="25"/>
        <v>84065.279999999999</v>
      </c>
      <c r="G108" s="33" t="s">
        <v>309</v>
      </c>
      <c r="H108" s="33"/>
      <c r="I108" s="33">
        <f t="shared" si="27"/>
        <v>84065.279999999999</v>
      </c>
      <c r="J108" s="33"/>
    </row>
    <row r="109" spans="1:10" x14ac:dyDescent="0.25">
      <c r="A109">
        <f>fulltime!A109</f>
        <v>0</v>
      </c>
      <c r="B109" s="55">
        <f>fulltime!B109</f>
        <v>185</v>
      </c>
      <c r="C109" s="33">
        <f>fulltime!D109</f>
        <v>102419.2</v>
      </c>
      <c r="D109" s="33">
        <f>fulltime!G109</f>
        <v>0</v>
      </c>
      <c r="E109" s="33">
        <f t="shared" si="24"/>
        <v>0</v>
      </c>
      <c r="F109" s="33">
        <f t="shared" si="25"/>
        <v>102419.2</v>
      </c>
      <c r="G109" s="33" t="s">
        <v>309</v>
      </c>
      <c r="H109" s="33"/>
      <c r="I109" s="33">
        <f t="shared" si="27"/>
        <v>102419.2</v>
      </c>
      <c r="J109" s="33"/>
    </row>
    <row r="110" spans="1:10" x14ac:dyDescent="0.25">
      <c r="A110">
        <f>fulltime!A110</f>
        <v>0</v>
      </c>
      <c r="B110" s="55">
        <f>fulltime!B110</f>
        <v>409</v>
      </c>
      <c r="C110" s="33">
        <f>fulltime!D110</f>
        <v>49940.800000000003</v>
      </c>
      <c r="D110" s="33">
        <f>fulltime!G110</f>
        <v>864.36</v>
      </c>
      <c r="E110" s="33">
        <f t="shared" si="24"/>
        <v>576.24</v>
      </c>
      <c r="F110" s="33">
        <f t="shared" si="25"/>
        <v>50517.04</v>
      </c>
      <c r="G110" s="33" t="s">
        <v>309</v>
      </c>
      <c r="H110" s="33"/>
      <c r="I110" s="33">
        <f t="shared" si="27"/>
        <v>50517.04</v>
      </c>
      <c r="J110" s="33"/>
    </row>
    <row r="111" spans="1:10" x14ac:dyDescent="0.25">
      <c r="A111">
        <f>fulltime!A111</f>
        <v>0</v>
      </c>
      <c r="B111" s="55">
        <f>fulltime!B111</f>
        <v>328</v>
      </c>
      <c r="C111" s="33">
        <f>fulltime!D111</f>
        <v>55556.800000000003</v>
      </c>
      <c r="D111" s="33">
        <f>fulltime!G111</f>
        <v>7818.68</v>
      </c>
      <c r="E111" s="33">
        <f t="shared" si="24"/>
        <v>5212.4533000000001</v>
      </c>
      <c r="F111" s="33">
        <f t="shared" si="25"/>
        <v>60769.253300000004</v>
      </c>
      <c r="G111" s="33" t="s">
        <v>309</v>
      </c>
      <c r="H111" s="33"/>
      <c r="I111" s="33">
        <f t="shared" si="27"/>
        <v>60769.253300000004</v>
      </c>
      <c r="J111" s="33"/>
    </row>
    <row r="112" spans="1:10" x14ac:dyDescent="0.25">
      <c r="A112">
        <f>fulltime!A112</f>
        <v>0</v>
      </c>
      <c r="B112" s="55">
        <f>fulltime!B112</f>
        <v>281</v>
      </c>
      <c r="C112" s="33">
        <f>fulltime!D112</f>
        <v>77604.800000000003</v>
      </c>
      <c r="D112" s="33">
        <f>fulltime!G112</f>
        <v>27364.65</v>
      </c>
      <c r="E112" s="33">
        <f t="shared" si="24"/>
        <v>18243.099999999999</v>
      </c>
      <c r="F112" s="33">
        <f t="shared" si="25"/>
        <v>95847.9</v>
      </c>
      <c r="G112" s="33" t="s">
        <v>309</v>
      </c>
      <c r="H112" s="33"/>
      <c r="I112" s="33">
        <f t="shared" si="27"/>
        <v>95847.9</v>
      </c>
      <c r="J112" s="33"/>
    </row>
    <row r="113" spans="1:10" x14ac:dyDescent="0.25">
      <c r="A113">
        <f>fulltime!A113</f>
        <v>0</v>
      </c>
      <c r="B113" s="55">
        <f>fulltime!B113</f>
        <v>473</v>
      </c>
      <c r="C113" s="33">
        <f>fulltime!D113</f>
        <v>59446.400000000001</v>
      </c>
      <c r="D113" s="33">
        <f>fulltime!G113</f>
        <v>889.55</v>
      </c>
      <c r="E113" s="33">
        <f t="shared" si="24"/>
        <v>593.03330000000005</v>
      </c>
      <c r="F113" s="33">
        <f t="shared" si="25"/>
        <v>60039.433300000004</v>
      </c>
      <c r="G113" s="33">
        <f>+F113</f>
        <v>60039.433300000004</v>
      </c>
      <c r="H113" s="33"/>
      <c r="I113" s="33" t="s">
        <v>309</v>
      </c>
      <c r="J113" s="33"/>
    </row>
    <row r="114" spans="1:10" x14ac:dyDescent="0.25">
      <c r="A114">
        <f>fulltime!A114</f>
        <v>0</v>
      </c>
      <c r="B114" s="55">
        <f>fulltime!B114</f>
        <v>319</v>
      </c>
      <c r="C114" s="33">
        <f>fulltime!D114</f>
        <v>95243.199999999997</v>
      </c>
      <c r="D114" s="33">
        <f>fulltime!G114</f>
        <v>0</v>
      </c>
      <c r="E114" s="33">
        <f t="shared" si="24"/>
        <v>0</v>
      </c>
      <c r="F114" s="33">
        <f t="shared" si="25"/>
        <v>95243.199999999997</v>
      </c>
      <c r="G114" s="33" t="s">
        <v>309</v>
      </c>
      <c r="H114" s="33"/>
      <c r="I114" s="33">
        <f t="shared" ref="I114:I117" si="28">+F114</f>
        <v>95243.199999999997</v>
      </c>
      <c r="J114" s="33"/>
    </row>
    <row r="115" spans="1:10" x14ac:dyDescent="0.25">
      <c r="A115">
        <f>fulltime!A115</f>
        <v>0</v>
      </c>
      <c r="B115" s="55">
        <f>fulltime!B115</f>
        <v>246</v>
      </c>
      <c r="C115" s="33">
        <f>fulltime!D115</f>
        <v>49878.400000000001</v>
      </c>
      <c r="D115" s="33">
        <f>fulltime!G115</f>
        <v>449.63</v>
      </c>
      <c r="E115" s="33">
        <f t="shared" si="24"/>
        <v>299.75330000000002</v>
      </c>
      <c r="F115" s="33">
        <f t="shared" si="25"/>
        <v>50178.153299999998</v>
      </c>
      <c r="G115" s="33" t="s">
        <v>309</v>
      </c>
      <c r="H115" s="33"/>
      <c r="I115" s="33">
        <f t="shared" si="28"/>
        <v>50178.153299999998</v>
      </c>
      <c r="J115" s="33"/>
    </row>
    <row r="116" spans="1:10" x14ac:dyDescent="0.25">
      <c r="A116">
        <f>fulltime!A116</f>
        <v>0</v>
      </c>
      <c r="B116" s="55">
        <f>fulltime!B116</f>
        <v>496</v>
      </c>
      <c r="C116" s="33">
        <f>fulltime!D116</f>
        <v>75504</v>
      </c>
      <c r="D116" s="33">
        <f>fulltime!G116</f>
        <v>15273.23</v>
      </c>
      <c r="E116" s="33">
        <f t="shared" si="24"/>
        <v>10182.1533</v>
      </c>
      <c r="F116" s="33">
        <f t="shared" si="25"/>
        <v>85686.153300000005</v>
      </c>
      <c r="G116" s="33" t="s">
        <v>309</v>
      </c>
      <c r="H116" s="33"/>
      <c r="I116" s="33">
        <f t="shared" si="28"/>
        <v>85686.153300000005</v>
      </c>
      <c r="J116" s="33"/>
    </row>
    <row r="117" spans="1:10" x14ac:dyDescent="0.25">
      <c r="A117">
        <f>fulltime!A117</f>
        <v>0</v>
      </c>
      <c r="B117" s="55">
        <f>fulltime!B117</f>
        <v>396</v>
      </c>
      <c r="C117" s="33">
        <f>fulltime!D117</f>
        <v>66414.399999999994</v>
      </c>
      <c r="D117" s="33">
        <f>fulltime!G117</f>
        <v>8872.5499999999993</v>
      </c>
      <c r="E117" s="33">
        <f t="shared" si="24"/>
        <v>5915.0333000000001</v>
      </c>
      <c r="F117" s="33">
        <f t="shared" si="25"/>
        <v>72329.43329999999</v>
      </c>
      <c r="G117" s="33" t="s">
        <v>309</v>
      </c>
      <c r="H117" s="33"/>
      <c r="I117" s="33">
        <f t="shared" si="28"/>
        <v>72329.43329999999</v>
      </c>
      <c r="J117" s="33"/>
    </row>
    <row r="118" spans="1:10" x14ac:dyDescent="0.25">
      <c r="A118">
        <f>fulltime!A118</f>
        <v>0</v>
      </c>
      <c r="B118" s="55">
        <f>fulltime!B118</f>
        <v>352</v>
      </c>
      <c r="C118" s="33">
        <f>fulltime!D118</f>
        <v>53456</v>
      </c>
      <c r="D118" s="33">
        <f>fulltime!G118</f>
        <v>0</v>
      </c>
      <c r="E118" s="33">
        <f t="shared" si="24"/>
        <v>0</v>
      </c>
      <c r="F118" s="33">
        <f t="shared" si="25"/>
        <v>53456</v>
      </c>
      <c r="G118" s="33">
        <f>+F118</f>
        <v>53456</v>
      </c>
      <c r="H118" s="33"/>
      <c r="I118" s="33" t="s">
        <v>309</v>
      </c>
      <c r="J118" s="33"/>
    </row>
    <row r="119" spans="1:10" x14ac:dyDescent="0.25">
      <c r="A119">
        <f>fulltime!A119</f>
        <v>0</v>
      </c>
      <c r="B119" s="55">
        <f>fulltime!B119</f>
        <v>498</v>
      </c>
      <c r="C119" s="33">
        <f>fulltime!D119</f>
        <v>66414.399999999994</v>
      </c>
      <c r="D119" s="33">
        <f>fulltime!G119</f>
        <v>10896.11</v>
      </c>
      <c r="E119" s="33">
        <f t="shared" si="24"/>
        <v>7264.0733</v>
      </c>
      <c r="F119" s="33">
        <f t="shared" si="25"/>
        <v>73678.473299999998</v>
      </c>
      <c r="G119" s="33" t="s">
        <v>309</v>
      </c>
      <c r="H119" s="33"/>
      <c r="I119" s="33">
        <f t="shared" ref="I119:I121" si="29">+F119</f>
        <v>73678.473299999998</v>
      </c>
      <c r="J119" s="33"/>
    </row>
    <row r="120" spans="1:10" x14ac:dyDescent="0.25">
      <c r="A120">
        <f>fulltime!A120</f>
        <v>0</v>
      </c>
      <c r="B120" s="55">
        <f>fulltime!B120</f>
        <v>180</v>
      </c>
      <c r="C120" s="33">
        <f>fulltime!D120</f>
        <v>67537.600000000006</v>
      </c>
      <c r="D120" s="33">
        <f>fulltime!G120</f>
        <v>0</v>
      </c>
      <c r="E120" s="33">
        <f t="shared" si="24"/>
        <v>0</v>
      </c>
      <c r="F120" s="33">
        <f t="shared" si="25"/>
        <v>67537.600000000006</v>
      </c>
      <c r="G120" s="33" t="s">
        <v>309</v>
      </c>
      <c r="H120" s="33"/>
      <c r="I120" s="33">
        <f t="shared" si="29"/>
        <v>67537.600000000006</v>
      </c>
      <c r="J120" s="33"/>
    </row>
    <row r="121" spans="1:10" x14ac:dyDescent="0.25">
      <c r="A121">
        <f>fulltime!A121</f>
        <v>0</v>
      </c>
      <c r="B121" s="55">
        <f>fulltime!B121</f>
        <v>422</v>
      </c>
      <c r="C121" s="33">
        <f>fulltime!D121</f>
        <v>54974.400000000001</v>
      </c>
      <c r="D121" s="33">
        <f>fulltime!G121</f>
        <v>8246.16</v>
      </c>
      <c r="E121" s="33">
        <f t="shared" si="24"/>
        <v>5497.44</v>
      </c>
      <c r="F121" s="33">
        <f t="shared" si="25"/>
        <v>60471.840000000004</v>
      </c>
      <c r="G121" s="33" t="s">
        <v>309</v>
      </c>
      <c r="H121" s="33"/>
      <c r="I121" s="33">
        <f t="shared" si="29"/>
        <v>60471.840000000004</v>
      </c>
      <c r="J121" s="33"/>
    </row>
    <row r="122" spans="1:10" x14ac:dyDescent="0.25">
      <c r="A122">
        <f>fulltime!A122</f>
        <v>0</v>
      </c>
      <c r="B122" s="55">
        <f>fulltime!B122</f>
        <v>657</v>
      </c>
      <c r="C122" s="33">
        <f>fulltime!D122</f>
        <v>122512</v>
      </c>
      <c r="D122" s="33">
        <f>fulltime!G122</f>
        <v>0</v>
      </c>
      <c r="E122" s="33">
        <f t="shared" si="24"/>
        <v>0</v>
      </c>
      <c r="F122" s="33">
        <f t="shared" si="25"/>
        <v>122512</v>
      </c>
      <c r="G122" s="33">
        <f>+F122</f>
        <v>122512</v>
      </c>
      <c r="H122" s="33"/>
      <c r="I122" s="33" t="s">
        <v>309</v>
      </c>
      <c r="J122" s="33"/>
    </row>
    <row r="123" spans="1:10" x14ac:dyDescent="0.25">
      <c r="A123">
        <f>fulltime!A123</f>
        <v>0</v>
      </c>
      <c r="B123" s="55">
        <f>fulltime!B123</f>
        <v>318</v>
      </c>
      <c r="C123" s="33">
        <f>fulltime!D123</f>
        <v>77230.399999999994</v>
      </c>
      <c r="D123" s="33">
        <f>fulltime!G123</f>
        <v>13088.33</v>
      </c>
      <c r="E123" s="33">
        <f t="shared" si="24"/>
        <v>8725.5532999999996</v>
      </c>
      <c r="F123" s="33">
        <f t="shared" si="25"/>
        <v>85955.953299999994</v>
      </c>
      <c r="G123" s="33" t="s">
        <v>309</v>
      </c>
      <c r="H123" s="33"/>
      <c r="I123" s="33">
        <f t="shared" ref="I123:I124" si="30">+F123</f>
        <v>85955.953299999994</v>
      </c>
      <c r="J123" s="33"/>
    </row>
    <row r="124" spans="1:10" x14ac:dyDescent="0.25">
      <c r="A124">
        <f>fulltime!A124</f>
        <v>0</v>
      </c>
      <c r="B124" s="55">
        <f>fulltime!B124</f>
        <v>417</v>
      </c>
      <c r="C124" s="33">
        <f>fulltime!D124</f>
        <v>65936</v>
      </c>
      <c r="D124" s="33">
        <f>fulltime!G124</f>
        <v>630.04</v>
      </c>
      <c r="E124" s="33">
        <f t="shared" si="24"/>
        <v>420.02670000000001</v>
      </c>
      <c r="F124" s="33">
        <f t="shared" si="25"/>
        <v>66356.026700000002</v>
      </c>
      <c r="G124" s="33" t="s">
        <v>309</v>
      </c>
      <c r="H124" s="33"/>
      <c r="I124" s="33">
        <f t="shared" si="30"/>
        <v>66356.026700000002</v>
      </c>
      <c r="J124" s="33"/>
    </row>
    <row r="125" spans="1:10" x14ac:dyDescent="0.25">
      <c r="A125">
        <f>fulltime!A125</f>
        <v>0</v>
      </c>
      <c r="B125" s="55">
        <f>fulltime!B125</f>
        <v>656</v>
      </c>
      <c r="C125" s="33">
        <f>fulltime!D125</f>
        <v>274996.8</v>
      </c>
      <c r="D125" s="33">
        <f>fulltime!G125</f>
        <v>0</v>
      </c>
      <c r="E125" s="33">
        <f t="shared" si="24"/>
        <v>0</v>
      </c>
      <c r="F125" s="33">
        <f t="shared" si="25"/>
        <v>274996.8</v>
      </c>
      <c r="G125" s="33">
        <f>+F125</f>
        <v>274996.8</v>
      </c>
      <c r="H125" s="33"/>
      <c r="I125" s="33" t="s">
        <v>309</v>
      </c>
      <c r="J125" s="33"/>
    </row>
    <row r="126" spans="1:10" x14ac:dyDescent="0.25">
      <c r="A126">
        <f>fulltime!A126</f>
        <v>0</v>
      </c>
      <c r="B126" s="55">
        <f>fulltime!B126</f>
        <v>388</v>
      </c>
      <c r="C126" s="33">
        <f>fulltime!D126</f>
        <v>55432</v>
      </c>
      <c r="D126" s="33">
        <f>fulltime!G126</f>
        <v>2238.6</v>
      </c>
      <c r="E126" s="33">
        <f t="shared" si="24"/>
        <v>1492.4</v>
      </c>
      <c r="F126" s="33">
        <f t="shared" si="25"/>
        <v>56924.4</v>
      </c>
      <c r="G126" s="33" t="s">
        <v>309</v>
      </c>
      <c r="H126" s="33"/>
      <c r="I126" s="33">
        <f t="shared" ref="I126:I127" si="31">+F126</f>
        <v>56924.4</v>
      </c>
      <c r="J126" s="33"/>
    </row>
    <row r="127" spans="1:10" x14ac:dyDescent="0.25">
      <c r="A127">
        <f>fulltime!A127</f>
        <v>0</v>
      </c>
      <c r="B127" s="55">
        <f>fulltime!B127</f>
        <v>337</v>
      </c>
      <c r="C127" s="33">
        <f>fulltime!D127</f>
        <v>66414.399999999994</v>
      </c>
      <c r="D127" s="33">
        <f>fulltime!G127</f>
        <v>15841.27</v>
      </c>
      <c r="E127" s="33">
        <f t="shared" si="24"/>
        <v>10560.8467</v>
      </c>
      <c r="F127" s="33">
        <f t="shared" si="25"/>
        <v>76975.246699999989</v>
      </c>
      <c r="G127" s="33" t="s">
        <v>309</v>
      </c>
      <c r="H127" s="33"/>
      <c r="I127" s="33">
        <f t="shared" si="31"/>
        <v>76975.246699999989</v>
      </c>
      <c r="J127" s="33"/>
    </row>
    <row r="128" spans="1:10" x14ac:dyDescent="0.25">
      <c r="A128">
        <f>fulltime!A128</f>
        <v>0</v>
      </c>
      <c r="B128" s="55">
        <f>fulltime!B128</f>
        <v>665</v>
      </c>
      <c r="C128" s="33">
        <f>fulltime!D128</f>
        <v>54662.400000000001</v>
      </c>
      <c r="D128" s="33">
        <f>fulltime!G128</f>
        <v>19680.439999999999</v>
      </c>
      <c r="E128" s="33">
        <f t="shared" si="24"/>
        <v>13120.293299999999</v>
      </c>
      <c r="F128" s="33">
        <f t="shared" si="25"/>
        <v>67782.693299999999</v>
      </c>
      <c r="G128" s="33">
        <f>+F128</f>
        <v>67782.693299999999</v>
      </c>
      <c r="H128" s="33"/>
      <c r="I128" s="33" t="s">
        <v>309</v>
      </c>
      <c r="J128" s="33"/>
    </row>
    <row r="129" spans="1:10" x14ac:dyDescent="0.25">
      <c r="A129">
        <f>fulltime!A129</f>
        <v>0</v>
      </c>
      <c r="B129" s="55">
        <f>fulltime!B129</f>
        <v>677</v>
      </c>
      <c r="C129" s="33">
        <f>fulltime!D129</f>
        <v>40393.599999999999</v>
      </c>
      <c r="D129" s="33">
        <f>fulltime!G129</f>
        <v>699.12</v>
      </c>
      <c r="E129" s="33">
        <f t="shared" si="24"/>
        <v>466.08</v>
      </c>
      <c r="F129" s="33">
        <f t="shared" si="25"/>
        <v>40859.68</v>
      </c>
      <c r="G129" s="33" t="s">
        <v>309</v>
      </c>
      <c r="H129" s="33"/>
      <c r="I129" s="33">
        <f t="shared" ref="I129:I132" si="32">+F129</f>
        <v>40859.68</v>
      </c>
      <c r="J129" s="33"/>
    </row>
    <row r="130" spans="1:10" x14ac:dyDescent="0.25">
      <c r="A130">
        <f>fulltime!A130</f>
        <v>0</v>
      </c>
      <c r="B130" s="55">
        <f>fulltime!B130</f>
        <v>216</v>
      </c>
      <c r="C130" s="33">
        <f>fulltime!D130</f>
        <v>149094.39999999999</v>
      </c>
      <c r="D130" s="33">
        <f>fulltime!G130</f>
        <v>0</v>
      </c>
      <c r="E130" s="33">
        <f t="shared" si="24"/>
        <v>0</v>
      </c>
      <c r="F130" s="33">
        <f t="shared" si="25"/>
        <v>149094.39999999999</v>
      </c>
      <c r="G130" s="33" t="s">
        <v>309</v>
      </c>
      <c r="H130" s="33"/>
      <c r="I130" s="33">
        <f t="shared" si="32"/>
        <v>149094.39999999999</v>
      </c>
      <c r="J130" s="33"/>
    </row>
    <row r="131" spans="1:10" x14ac:dyDescent="0.25">
      <c r="A131">
        <f>fulltime!A131</f>
        <v>0</v>
      </c>
      <c r="B131" s="55">
        <f>fulltime!B131</f>
        <v>618</v>
      </c>
      <c r="C131" s="33">
        <f>fulltime!D131</f>
        <v>108014.39999999999</v>
      </c>
      <c r="D131" s="33">
        <f>fulltime!G131</f>
        <v>0</v>
      </c>
      <c r="E131" s="33">
        <f t="shared" ref="E131:E148" si="33">ROUND(D131/1.5,4)</f>
        <v>0</v>
      </c>
      <c r="F131" s="33">
        <f t="shared" ref="F131:F148" si="34">C131+E131</f>
        <v>108014.39999999999</v>
      </c>
      <c r="G131" s="33" t="s">
        <v>309</v>
      </c>
      <c r="H131" s="33"/>
      <c r="I131" s="33">
        <f t="shared" si="32"/>
        <v>108014.39999999999</v>
      </c>
      <c r="J131" s="33"/>
    </row>
    <row r="132" spans="1:10" x14ac:dyDescent="0.25">
      <c r="A132">
        <f>fulltime!A132</f>
        <v>0</v>
      </c>
      <c r="B132" s="55">
        <f>fulltime!B132</f>
        <v>659</v>
      </c>
      <c r="C132" s="33">
        <f>fulltime!D132</f>
        <v>43700.800000000003</v>
      </c>
      <c r="D132" s="33">
        <f>fulltime!G132</f>
        <v>9336.32</v>
      </c>
      <c r="E132" s="33">
        <f t="shared" si="33"/>
        <v>6224.2133000000003</v>
      </c>
      <c r="F132" s="33">
        <f t="shared" si="34"/>
        <v>49925.013300000006</v>
      </c>
      <c r="G132" s="33" t="s">
        <v>309</v>
      </c>
      <c r="H132" s="33"/>
      <c r="I132" s="33">
        <f t="shared" si="32"/>
        <v>49925.013300000006</v>
      </c>
      <c r="J132" s="33"/>
    </row>
    <row r="133" spans="1:10" x14ac:dyDescent="0.25">
      <c r="A133">
        <f>fulltime!A133</f>
        <v>0</v>
      </c>
      <c r="B133" s="55">
        <f>fulltime!B133</f>
        <v>259</v>
      </c>
      <c r="C133" s="33">
        <f>fulltime!D133</f>
        <v>76169.600000000006</v>
      </c>
      <c r="D133" s="33">
        <f>fulltime!G133</f>
        <v>1675.37</v>
      </c>
      <c r="E133" s="33">
        <f t="shared" si="33"/>
        <v>1116.9132999999999</v>
      </c>
      <c r="F133" s="33">
        <f t="shared" si="34"/>
        <v>77286.513300000006</v>
      </c>
      <c r="G133" s="33">
        <f>+F133</f>
        <v>77286.513300000006</v>
      </c>
      <c r="H133" s="33"/>
      <c r="I133" s="33" t="s">
        <v>309</v>
      </c>
      <c r="J133" s="33"/>
    </row>
    <row r="134" spans="1:10" x14ac:dyDescent="0.25">
      <c r="A134">
        <f>fulltime!A134</f>
        <v>0</v>
      </c>
      <c r="B134" s="55">
        <f>fulltime!B134</f>
        <v>661</v>
      </c>
      <c r="C134" s="33">
        <f>fulltime!D134</f>
        <v>66393.600000000006</v>
      </c>
      <c r="D134" s="33">
        <f>fulltime!G134</f>
        <v>17883.18</v>
      </c>
      <c r="E134" s="33">
        <f t="shared" si="33"/>
        <v>11922.12</v>
      </c>
      <c r="F134" s="33">
        <f t="shared" si="34"/>
        <v>78315.72</v>
      </c>
      <c r="G134" s="33" t="s">
        <v>309</v>
      </c>
      <c r="H134" s="33"/>
      <c r="I134" s="33">
        <f t="shared" ref="I134:I136" si="35">+F134</f>
        <v>78315.72</v>
      </c>
      <c r="J134" s="33"/>
    </row>
    <row r="135" spans="1:10" x14ac:dyDescent="0.25">
      <c r="A135">
        <f>fulltime!A135</f>
        <v>0</v>
      </c>
      <c r="B135" s="55">
        <f>fulltime!B135</f>
        <v>218</v>
      </c>
      <c r="C135" s="33">
        <f>fulltime!D135</f>
        <v>81140.800000000003</v>
      </c>
      <c r="D135" s="33">
        <f>fulltime!G135</f>
        <v>14658.01</v>
      </c>
      <c r="E135" s="33">
        <f t="shared" si="33"/>
        <v>9772.0066999999999</v>
      </c>
      <c r="F135" s="33">
        <f t="shared" si="34"/>
        <v>90912.806700000001</v>
      </c>
      <c r="G135" s="33" t="s">
        <v>309</v>
      </c>
      <c r="H135" s="33"/>
      <c r="I135" s="33">
        <f t="shared" si="35"/>
        <v>90912.806700000001</v>
      </c>
      <c r="J135" s="33"/>
    </row>
    <row r="136" spans="1:10" x14ac:dyDescent="0.25">
      <c r="A136">
        <f>fulltime!A136</f>
        <v>0</v>
      </c>
      <c r="B136" s="55">
        <f>fulltime!B136</f>
        <v>509</v>
      </c>
      <c r="C136" s="33">
        <f>fulltime!D136</f>
        <v>66414.399999999994</v>
      </c>
      <c r="D136" s="33">
        <f>fulltime!G136</f>
        <v>15218.64</v>
      </c>
      <c r="E136" s="33">
        <f t="shared" si="33"/>
        <v>10145.76</v>
      </c>
      <c r="F136" s="33">
        <f t="shared" si="34"/>
        <v>76560.159999999989</v>
      </c>
      <c r="G136" s="33" t="s">
        <v>309</v>
      </c>
      <c r="H136" s="33"/>
      <c r="I136" s="33">
        <f t="shared" si="35"/>
        <v>76560.159999999989</v>
      </c>
      <c r="J136" s="33"/>
    </row>
    <row r="137" spans="1:10" x14ac:dyDescent="0.25">
      <c r="A137">
        <f>fulltime!A137</f>
        <v>0</v>
      </c>
      <c r="B137" s="55">
        <f>fulltime!B137</f>
        <v>178</v>
      </c>
      <c r="C137" s="33">
        <f>fulltime!D137</f>
        <v>148803.20000000001</v>
      </c>
      <c r="D137" s="33">
        <f>fulltime!G137</f>
        <v>0</v>
      </c>
      <c r="E137" s="33">
        <f t="shared" si="33"/>
        <v>0</v>
      </c>
      <c r="F137" s="33">
        <f t="shared" si="34"/>
        <v>148803.20000000001</v>
      </c>
      <c r="G137" s="33">
        <f>+F137</f>
        <v>148803.20000000001</v>
      </c>
      <c r="H137" s="33"/>
      <c r="I137" s="33" t="s">
        <v>309</v>
      </c>
      <c r="J137" s="33"/>
    </row>
    <row r="138" spans="1:10" x14ac:dyDescent="0.25">
      <c r="A138">
        <f>fulltime!A138</f>
        <v>0</v>
      </c>
      <c r="B138" s="55">
        <f>fulltime!B138</f>
        <v>421</v>
      </c>
      <c r="C138" s="33">
        <f>fulltime!D138</f>
        <v>67704</v>
      </c>
      <c r="D138" s="33">
        <f>fulltime!G138</f>
        <v>0</v>
      </c>
      <c r="E138" s="33">
        <f t="shared" si="33"/>
        <v>0</v>
      </c>
      <c r="F138" s="33">
        <f t="shared" si="34"/>
        <v>67704</v>
      </c>
      <c r="G138" s="33" t="s">
        <v>309</v>
      </c>
      <c r="H138" s="33"/>
      <c r="I138" s="33">
        <f>+F138</f>
        <v>67704</v>
      </c>
      <c r="J138" s="33"/>
    </row>
    <row r="139" spans="1:10" x14ac:dyDescent="0.25">
      <c r="A139">
        <f>fulltime!A139</f>
        <v>0</v>
      </c>
      <c r="B139" s="55">
        <f>fulltime!B139</f>
        <v>612</v>
      </c>
      <c r="C139" s="33">
        <f>fulltime!D139</f>
        <v>69160</v>
      </c>
      <c r="D139" s="33">
        <f>fulltime!G139</f>
        <v>0</v>
      </c>
      <c r="E139" s="33">
        <f t="shared" si="33"/>
        <v>0</v>
      </c>
      <c r="F139" s="33">
        <f t="shared" si="34"/>
        <v>69160</v>
      </c>
      <c r="G139" s="33">
        <f t="shared" ref="G139:G141" si="36">+F139</f>
        <v>69160</v>
      </c>
      <c r="H139" s="33"/>
      <c r="I139" s="33" t="s">
        <v>309</v>
      </c>
      <c r="J139" s="33"/>
    </row>
    <row r="140" spans="1:10" x14ac:dyDescent="0.25">
      <c r="A140">
        <f>fulltime!A140</f>
        <v>0</v>
      </c>
      <c r="B140" s="55">
        <f>fulltime!B140</f>
        <v>642</v>
      </c>
      <c r="C140" s="33">
        <f>fulltime!D140</f>
        <v>43388.800000000003</v>
      </c>
      <c r="D140" s="33">
        <f>fulltime!G140</f>
        <v>602.33000000000004</v>
      </c>
      <c r="E140" s="33">
        <f t="shared" si="33"/>
        <v>401.55329999999998</v>
      </c>
      <c r="F140" s="33">
        <f t="shared" si="34"/>
        <v>43790.353300000002</v>
      </c>
      <c r="G140" s="33">
        <f t="shared" si="36"/>
        <v>43790.353300000002</v>
      </c>
      <c r="H140" s="33"/>
      <c r="I140" s="33" t="s">
        <v>309</v>
      </c>
      <c r="J140" s="33"/>
    </row>
    <row r="141" spans="1:10" x14ac:dyDescent="0.25">
      <c r="A141">
        <f>fulltime!A141</f>
        <v>0</v>
      </c>
      <c r="B141" s="55">
        <f>fulltime!B141</f>
        <v>120</v>
      </c>
      <c r="C141" s="33">
        <f>fulltime!D141</f>
        <v>54412.800000000003</v>
      </c>
      <c r="D141" s="33">
        <f>fulltime!G141</f>
        <v>578.01</v>
      </c>
      <c r="E141" s="33">
        <f t="shared" si="33"/>
        <v>385.34</v>
      </c>
      <c r="F141" s="33">
        <f t="shared" si="34"/>
        <v>54798.14</v>
      </c>
      <c r="G141" s="33">
        <f t="shared" si="36"/>
        <v>54798.14</v>
      </c>
      <c r="H141" s="33"/>
      <c r="I141" s="33" t="s">
        <v>309</v>
      </c>
      <c r="J141" s="33"/>
    </row>
    <row r="142" spans="1:10" x14ac:dyDescent="0.25">
      <c r="A142">
        <f>fulltime!A142</f>
        <v>0</v>
      </c>
      <c r="B142" s="55">
        <f>fulltime!B142</f>
        <v>663</v>
      </c>
      <c r="C142" s="33">
        <f>fulltime!D142</f>
        <v>43700.800000000003</v>
      </c>
      <c r="D142" s="33">
        <f>fulltime!G142</f>
        <v>13283.57</v>
      </c>
      <c r="E142" s="33">
        <f t="shared" si="33"/>
        <v>8855.7132999999994</v>
      </c>
      <c r="F142" s="33">
        <f t="shared" si="34"/>
        <v>52556.513300000006</v>
      </c>
      <c r="G142" s="33" t="s">
        <v>309</v>
      </c>
      <c r="H142" s="33"/>
      <c r="I142" s="33">
        <f>+F142</f>
        <v>52556.513300000006</v>
      </c>
      <c r="J142" s="33"/>
    </row>
    <row r="143" spans="1:10" x14ac:dyDescent="0.25">
      <c r="A143">
        <f>fulltime!A143</f>
        <v>0</v>
      </c>
      <c r="B143" s="55">
        <f>fulltime!B143</f>
        <v>379</v>
      </c>
      <c r="C143" s="33">
        <f>fulltime!D143</f>
        <v>58156.800000000003</v>
      </c>
      <c r="D143" s="33">
        <f>fulltime!G143</f>
        <v>2159.91</v>
      </c>
      <c r="E143" s="33">
        <f t="shared" si="33"/>
        <v>1439.94</v>
      </c>
      <c r="F143" s="33">
        <f t="shared" si="34"/>
        <v>59596.740000000005</v>
      </c>
      <c r="G143" s="33">
        <f t="shared" ref="G143:G144" si="37">+F143</f>
        <v>59596.740000000005</v>
      </c>
      <c r="H143" s="33"/>
      <c r="I143" s="33" t="s">
        <v>309</v>
      </c>
      <c r="J143" s="33"/>
    </row>
    <row r="144" spans="1:10" x14ac:dyDescent="0.25">
      <c r="A144">
        <f>fulltime!A144</f>
        <v>0</v>
      </c>
      <c r="B144" s="55">
        <f>fulltime!B144</f>
        <v>348</v>
      </c>
      <c r="C144" s="33">
        <f>fulltime!D144</f>
        <v>68744</v>
      </c>
      <c r="D144" s="33">
        <f>fulltime!G144</f>
        <v>4122.66</v>
      </c>
      <c r="E144" s="33">
        <f t="shared" si="33"/>
        <v>2748.44</v>
      </c>
      <c r="F144" s="33">
        <f t="shared" si="34"/>
        <v>71492.44</v>
      </c>
      <c r="G144" s="33">
        <f t="shared" si="37"/>
        <v>71492.44</v>
      </c>
      <c r="H144" s="33"/>
      <c r="I144" s="33" t="s">
        <v>309</v>
      </c>
      <c r="J144" s="33"/>
    </row>
    <row r="145" spans="1:10" x14ac:dyDescent="0.25">
      <c r="A145">
        <f>fulltime!A145</f>
        <v>0</v>
      </c>
      <c r="B145" s="55">
        <f>fulltime!B145</f>
        <v>654</v>
      </c>
      <c r="C145" s="33">
        <f>fulltime!D145</f>
        <v>56056</v>
      </c>
      <c r="D145" s="33">
        <f>fulltime!G145</f>
        <v>12855.15</v>
      </c>
      <c r="E145" s="33">
        <f t="shared" si="33"/>
        <v>8570.1</v>
      </c>
      <c r="F145" s="33">
        <f t="shared" si="34"/>
        <v>64626.1</v>
      </c>
      <c r="G145" s="33" t="s">
        <v>309</v>
      </c>
      <c r="H145" s="33"/>
      <c r="I145" s="33">
        <f t="shared" ref="I145:I146" si="38">+F145</f>
        <v>64626.1</v>
      </c>
      <c r="J145" s="33"/>
    </row>
    <row r="146" spans="1:10" x14ac:dyDescent="0.25">
      <c r="A146">
        <f>fulltime!A146</f>
        <v>0</v>
      </c>
      <c r="B146" s="55">
        <f>fulltime!B146</f>
        <v>146</v>
      </c>
      <c r="C146" s="33">
        <f>fulltime!D146</f>
        <v>52915.199999999997</v>
      </c>
      <c r="D146" s="33">
        <f>fulltime!G146</f>
        <v>5933.88</v>
      </c>
      <c r="E146" s="35">
        <f t="shared" si="33"/>
        <v>3955.92</v>
      </c>
      <c r="F146" s="35">
        <f t="shared" si="34"/>
        <v>56871.119999999995</v>
      </c>
      <c r="G146" s="35" t="s">
        <v>309</v>
      </c>
      <c r="H146" s="35"/>
      <c r="I146" s="33">
        <f t="shared" si="38"/>
        <v>56871.119999999995</v>
      </c>
      <c r="J146" s="33"/>
    </row>
    <row r="147" spans="1:10" x14ac:dyDescent="0.25">
      <c r="A147">
        <f>fulltime!A147</f>
        <v>0</v>
      </c>
      <c r="B147" s="55">
        <f>fulltime!B147</f>
        <v>580</v>
      </c>
      <c r="C147" s="33">
        <f>fulltime!D147</f>
        <v>53913.599999999999</v>
      </c>
      <c r="D147" s="33">
        <f>fulltime!G147</f>
        <v>2109.2399999999998</v>
      </c>
      <c r="E147" s="35">
        <f t="shared" si="33"/>
        <v>1406.16</v>
      </c>
      <c r="F147" s="35">
        <f>C147+E147</f>
        <v>55319.76</v>
      </c>
      <c r="G147" s="33">
        <f t="shared" ref="G147:G148" si="39">+F147</f>
        <v>55319.76</v>
      </c>
      <c r="H147" s="35"/>
      <c r="I147" s="35" t="s">
        <v>309</v>
      </c>
      <c r="J147" s="33"/>
    </row>
    <row r="148" spans="1:10" x14ac:dyDescent="0.25">
      <c r="A148">
        <f>fulltime!A148</f>
        <v>0</v>
      </c>
      <c r="B148" s="55">
        <f>fulltime!B148</f>
        <v>678</v>
      </c>
      <c r="C148" s="33">
        <f>fulltime!D148</f>
        <v>42515.199999999997</v>
      </c>
      <c r="D148" s="33">
        <f>fulltime!G148</f>
        <v>555.87</v>
      </c>
      <c r="E148" s="33">
        <f t="shared" si="33"/>
        <v>370.58</v>
      </c>
      <c r="F148" s="33">
        <f t="shared" si="34"/>
        <v>42885.78</v>
      </c>
      <c r="G148" s="33">
        <f t="shared" si="39"/>
        <v>42885.78</v>
      </c>
      <c r="H148" s="33"/>
      <c r="I148" s="33" t="s">
        <v>309</v>
      </c>
      <c r="J148" s="33"/>
    </row>
    <row r="149" spans="1:10" x14ac:dyDescent="0.25">
      <c r="A149">
        <f>fulltime!A149</f>
        <v>0</v>
      </c>
      <c r="B149" s="55">
        <f>fulltime!B149</f>
        <v>227</v>
      </c>
      <c r="C149" s="33">
        <f>fulltime!D149</f>
        <v>69867.199999999997</v>
      </c>
      <c r="D149" s="33">
        <f>fulltime!G149</f>
        <v>1209.24</v>
      </c>
      <c r="E149" s="33">
        <f t="shared" ref="E149:E152" si="40">ROUND(D149/1.5,4)</f>
        <v>806.16</v>
      </c>
      <c r="F149" s="33">
        <f t="shared" ref="F149:F152" si="41">C149+E149</f>
        <v>70673.36</v>
      </c>
      <c r="G149" s="33" t="s">
        <v>309</v>
      </c>
      <c r="H149" s="33"/>
      <c r="I149" s="33">
        <f t="shared" ref="I149:I152" si="42">+F149</f>
        <v>70673.36</v>
      </c>
      <c r="J149" s="33"/>
    </row>
    <row r="150" spans="1:10" x14ac:dyDescent="0.25">
      <c r="A150">
        <f>fulltime!A150</f>
        <v>0</v>
      </c>
      <c r="B150" s="55">
        <f>fulltime!B150</f>
        <v>662</v>
      </c>
      <c r="C150" s="33">
        <f>fulltime!D150</f>
        <v>66393.600000000006</v>
      </c>
      <c r="D150" s="33">
        <f>fulltime!G150</f>
        <v>14064.75</v>
      </c>
      <c r="E150" s="33">
        <f t="shared" si="40"/>
        <v>9376.5</v>
      </c>
      <c r="F150" s="33">
        <f t="shared" si="41"/>
        <v>75770.100000000006</v>
      </c>
      <c r="G150" s="33" t="s">
        <v>309</v>
      </c>
      <c r="H150" s="33"/>
      <c r="I150" s="33">
        <f t="shared" si="42"/>
        <v>75770.100000000006</v>
      </c>
      <c r="J150" s="33"/>
    </row>
    <row r="151" spans="1:10" x14ac:dyDescent="0.25">
      <c r="A151">
        <f>fulltime!A151</f>
        <v>0</v>
      </c>
      <c r="B151" s="55">
        <f>fulltime!B151</f>
        <v>587</v>
      </c>
      <c r="C151" s="33">
        <f>fulltime!D151</f>
        <v>68265.600000000006</v>
      </c>
      <c r="D151" s="33">
        <f>fulltime!G151</f>
        <v>1425.21</v>
      </c>
      <c r="E151" s="33">
        <f t="shared" si="40"/>
        <v>950.14</v>
      </c>
      <c r="F151" s="33">
        <f t="shared" si="41"/>
        <v>69215.740000000005</v>
      </c>
      <c r="G151" s="33" t="s">
        <v>309</v>
      </c>
      <c r="H151" s="33"/>
      <c r="I151" s="33">
        <f t="shared" si="42"/>
        <v>69215.740000000005</v>
      </c>
      <c r="J151" s="33"/>
    </row>
    <row r="152" spans="1:10" x14ac:dyDescent="0.25">
      <c r="A152">
        <f>fulltime!A152</f>
        <v>0</v>
      </c>
      <c r="B152" s="55">
        <f>fulltime!B152</f>
        <v>680</v>
      </c>
      <c r="C152" s="33">
        <f>fulltime!D152</f>
        <v>57200</v>
      </c>
      <c r="D152" s="33">
        <f>fulltime!G152</f>
        <v>825</v>
      </c>
      <c r="E152" s="33">
        <f t="shared" si="40"/>
        <v>550</v>
      </c>
      <c r="F152" s="33">
        <f t="shared" si="41"/>
        <v>57750</v>
      </c>
      <c r="G152" s="33" t="s">
        <v>309</v>
      </c>
      <c r="H152" s="33"/>
      <c r="I152" s="33">
        <f t="shared" si="42"/>
        <v>57750</v>
      </c>
      <c r="J152" s="33"/>
    </row>
    <row r="153" spans="1:10" x14ac:dyDescent="0.25">
      <c r="C153" s="33"/>
      <c r="D153" s="33"/>
      <c r="E153" s="33"/>
      <c r="F153" s="33"/>
      <c r="G153" s="33"/>
      <c r="H153" s="33"/>
      <c r="I153" s="33"/>
      <c r="J153" s="33"/>
    </row>
    <row r="154" spans="1:10" x14ac:dyDescent="0.25">
      <c r="C154" s="45"/>
      <c r="D154" s="45"/>
      <c r="E154" s="45"/>
      <c r="F154" s="45"/>
      <c r="G154" s="45"/>
      <c r="H154" s="45"/>
      <c r="I154" s="45"/>
      <c r="J154" s="33"/>
    </row>
    <row r="155" spans="1:10" x14ac:dyDescent="0.25">
      <c r="B155" s="57"/>
      <c r="C155" s="33">
        <f>SUM(C3:C154)</f>
        <v>10515315.200000001</v>
      </c>
      <c r="D155" s="33">
        <f t="shared" ref="D155:I155" si="43">SUM(D3:D154)</f>
        <v>1002591.9200000003</v>
      </c>
      <c r="E155" s="33">
        <f t="shared" si="43"/>
        <v>668394.61259999988</v>
      </c>
      <c r="F155" s="33">
        <f t="shared" si="43"/>
        <v>11183709.812599996</v>
      </c>
      <c r="G155" s="33">
        <f t="shared" si="43"/>
        <v>3894083.0664000004</v>
      </c>
      <c r="H155" s="33">
        <f t="shared" si="43"/>
        <v>282165.76670000004</v>
      </c>
      <c r="I155" s="33">
        <f t="shared" si="43"/>
        <v>7007460.9794999994</v>
      </c>
      <c r="J155" s="33"/>
    </row>
    <row r="156" spans="1:10" x14ac:dyDescent="0.25">
      <c r="A156" s="32" t="s">
        <v>154</v>
      </c>
      <c r="C156" s="33">
        <v>0</v>
      </c>
      <c r="D156" s="33"/>
      <c r="E156" s="33"/>
      <c r="F156" s="33">
        <f>C156</f>
        <v>0</v>
      </c>
      <c r="G156" s="33"/>
      <c r="H156" s="33"/>
      <c r="I156" s="33">
        <f>+F156</f>
        <v>0</v>
      </c>
      <c r="J156" s="33"/>
    </row>
    <row r="157" spans="1:10" x14ac:dyDescent="0.25">
      <c r="A157" s="32" t="s">
        <v>153</v>
      </c>
      <c r="C157" s="45">
        <f>fulltime!D156</f>
        <v>0</v>
      </c>
      <c r="D157" s="45"/>
      <c r="E157" s="45"/>
      <c r="F157" s="45">
        <f>C157</f>
        <v>0</v>
      </c>
      <c r="G157" s="45"/>
      <c r="H157" s="45"/>
      <c r="I157" s="45">
        <f>+F157</f>
        <v>0</v>
      </c>
      <c r="J157" s="33"/>
    </row>
    <row r="158" spans="1:10" x14ac:dyDescent="0.25">
      <c r="A158" s="32" t="s">
        <v>157</v>
      </c>
      <c r="C158" s="33">
        <f t="shared" ref="C158:I158" si="44">SUM(C155:C157)</f>
        <v>10515315.200000001</v>
      </c>
      <c r="D158" s="33">
        <f t="shared" si="44"/>
        <v>1002591.9200000003</v>
      </c>
      <c r="E158" s="33">
        <f t="shared" si="44"/>
        <v>668394.61259999988</v>
      </c>
      <c r="F158" s="33">
        <f t="shared" si="44"/>
        <v>11183709.812599996</v>
      </c>
      <c r="G158" s="33">
        <f t="shared" si="44"/>
        <v>3894083.0664000004</v>
      </c>
      <c r="H158" s="33">
        <f t="shared" si="44"/>
        <v>282165.76670000004</v>
      </c>
      <c r="I158" s="33">
        <f t="shared" si="44"/>
        <v>7007460.9794999994</v>
      </c>
      <c r="J158" s="33"/>
    </row>
    <row r="159" spans="1:10" x14ac:dyDescent="0.25">
      <c r="C159" s="33"/>
      <c r="D159" s="33"/>
      <c r="E159" s="33"/>
      <c r="F159" s="33"/>
      <c r="G159" s="58"/>
      <c r="H159" s="58"/>
      <c r="I159" s="58"/>
      <c r="J159" s="58"/>
    </row>
    <row r="160" spans="1:10" x14ac:dyDescent="0.25">
      <c r="C160" s="33"/>
      <c r="D160" s="33"/>
      <c r="E160" s="33"/>
      <c r="F160" s="33"/>
      <c r="G160" s="33">
        <f>+G158</f>
        <v>3894083.0664000004</v>
      </c>
      <c r="H160" s="33">
        <f>+H158</f>
        <v>282165.76670000004</v>
      </c>
      <c r="I160" s="33">
        <f>+I158</f>
        <v>7007460.9794999994</v>
      </c>
      <c r="J160" s="33">
        <f>I160+G160+H160</f>
        <v>11183709.8126</v>
      </c>
    </row>
    <row r="161" spans="3:11" x14ac:dyDescent="0.25">
      <c r="C161" s="33"/>
      <c r="E161" s="77" t="s">
        <v>37</v>
      </c>
      <c r="F161" s="12"/>
      <c r="G161" s="45">
        <f>+parttime!I13</f>
        <v>0</v>
      </c>
      <c r="H161" s="45">
        <f>+parttime!J13</f>
        <v>0</v>
      </c>
      <c r="I161" s="45">
        <f>+parttime!K13</f>
        <v>1649.375</v>
      </c>
      <c r="J161" s="45">
        <f>I161+G161+H161</f>
        <v>1649.375</v>
      </c>
    </row>
    <row r="162" spans="3:11" x14ac:dyDescent="0.25">
      <c r="C162" s="33"/>
      <c r="D162" s="33"/>
      <c r="E162" s="77"/>
      <c r="F162" s="12"/>
      <c r="G162" s="33">
        <f>G160+G161</f>
        <v>3894083.0664000004</v>
      </c>
      <c r="H162" s="33">
        <f>H160+H161</f>
        <v>282165.76670000004</v>
      </c>
      <c r="I162" s="33">
        <f>I160+I161</f>
        <v>7009110.3544999994</v>
      </c>
      <c r="J162" s="33">
        <f>J160+J161</f>
        <v>11185359.1876</v>
      </c>
    </row>
    <row r="163" spans="3:11" x14ac:dyDescent="0.25">
      <c r="E163" s="12"/>
      <c r="F163" s="12"/>
      <c r="G163" s="10"/>
      <c r="H163" s="10"/>
      <c r="I163" s="10"/>
      <c r="J163" s="10"/>
    </row>
    <row r="164" spans="3:11" x14ac:dyDescent="0.25">
      <c r="E164" s="12" t="s">
        <v>38</v>
      </c>
      <c r="F164" s="12"/>
      <c r="G164" s="411">
        <v>1.6999999999999999E-3</v>
      </c>
      <c r="H164" s="412">
        <v>4.5999999999999999E-3</v>
      </c>
      <c r="I164" s="412">
        <v>4.6800000000000001E-2</v>
      </c>
    </row>
    <row r="165" spans="3:11" x14ac:dyDescent="0.25">
      <c r="E165" s="12"/>
      <c r="F165" s="12"/>
      <c r="G165" s="10">
        <f>ROUND(G162*G164,4)</f>
        <v>6619.9412000000002</v>
      </c>
      <c r="H165" s="349">
        <f>ROUND(H162*H164,4)</f>
        <v>1297.9625000000001</v>
      </c>
      <c r="I165" s="349">
        <f>ROUND(I162*I164,4)</f>
        <v>328026.36459999997</v>
      </c>
      <c r="J165" s="33">
        <f>I165+G165+H165</f>
        <v>335944.2683</v>
      </c>
    </row>
    <row r="166" spans="3:11" x14ac:dyDescent="0.25">
      <c r="E166" s="12" t="s">
        <v>75</v>
      </c>
      <c r="F166" s="12"/>
      <c r="I166" s="413">
        <v>8.0000000000000002E-3</v>
      </c>
      <c r="J166" s="45">
        <f>J165*I166</f>
        <v>2687.5541463999998</v>
      </c>
    </row>
    <row r="167" spans="3:11" x14ac:dyDescent="0.25">
      <c r="E167" s="12"/>
      <c r="F167" s="12"/>
      <c r="J167" s="33">
        <f>J165+J166</f>
        <v>338631.82244640001</v>
      </c>
    </row>
    <row r="168" spans="3:11" x14ac:dyDescent="0.25">
      <c r="E168" s="12" t="s">
        <v>39</v>
      </c>
      <c r="F168" s="12"/>
      <c r="I168" s="400">
        <v>0.14000000000000001</v>
      </c>
      <c r="J168" s="45">
        <f>J167*I168</f>
        <v>47408.455142496008</v>
      </c>
    </row>
    <row r="169" spans="3:11" x14ac:dyDescent="0.25">
      <c r="E169" s="12"/>
      <c r="F169" s="12"/>
      <c r="J169" s="33">
        <f>J167+J168</f>
        <v>386040.27758889599</v>
      </c>
    </row>
    <row r="170" spans="3:11" x14ac:dyDescent="0.25">
      <c r="E170" s="12" t="s">
        <v>427</v>
      </c>
      <c r="F170" s="12"/>
      <c r="I170" s="413">
        <v>0.05</v>
      </c>
      <c r="J170" s="45">
        <f>-J169*I170</f>
        <v>-19302.013879444799</v>
      </c>
    </row>
    <row r="171" spans="3:11" x14ac:dyDescent="0.25">
      <c r="E171" s="12"/>
      <c r="F171" s="12"/>
      <c r="J171" s="33">
        <f>J169+J170</f>
        <v>366738.26370945119</v>
      </c>
    </row>
    <row r="172" spans="3:11" x14ac:dyDescent="0.25">
      <c r="E172" s="12" t="s">
        <v>76</v>
      </c>
      <c r="F172" s="12"/>
      <c r="H172" s="350">
        <f>+J171-10000</f>
        <v>356738.26370945119</v>
      </c>
      <c r="I172" s="413">
        <v>-0.05</v>
      </c>
      <c r="J172" s="45">
        <f>H172*I172</f>
        <v>-17836.91318547256</v>
      </c>
      <c r="K172" s="44"/>
    </row>
    <row r="173" spans="3:11" x14ac:dyDescent="0.25">
      <c r="E173" s="12"/>
      <c r="F173" s="12"/>
      <c r="J173" s="33">
        <f>J171+J172</f>
        <v>348901.35052397865</v>
      </c>
    </row>
    <row r="174" spans="3:11" x14ac:dyDescent="0.25">
      <c r="E174" s="12" t="s">
        <v>77</v>
      </c>
      <c r="F174" s="12"/>
      <c r="H174" s="410">
        <f>J162/100</f>
        <v>111853.59187599999</v>
      </c>
      <c r="I174" s="413">
        <v>1.2999999999999999E-2</v>
      </c>
      <c r="J174" s="45">
        <f>+H174*I174</f>
        <v>1454.0966943879998</v>
      </c>
    </row>
    <row r="175" spans="3:11" x14ac:dyDescent="0.25">
      <c r="F175" s="37"/>
      <c r="I175" s="46" t="s">
        <v>182</v>
      </c>
      <c r="J175" s="286">
        <f>J173+J174</f>
        <v>350355.44721836667</v>
      </c>
    </row>
    <row r="176" spans="3:11" x14ac:dyDescent="0.25">
      <c r="F176" s="37"/>
      <c r="J176" s="33"/>
    </row>
    <row r="177" spans="5:10" x14ac:dyDescent="0.25">
      <c r="E177" s="12" t="s">
        <v>40</v>
      </c>
      <c r="F177" s="12"/>
      <c r="I177" s="413">
        <v>6.2799999999999995E-2</v>
      </c>
      <c r="J177" s="45">
        <f>J175*I177</f>
        <v>22002.322085313426</v>
      </c>
    </row>
    <row r="178" spans="5:10" x14ac:dyDescent="0.25">
      <c r="E178" s="12"/>
      <c r="F178" s="12"/>
      <c r="J178" s="33">
        <f>SUM(J175:J177)</f>
        <v>372357.76930368011</v>
      </c>
    </row>
    <row r="179" spans="5:10" x14ac:dyDescent="0.25">
      <c r="E179" s="12"/>
      <c r="F179" s="12"/>
      <c r="J179" s="33"/>
    </row>
    <row r="180" spans="5:10" x14ac:dyDescent="0.25">
      <c r="E180" s="12" t="s">
        <v>110</v>
      </c>
      <c r="F180" s="12"/>
      <c r="J180" s="35">
        <v>-1272</v>
      </c>
    </row>
    <row r="181" spans="5:10" ht="13.8" thickBot="1" x14ac:dyDescent="0.3">
      <c r="E181" s="12" t="s">
        <v>41</v>
      </c>
      <c r="F181" s="12"/>
      <c r="J181" s="49">
        <f>+J178+J180</f>
        <v>371085.76930368011</v>
      </c>
    </row>
    <row r="182" spans="5:10" ht="13.8" thickTop="1" x14ac:dyDescent="0.25">
      <c r="J182" s="33"/>
    </row>
    <row r="183" spans="5:10" x14ac:dyDescent="0.25">
      <c r="J183" s="33"/>
    </row>
    <row r="184" spans="5:10" x14ac:dyDescent="0.25">
      <c r="J184" s="33"/>
    </row>
  </sheetData>
  <phoneticPr fontId="0" type="noConversion"/>
  <pageMargins left="0.75" right="0.75" top="0.61" bottom="0.53" header="0.51" footer="0.5"/>
  <pageSetup scale="78" fitToHeight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workbookViewId="0">
      <selection activeCell="C4" sqref="C4"/>
    </sheetView>
  </sheetViews>
  <sheetFormatPr defaultRowHeight="13.2" x14ac:dyDescent="0.25"/>
  <cols>
    <col min="3" max="3" width="10" bestFit="1" customWidth="1"/>
    <col min="5" max="5" width="10.33203125" bestFit="1" customWidth="1"/>
    <col min="6" max="6" width="14.33203125" bestFit="1" customWidth="1"/>
  </cols>
  <sheetData>
    <row r="1" spans="1:6" x14ac:dyDescent="0.25">
      <c r="C1" t="s">
        <v>432</v>
      </c>
      <c r="D1" t="s">
        <v>433</v>
      </c>
    </row>
    <row r="3" spans="1:6" x14ac:dyDescent="0.25">
      <c r="A3" t="s">
        <v>431</v>
      </c>
      <c r="C3" s="64">
        <v>150</v>
      </c>
      <c r="D3" s="40">
        <v>1.88</v>
      </c>
      <c r="E3" s="40">
        <f>+C3*D3*3</f>
        <v>846</v>
      </c>
    </row>
    <row r="4" spans="1:6" x14ac:dyDescent="0.25">
      <c r="C4" s="33"/>
      <c r="D4" s="40"/>
      <c r="E4" s="40"/>
    </row>
    <row r="5" spans="1:6" x14ac:dyDescent="0.25">
      <c r="C5" s="33"/>
      <c r="D5" s="40"/>
      <c r="E5" s="40">
        <f>+E3*4</f>
        <v>3384</v>
      </c>
      <c r="F5" t="s">
        <v>434</v>
      </c>
    </row>
    <row r="6" spans="1:6" x14ac:dyDescent="0.25">
      <c r="C6" s="33"/>
      <c r="D6" s="40"/>
      <c r="E6" s="40"/>
    </row>
    <row r="7" spans="1:6" x14ac:dyDescent="0.25">
      <c r="C7" s="33"/>
      <c r="D7" s="40"/>
      <c r="E7" s="40"/>
    </row>
    <row r="8" spans="1:6" x14ac:dyDescent="0.25">
      <c r="C8" s="33"/>
      <c r="D8" s="40"/>
      <c r="E8" s="40"/>
    </row>
    <row r="9" spans="1:6" x14ac:dyDescent="0.25">
      <c r="C9" s="33"/>
      <c r="D9" s="40"/>
      <c r="E9" s="40"/>
    </row>
    <row r="10" spans="1:6" x14ac:dyDescent="0.25">
      <c r="C10" s="33"/>
      <c r="D10" s="40"/>
      <c r="E10" s="40"/>
    </row>
    <row r="11" spans="1:6" x14ac:dyDescent="0.25">
      <c r="C11" s="33"/>
      <c r="D11" s="40"/>
      <c r="E11" s="40"/>
    </row>
    <row r="12" spans="1:6" x14ac:dyDescent="0.25">
      <c r="C12" s="33"/>
      <c r="D12" s="40"/>
      <c r="E12" s="40"/>
    </row>
    <row r="13" spans="1:6" x14ac:dyDescent="0.25">
      <c r="C13" s="33"/>
      <c r="D13" s="40"/>
      <c r="E13" s="40"/>
    </row>
    <row r="14" spans="1:6" x14ac:dyDescent="0.25">
      <c r="C14" s="33"/>
      <c r="D14" s="40"/>
      <c r="E14" s="4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3"/>
  <sheetViews>
    <sheetView workbookViewId="0">
      <selection activeCell="H5" sqref="H5"/>
    </sheetView>
  </sheetViews>
  <sheetFormatPr defaultRowHeight="13.2" x14ac:dyDescent="0.25"/>
  <cols>
    <col min="1" max="1" width="16.5546875" bestFit="1" customWidth="1"/>
    <col min="2" max="2" width="15.44140625" bestFit="1" customWidth="1"/>
    <col min="5" max="5" width="21.109375" bestFit="1" customWidth="1"/>
    <col min="6" max="6" width="11.33203125" bestFit="1" customWidth="1"/>
    <col min="7" max="7" width="8.33203125" bestFit="1" customWidth="1"/>
    <col min="8" max="8" width="11.33203125" bestFit="1" customWidth="1"/>
    <col min="12" max="12" width="21.109375" bestFit="1" customWidth="1"/>
    <col min="13" max="13" width="11.33203125" style="40" bestFit="1" customWidth="1"/>
    <col min="15" max="15" width="11.33203125" style="40" bestFit="1" customWidth="1"/>
  </cols>
  <sheetData>
    <row r="2" spans="1:17" x14ac:dyDescent="0.25">
      <c r="A2" t="s">
        <v>42</v>
      </c>
      <c r="E2" s="340" t="s">
        <v>458</v>
      </c>
      <c r="F2" s="12"/>
      <c r="G2" s="12"/>
      <c r="H2" s="12"/>
    </row>
    <row r="4" spans="1:17" x14ac:dyDescent="0.25">
      <c r="A4" t="s">
        <v>43</v>
      </c>
      <c r="B4" s="10">
        <f>+H13</f>
        <v>137635.79999999999</v>
      </c>
      <c r="F4" s="338" t="s">
        <v>445</v>
      </c>
      <c r="G4" s="23" t="s">
        <v>38</v>
      </c>
      <c r="H4" s="339" t="s">
        <v>457</v>
      </c>
    </row>
    <row r="5" spans="1:17" x14ac:dyDescent="0.25">
      <c r="A5" t="s">
        <v>44</v>
      </c>
      <c r="B5" s="10">
        <v>59066</v>
      </c>
      <c r="E5" t="s">
        <v>451</v>
      </c>
      <c r="F5" s="40">
        <v>392692</v>
      </c>
      <c r="H5" s="40">
        <v>138639</v>
      </c>
    </row>
    <row r="6" spans="1:17" x14ac:dyDescent="0.25">
      <c r="A6" t="s">
        <v>45</v>
      </c>
      <c r="B6" s="11">
        <v>0</v>
      </c>
      <c r="E6" t="s">
        <v>452</v>
      </c>
      <c r="F6" s="40">
        <f>-F5*G6</f>
        <v>-15314.987999999999</v>
      </c>
      <c r="G6" s="329">
        <v>3.9E-2</v>
      </c>
      <c r="H6" s="40">
        <f>-ROUND($H$5*G6,2)</f>
        <v>-5406.92</v>
      </c>
    </row>
    <row r="7" spans="1:17" ht="13.8" thickBot="1" x14ac:dyDescent="0.3">
      <c r="B7" s="15">
        <f>SUM(B4:B6)</f>
        <v>196701.8</v>
      </c>
      <c r="E7" t="s">
        <v>453</v>
      </c>
      <c r="F7" s="40">
        <f>+G7*F5</f>
        <v>6793.5716000000002</v>
      </c>
      <c r="G7" s="329">
        <v>1.7299999999999999E-2</v>
      </c>
      <c r="H7" s="40">
        <f>+ROUND($H$5*G7,2)</f>
        <v>2398.4499999999998</v>
      </c>
    </row>
    <row r="8" spans="1:17" ht="13.8" thickTop="1" x14ac:dyDescent="0.25">
      <c r="E8" t="s">
        <v>454</v>
      </c>
      <c r="F8" s="40">
        <f>+G8*F5</f>
        <v>417.038904</v>
      </c>
      <c r="G8" s="329">
        <v>1.062E-3</v>
      </c>
      <c r="H8" s="40">
        <f>+ROUND($H$5*G8,2)</f>
        <v>147.22999999999999</v>
      </c>
    </row>
    <row r="9" spans="1:17" x14ac:dyDescent="0.25">
      <c r="E9" t="s">
        <v>455</v>
      </c>
      <c r="F9" s="40">
        <f>+G9*F5</f>
        <v>5068.8683359999995</v>
      </c>
      <c r="G9" s="329">
        <v>1.2907999999999999E-2</v>
      </c>
      <c r="H9" s="40">
        <f>+ROUND($H$5*G9,2)</f>
        <v>1789.55</v>
      </c>
      <c r="Q9" s="328"/>
    </row>
    <row r="10" spans="1:17" x14ac:dyDescent="0.25">
      <c r="E10" t="s">
        <v>456</v>
      </c>
      <c r="F10" s="40">
        <f>+G10*F5</f>
        <v>193.98984799999999</v>
      </c>
      <c r="G10" s="329">
        <v>4.9399999999999997E-4</v>
      </c>
      <c r="H10" s="40">
        <f>+ROUND($H$5*G10,2)</f>
        <v>68.489999999999995</v>
      </c>
      <c r="Q10" s="328"/>
    </row>
    <row r="11" spans="1:17" x14ac:dyDescent="0.25">
      <c r="F11" s="40"/>
      <c r="H11" s="40"/>
      <c r="Q11" s="328"/>
    </row>
    <row r="12" spans="1:17" x14ac:dyDescent="0.25">
      <c r="F12" s="40"/>
      <c r="H12" s="40"/>
    </row>
    <row r="13" spans="1:17" x14ac:dyDescent="0.25">
      <c r="F13" s="40">
        <f>SUM(F5:F12)</f>
        <v>389850.48068800004</v>
      </c>
      <c r="H13" s="100">
        <f>SUM(H5:H12)</f>
        <v>137635.79999999999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71"/>
  <sheetViews>
    <sheetView workbookViewId="0">
      <pane ySplit="2" topLeftCell="A3" activePane="bottomLeft" state="frozen"/>
      <selection activeCell="F8" sqref="F8"/>
      <selection pane="bottomLeft" activeCell="A4" sqref="A4"/>
    </sheetView>
  </sheetViews>
  <sheetFormatPr defaultRowHeight="13.2" x14ac:dyDescent="0.25"/>
  <cols>
    <col min="1" max="1" width="18.88671875" bestFit="1" customWidth="1"/>
    <col min="2" max="2" width="10.33203125" bestFit="1" customWidth="1"/>
    <col min="3" max="3" width="9.33203125" bestFit="1" customWidth="1"/>
    <col min="5" max="6" width="11.5546875" bestFit="1" customWidth="1"/>
    <col min="7" max="7" width="12.33203125" bestFit="1" customWidth="1"/>
  </cols>
  <sheetData>
    <row r="1" spans="1:7" x14ac:dyDescent="0.25">
      <c r="A1" s="70" t="s">
        <v>210</v>
      </c>
      <c r="B1" s="12"/>
    </row>
    <row r="2" spans="1:7" x14ac:dyDescent="0.25">
      <c r="A2" s="12" t="s">
        <v>124</v>
      </c>
      <c r="B2" s="12"/>
      <c r="G2" s="27"/>
    </row>
    <row r="3" spans="1:7" x14ac:dyDescent="0.25">
      <c r="G3" s="27"/>
    </row>
    <row r="4" spans="1:7" x14ac:dyDescent="0.25">
      <c r="A4">
        <f>+healthpension!K6</f>
        <v>0</v>
      </c>
      <c r="B4" s="40">
        <f>healthpension!AB6</f>
        <v>40.15</v>
      </c>
      <c r="G4" s="27"/>
    </row>
    <row r="5" spans="1:7" x14ac:dyDescent="0.25">
      <c r="A5">
        <f>+healthpension!K7</f>
        <v>0</v>
      </c>
      <c r="B5" s="40">
        <f>healthpension!AB7</f>
        <v>24.32</v>
      </c>
      <c r="G5" s="27"/>
    </row>
    <row r="6" spans="1:7" x14ac:dyDescent="0.25">
      <c r="A6">
        <f>+healthpension!K8</f>
        <v>0</v>
      </c>
      <c r="B6" s="40">
        <f>healthpension!AB8</f>
        <v>34.76</v>
      </c>
      <c r="G6" s="27"/>
    </row>
    <row r="7" spans="1:7" x14ac:dyDescent="0.25">
      <c r="A7">
        <f>+healthpension!K9</f>
        <v>0</v>
      </c>
      <c r="B7" s="40">
        <f>healthpension!AB9</f>
        <v>48.18</v>
      </c>
      <c r="G7" s="2"/>
    </row>
    <row r="8" spans="1:7" x14ac:dyDescent="0.25">
      <c r="A8">
        <f>+healthpension!K10</f>
        <v>0</v>
      </c>
      <c r="B8" s="40">
        <f>healthpension!AB10</f>
        <v>65.19</v>
      </c>
    </row>
    <row r="9" spans="1:7" x14ac:dyDescent="0.25">
      <c r="A9">
        <f>+healthpension!K11</f>
        <v>0</v>
      </c>
      <c r="B9" s="40">
        <f>healthpension!AB11</f>
        <v>33.729999999999997</v>
      </c>
    </row>
    <row r="10" spans="1:7" x14ac:dyDescent="0.25">
      <c r="A10">
        <f>+healthpension!K12</f>
        <v>0</v>
      </c>
      <c r="B10" s="40">
        <f>healthpension!AB12</f>
        <v>19.37</v>
      </c>
    </row>
    <row r="11" spans="1:7" x14ac:dyDescent="0.25">
      <c r="A11">
        <f>+healthpension!K13</f>
        <v>0</v>
      </c>
      <c r="B11" s="40">
        <f>healthpension!AB13</f>
        <v>43.78</v>
      </c>
    </row>
    <row r="12" spans="1:7" x14ac:dyDescent="0.25">
      <c r="A12">
        <f>+healthpension!K14</f>
        <v>0</v>
      </c>
      <c r="B12" s="40">
        <f>healthpension!AB14</f>
        <v>25.25</v>
      </c>
    </row>
    <row r="13" spans="1:7" x14ac:dyDescent="0.25">
      <c r="A13">
        <f>+healthpension!K15</f>
        <v>0</v>
      </c>
      <c r="B13" s="40">
        <f>healthpension!AB15</f>
        <v>33.94</v>
      </c>
    </row>
    <row r="14" spans="1:7" x14ac:dyDescent="0.25">
      <c r="A14">
        <f>+healthpension!K16</f>
        <v>0</v>
      </c>
      <c r="B14" s="40">
        <f>healthpension!AB16</f>
        <v>34.76</v>
      </c>
      <c r="G14" s="2"/>
    </row>
    <row r="15" spans="1:7" x14ac:dyDescent="0.25">
      <c r="A15">
        <f>+healthpension!K17</f>
        <v>0</v>
      </c>
      <c r="B15" s="40">
        <f>healthpension!AB17</f>
        <v>41.06</v>
      </c>
      <c r="G15" s="2"/>
    </row>
    <row r="16" spans="1:7" x14ac:dyDescent="0.25">
      <c r="A16">
        <f>+healthpension!K18</f>
        <v>0</v>
      </c>
      <c r="B16" s="40">
        <f>healthpension!AB18</f>
        <v>17.95</v>
      </c>
      <c r="G16" s="2"/>
    </row>
    <row r="17" spans="1:7" x14ac:dyDescent="0.25">
      <c r="A17">
        <f>+healthpension!K19</f>
        <v>0</v>
      </c>
      <c r="B17" s="40">
        <f>healthpension!AB19</f>
        <v>40.68</v>
      </c>
      <c r="G17" s="2"/>
    </row>
    <row r="18" spans="1:7" x14ac:dyDescent="0.25">
      <c r="A18">
        <f>+healthpension!K20</f>
        <v>0</v>
      </c>
      <c r="B18" s="40">
        <f>healthpension!AB20</f>
        <v>41.32</v>
      </c>
      <c r="G18" s="2"/>
    </row>
    <row r="19" spans="1:7" x14ac:dyDescent="0.25">
      <c r="A19">
        <f>+healthpension!K21</f>
        <v>0</v>
      </c>
      <c r="B19" s="40">
        <f>healthpension!AB21</f>
        <v>39.89</v>
      </c>
      <c r="G19" s="2"/>
    </row>
    <row r="20" spans="1:7" x14ac:dyDescent="0.25">
      <c r="A20">
        <f>+healthpension!K22</f>
        <v>0</v>
      </c>
      <c r="B20" s="40">
        <f>healthpension!AB22</f>
        <v>34.22</v>
      </c>
      <c r="G20" s="2"/>
    </row>
    <row r="21" spans="1:7" x14ac:dyDescent="0.25">
      <c r="A21">
        <f>+healthpension!K23</f>
        <v>0</v>
      </c>
      <c r="B21" s="40">
        <f>healthpension!AB23</f>
        <v>33.76</v>
      </c>
      <c r="G21" s="2"/>
    </row>
    <row r="22" spans="1:7" x14ac:dyDescent="0.25">
      <c r="A22">
        <f>+healthpension!K24</f>
        <v>0</v>
      </c>
      <c r="B22" s="40">
        <f>healthpension!AB24</f>
        <v>38.369999999999997</v>
      </c>
      <c r="G22" s="2"/>
    </row>
    <row r="23" spans="1:7" x14ac:dyDescent="0.25">
      <c r="A23">
        <f>+healthpension!K25</f>
        <v>0</v>
      </c>
      <c r="B23" s="40">
        <f>healthpension!AB25</f>
        <v>33.94</v>
      </c>
      <c r="G23" s="2"/>
    </row>
    <row r="24" spans="1:7" x14ac:dyDescent="0.25">
      <c r="A24">
        <f>+healthpension!K26</f>
        <v>0</v>
      </c>
      <c r="B24" s="40">
        <f>healthpension!AB26</f>
        <v>22.56</v>
      </c>
      <c r="G24" s="2"/>
    </row>
    <row r="25" spans="1:7" x14ac:dyDescent="0.25">
      <c r="A25">
        <f>+healthpension!K27</f>
        <v>0</v>
      </c>
      <c r="B25" s="40">
        <f>healthpension!AB27</f>
        <v>14.45</v>
      </c>
      <c r="G25" s="2"/>
    </row>
    <row r="26" spans="1:7" x14ac:dyDescent="0.25">
      <c r="A26">
        <f>+healthpension!K28</f>
        <v>0</v>
      </c>
      <c r="B26" s="40">
        <f>healthpension!AB28</f>
        <v>33.729999999999997</v>
      </c>
      <c r="G26" s="2"/>
    </row>
    <row r="27" spans="1:7" x14ac:dyDescent="0.25">
      <c r="A27">
        <f>+healthpension!K29</f>
        <v>0</v>
      </c>
      <c r="B27" s="40">
        <f>healthpension!AB29</f>
        <v>65.56</v>
      </c>
      <c r="G27" s="2"/>
    </row>
    <row r="28" spans="1:7" x14ac:dyDescent="0.25">
      <c r="A28">
        <f>+healthpension!K30</f>
        <v>0</v>
      </c>
      <c r="B28" s="40">
        <f>healthpension!AB30</f>
        <v>18.329999999999998</v>
      </c>
      <c r="G28" s="2"/>
    </row>
    <row r="29" spans="1:7" x14ac:dyDescent="0.25">
      <c r="A29">
        <f>+healthpension!K31</f>
        <v>0</v>
      </c>
      <c r="B29" s="40">
        <f>healthpension!AB31</f>
        <v>33.729999999999997</v>
      </c>
      <c r="G29" s="2"/>
    </row>
    <row r="30" spans="1:7" x14ac:dyDescent="0.25">
      <c r="A30">
        <f>+healthpension!K32</f>
        <v>0</v>
      </c>
      <c r="B30" s="40">
        <f>healthpension!AB32</f>
        <v>33.729999999999997</v>
      </c>
      <c r="G30" s="2"/>
    </row>
    <row r="31" spans="1:7" x14ac:dyDescent="0.25">
      <c r="A31">
        <f>+healthpension!K33</f>
        <v>0</v>
      </c>
      <c r="B31" s="40">
        <f>healthpension!AB33</f>
        <v>34.67</v>
      </c>
      <c r="G31" s="2"/>
    </row>
    <row r="32" spans="1:7" x14ac:dyDescent="0.25">
      <c r="A32">
        <f>+healthpension!K34</f>
        <v>0</v>
      </c>
      <c r="B32" s="40">
        <f>healthpension!AB34</f>
        <v>33.67</v>
      </c>
      <c r="G32" s="2"/>
    </row>
    <row r="33" spans="1:7" x14ac:dyDescent="0.25">
      <c r="A33">
        <f>+healthpension!K35</f>
        <v>0</v>
      </c>
      <c r="B33" s="40">
        <f>healthpension!AB35</f>
        <v>30.08</v>
      </c>
      <c r="G33" s="2"/>
    </row>
    <row r="34" spans="1:7" x14ac:dyDescent="0.25">
      <c r="A34">
        <f>+healthpension!K36</f>
        <v>0</v>
      </c>
      <c r="B34" s="40">
        <f>healthpension!AB36</f>
        <v>41.06</v>
      </c>
      <c r="G34" s="2"/>
    </row>
    <row r="35" spans="1:7" x14ac:dyDescent="0.25">
      <c r="A35">
        <f>+healthpension!K37</f>
        <v>0</v>
      </c>
      <c r="B35" s="40">
        <f>healthpension!AB37</f>
        <v>40.68</v>
      </c>
      <c r="G35" s="2"/>
    </row>
    <row r="36" spans="1:7" x14ac:dyDescent="0.25">
      <c r="A36">
        <f>+healthpension!K38</f>
        <v>0</v>
      </c>
      <c r="B36" s="40">
        <f>healthpension!AB38</f>
        <v>41.32</v>
      </c>
      <c r="G36" s="2"/>
    </row>
    <row r="37" spans="1:7" x14ac:dyDescent="0.25">
      <c r="A37">
        <f>+healthpension!K39</f>
        <v>0</v>
      </c>
      <c r="B37" s="40">
        <f>healthpension!AB39</f>
        <v>34.520000000000003</v>
      </c>
      <c r="G37" s="2"/>
    </row>
    <row r="38" spans="1:7" x14ac:dyDescent="0.25">
      <c r="A38">
        <f>+healthpension!K40</f>
        <v>0</v>
      </c>
      <c r="B38" s="40">
        <f>healthpension!AB40</f>
        <v>21.28</v>
      </c>
      <c r="G38" s="2"/>
    </row>
    <row r="39" spans="1:7" x14ac:dyDescent="0.25">
      <c r="A39">
        <f>+healthpension!K41</f>
        <v>0</v>
      </c>
      <c r="B39" s="40">
        <f>healthpension!AB41</f>
        <v>33.76</v>
      </c>
      <c r="G39" s="2"/>
    </row>
    <row r="40" spans="1:7" x14ac:dyDescent="0.25">
      <c r="A40">
        <f>+healthpension!K42</f>
        <v>0</v>
      </c>
      <c r="B40" s="40">
        <f>healthpension!AB42</f>
        <v>33.729999999999997</v>
      </c>
      <c r="G40" s="2"/>
    </row>
    <row r="41" spans="1:7" x14ac:dyDescent="0.25">
      <c r="A41">
        <f>+healthpension!K43</f>
        <v>0</v>
      </c>
      <c r="B41" s="40">
        <f>healthpension!AB43</f>
        <v>20.63</v>
      </c>
      <c r="G41" s="2"/>
    </row>
    <row r="42" spans="1:7" x14ac:dyDescent="0.25">
      <c r="A42">
        <f>+healthpension!K44</f>
        <v>0</v>
      </c>
      <c r="B42" s="40">
        <f>healthpension!AB44</f>
        <v>86.88</v>
      </c>
      <c r="G42" s="2"/>
    </row>
    <row r="43" spans="1:7" x14ac:dyDescent="0.25">
      <c r="A43">
        <f>+healthpension!K45</f>
        <v>0</v>
      </c>
      <c r="B43" s="40">
        <f>healthpension!AB45</f>
        <v>27.19</v>
      </c>
      <c r="G43" s="2"/>
    </row>
    <row r="44" spans="1:7" x14ac:dyDescent="0.25">
      <c r="A44">
        <f>+healthpension!K46</f>
        <v>0</v>
      </c>
      <c r="B44" s="40">
        <f>healthpension!AB46</f>
        <v>14.45</v>
      </c>
      <c r="G44" s="2"/>
    </row>
    <row r="45" spans="1:7" x14ac:dyDescent="0.25">
      <c r="A45">
        <f>+healthpension!K47</f>
        <v>0</v>
      </c>
      <c r="B45" s="40">
        <f>healthpension!AB47</f>
        <v>25.25</v>
      </c>
      <c r="G45" s="2"/>
    </row>
    <row r="46" spans="1:7" x14ac:dyDescent="0.25">
      <c r="A46">
        <f>+healthpension!K48</f>
        <v>0</v>
      </c>
      <c r="B46" s="40">
        <f>healthpension!AB48</f>
        <v>17.53</v>
      </c>
      <c r="G46" s="2"/>
    </row>
    <row r="47" spans="1:7" x14ac:dyDescent="0.25">
      <c r="A47">
        <f>+healthpension!K49</f>
        <v>0</v>
      </c>
      <c r="B47" s="40">
        <f>healthpension!AB49</f>
        <v>33.729999999999997</v>
      </c>
      <c r="G47" s="2"/>
    </row>
    <row r="48" spans="1:7" x14ac:dyDescent="0.25">
      <c r="A48">
        <f>+healthpension!K50</f>
        <v>0</v>
      </c>
      <c r="B48" s="40">
        <f>healthpension!AB50</f>
        <v>33.71</v>
      </c>
      <c r="G48" s="2"/>
    </row>
    <row r="49" spans="1:7" x14ac:dyDescent="0.25">
      <c r="A49">
        <f>+healthpension!K51</f>
        <v>0</v>
      </c>
      <c r="B49" s="40">
        <f>healthpension!AB51</f>
        <v>40.92</v>
      </c>
      <c r="G49" s="2"/>
    </row>
    <row r="50" spans="1:7" x14ac:dyDescent="0.25">
      <c r="A50">
        <f>+healthpension!K52</f>
        <v>0</v>
      </c>
      <c r="B50" s="40">
        <f>healthpension!AB52</f>
        <v>26.71</v>
      </c>
      <c r="G50" s="2"/>
    </row>
    <row r="51" spans="1:7" x14ac:dyDescent="0.25">
      <c r="A51">
        <f>+healthpension!K53</f>
        <v>0</v>
      </c>
      <c r="B51" s="40">
        <f>healthpension!AB53</f>
        <v>25.25</v>
      </c>
      <c r="G51" s="2"/>
    </row>
    <row r="52" spans="1:7" x14ac:dyDescent="0.25">
      <c r="A52">
        <f>+healthpension!K54</f>
        <v>0</v>
      </c>
      <c r="B52" s="40">
        <f>healthpension!AB54</f>
        <v>59.09</v>
      </c>
      <c r="G52" s="2"/>
    </row>
    <row r="53" spans="1:7" x14ac:dyDescent="0.25">
      <c r="A53">
        <f>+healthpension!K55</f>
        <v>0</v>
      </c>
      <c r="B53" s="40">
        <f>healthpension!AB55</f>
        <v>63.13</v>
      </c>
      <c r="G53" s="2"/>
    </row>
    <row r="54" spans="1:7" x14ac:dyDescent="0.25">
      <c r="A54">
        <f>+healthpension!K56</f>
        <v>0</v>
      </c>
      <c r="B54" s="40">
        <f>healthpension!AB56</f>
        <v>28.03</v>
      </c>
      <c r="G54" s="2"/>
    </row>
    <row r="55" spans="1:7" x14ac:dyDescent="0.25">
      <c r="A55">
        <f>+healthpension!K57</f>
        <v>0</v>
      </c>
      <c r="B55" s="40">
        <f>healthpension!AB57</f>
        <v>39.75</v>
      </c>
      <c r="G55" s="2"/>
    </row>
    <row r="56" spans="1:7" x14ac:dyDescent="0.25">
      <c r="A56">
        <f>+healthpension!K58</f>
        <v>0</v>
      </c>
      <c r="B56" s="40">
        <f>healthpension!AB58</f>
        <v>34.76</v>
      </c>
      <c r="G56" s="2"/>
    </row>
    <row r="57" spans="1:7" x14ac:dyDescent="0.25">
      <c r="A57">
        <f>+healthpension!K59</f>
        <v>0</v>
      </c>
      <c r="B57" s="40">
        <f>healthpension!AB59</f>
        <v>70.61</v>
      </c>
      <c r="G57" s="2"/>
    </row>
    <row r="58" spans="1:7" x14ac:dyDescent="0.25">
      <c r="A58">
        <f>+healthpension!K60</f>
        <v>0</v>
      </c>
      <c r="B58" s="40">
        <f>healthpension!AB60</f>
        <v>41.32</v>
      </c>
      <c r="G58" s="2"/>
    </row>
    <row r="59" spans="1:7" x14ac:dyDescent="0.25">
      <c r="A59">
        <f>+healthpension!K61</f>
        <v>0</v>
      </c>
      <c r="B59" s="40">
        <f>healthpension!AB61</f>
        <v>33.729999999999997</v>
      </c>
      <c r="G59" s="2"/>
    </row>
    <row r="60" spans="1:7" x14ac:dyDescent="0.25">
      <c r="A60">
        <f>+healthpension!K62</f>
        <v>0</v>
      </c>
      <c r="B60" s="40">
        <f>healthpension!AB62</f>
        <v>26.71</v>
      </c>
      <c r="G60" s="2"/>
    </row>
    <row r="61" spans="1:7" x14ac:dyDescent="0.25">
      <c r="A61">
        <f>+healthpension!K63</f>
        <v>0</v>
      </c>
      <c r="B61" s="40">
        <f>healthpension!AB63</f>
        <v>34.76</v>
      </c>
      <c r="G61" s="2"/>
    </row>
    <row r="62" spans="1:7" x14ac:dyDescent="0.25">
      <c r="A62">
        <f>+healthpension!K64</f>
        <v>0</v>
      </c>
      <c r="B62" s="40">
        <f>healthpension!AB64</f>
        <v>28.05</v>
      </c>
      <c r="G62" s="2"/>
    </row>
    <row r="63" spans="1:7" x14ac:dyDescent="0.25">
      <c r="A63">
        <f>+healthpension!K65</f>
        <v>0</v>
      </c>
      <c r="B63" s="40">
        <f>healthpension!AB65</f>
        <v>44.16</v>
      </c>
      <c r="G63" s="2"/>
    </row>
    <row r="64" spans="1:7" x14ac:dyDescent="0.25">
      <c r="A64">
        <f>+healthpension!K66</f>
        <v>0</v>
      </c>
      <c r="B64" s="40">
        <f>healthpension!AB66</f>
        <v>61</v>
      </c>
      <c r="G64" s="2"/>
    </row>
    <row r="65" spans="1:7" x14ac:dyDescent="0.25">
      <c r="A65">
        <f>+healthpension!K67</f>
        <v>0</v>
      </c>
      <c r="B65" s="40">
        <f>healthpension!AB67</f>
        <v>34.630000000000003</v>
      </c>
      <c r="G65" s="2"/>
    </row>
    <row r="66" spans="1:7" x14ac:dyDescent="0.25">
      <c r="A66">
        <f>+healthpension!K68</f>
        <v>0</v>
      </c>
      <c r="B66" s="40">
        <f>healthpension!AB68</f>
        <v>37.1</v>
      </c>
      <c r="G66" s="2"/>
    </row>
    <row r="67" spans="1:7" x14ac:dyDescent="0.25">
      <c r="A67">
        <f>+healthpension!K69</f>
        <v>0</v>
      </c>
      <c r="B67" s="40">
        <f>healthpension!AB69</f>
        <v>21.64</v>
      </c>
      <c r="G67" s="2"/>
    </row>
    <row r="68" spans="1:7" x14ac:dyDescent="0.25">
      <c r="A68">
        <f>+healthpension!K70</f>
        <v>0</v>
      </c>
      <c r="B68" s="40">
        <f>healthpension!AB70</f>
        <v>35.380000000000003</v>
      </c>
      <c r="G68" s="2"/>
    </row>
    <row r="69" spans="1:7" x14ac:dyDescent="0.25">
      <c r="A69">
        <f>+healthpension!K71</f>
        <v>0</v>
      </c>
      <c r="B69" s="40">
        <f>healthpension!AB71</f>
        <v>34.17</v>
      </c>
      <c r="G69" s="2"/>
    </row>
    <row r="70" spans="1:7" x14ac:dyDescent="0.25">
      <c r="A70">
        <f>+healthpension!K72</f>
        <v>0</v>
      </c>
      <c r="B70" s="40">
        <f>healthpension!AB72</f>
        <v>60.02</v>
      </c>
      <c r="G70" s="2"/>
    </row>
    <row r="71" spans="1:7" x14ac:dyDescent="0.25">
      <c r="A71">
        <f>+healthpension!K73</f>
        <v>0</v>
      </c>
      <c r="B71" s="40">
        <f>healthpension!AB73</f>
        <v>30.89</v>
      </c>
      <c r="G71" s="2"/>
    </row>
    <row r="72" spans="1:7" x14ac:dyDescent="0.25">
      <c r="A72">
        <f>+healthpension!K74</f>
        <v>0</v>
      </c>
      <c r="B72" s="40">
        <f>healthpension!AB74</f>
        <v>69.790000000000006</v>
      </c>
      <c r="G72" s="2"/>
    </row>
    <row r="73" spans="1:7" x14ac:dyDescent="0.25">
      <c r="A73">
        <f>+healthpension!K75</f>
        <v>0</v>
      </c>
      <c r="B73" s="40">
        <f>healthpension!AB75</f>
        <v>33.840000000000003</v>
      </c>
      <c r="G73" s="2"/>
    </row>
    <row r="74" spans="1:7" x14ac:dyDescent="0.25">
      <c r="A74">
        <f>+healthpension!K76</f>
        <v>0</v>
      </c>
      <c r="B74" s="40">
        <f>healthpension!AB76</f>
        <v>18.41</v>
      </c>
      <c r="G74" s="2"/>
    </row>
    <row r="75" spans="1:7" x14ac:dyDescent="0.25">
      <c r="A75">
        <f>+healthpension!K77</f>
        <v>0</v>
      </c>
      <c r="B75" s="40">
        <f>healthpension!AB77</f>
        <v>25.25</v>
      </c>
      <c r="G75" s="2"/>
    </row>
    <row r="76" spans="1:7" x14ac:dyDescent="0.25">
      <c r="A76">
        <f>+healthpension!K78</f>
        <v>0</v>
      </c>
      <c r="B76" s="40">
        <f>healthpension!AB78</f>
        <v>28.51</v>
      </c>
      <c r="G76" s="2"/>
    </row>
    <row r="77" spans="1:7" x14ac:dyDescent="0.25">
      <c r="A77">
        <f>+healthpension!K79</f>
        <v>0</v>
      </c>
      <c r="B77" s="40">
        <f>healthpension!AB79</f>
        <v>26.48</v>
      </c>
      <c r="G77" s="2"/>
    </row>
    <row r="78" spans="1:7" x14ac:dyDescent="0.25">
      <c r="A78">
        <f>+healthpension!K80</f>
        <v>0</v>
      </c>
      <c r="B78" s="40">
        <f>healthpension!AB80</f>
        <v>25.25</v>
      </c>
    </row>
    <row r="79" spans="1:7" x14ac:dyDescent="0.25">
      <c r="A79">
        <f>+healthpension!K81</f>
        <v>0</v>
      </c>
      <c r="B79" s="40">
        <f>healthpension!AB81</f>
        <v>18.03</v>
      </c>
      <c r="G79" s="2"/>
    </row>
    <row r="80" spans="1:7" x14ac:dyDescent="0.25">
      <c r="A80">
        <f>+healthpension!K82</f>
        <v>0</v>
      </c>
      <c r="B80" s="40">
        <f>healthpension!AB82</f>
        <v>33.4</v>
      </c>
      <c r="G80" s="2"/>
    </row>
    <row r="81" spans="1:7" x14ac:dyDescent="0.25">
      <c r="A81">
        <f>+healthpension!K83</f>
        <v>0</v>
      </c>
      <c r="B81" s="40">
        <f>healthpension!AB83</f>
        <v>36.1</v>
      </c>
      <c r="G81" s="2"/>
    </row>
    <row r="82" spans="1:7" x14ac:dyDescent="0.25">
      <c r="A82">
        <f>+healthpension!K84</f>
        <v>0</v>
      </c>
      <c r="B82" s="40">
        <f>healthpension!AB84</f>
        <v>15.17</v>
      </c>
      <c r="G82" s="2"/>
    </row>
    <row r="83" spans="1:7" x14ac:dyDescent="0.25">
      <c r="A83">
        <f>+healthpension!K85</f>
        <v>0</v>
      </c>
      <c r="B83" s="40">
        <f>healthpension!AB85</f>
        <v>27.04</v>
      </c>
      <c r="G83" s="2"/>
    </row>
    <row r="84" spans="1:7" x14ac:dyDescent="0.25">
      <c r="A84">
        <f>+healthpension!K86</f>
        <v>0</v>
      </c>
      <c r="B84" s="40">
        <f>healthpension!AB86</f>
        <v>18.329999999999998</v>
      </c>
      <c r="G84" s="2"/>
    </row>
    <row r="85" spans="1:7" x14ac:dyDescent="0.25">
      <c r="A85">
        <f>+healthpension!K87</f>
        <v>0</v>
      </c>
      <c r="B85" s="40">
        <f>healthpension!AB87</f>
        <v>27.69</v>
      </c>
    </row>
    <row r="86" spans="1:7" x14ac:dyDescent="0.25">
      <c r="A86">
        <f>+healthpension!K88</f>
        <v>0</v>
      </c>
      <c r="B86" s="40">
        <f>healthpension!AB88</f>
        <v>34.31</v>
      </c>
      <c r="G86" s="2"/>
    </row>
    <row r="87" spans="1:7" x14ac:dyDescent="0.25">
      <c r="A87">
        <f>+healthpension!K89</f>
        <v>0</v>
      </c>
      <c r="B87" s="40">
        <f>healthpension!AB89</f>
        <v>33.729999999999997</v>
      </c>
      <c r="G87" s="2"/>
    </row>
    <row r="88" spans="1:7" x14ac:dyDescent="0.25">
      <c r="A88">
        <f>+healthpension!K90</f>
        <v>0</v>
      </c>
      <c r="B88" s="40">
        <f>healthpension!AB90</f>
        <v>41.06</v>
      </c>
      <c r="G88" s="2"/>
    </row>
    <row r="89" spans="1:7" x14ac:dyDescent="0.25">
      <c r="A89">
        <f>+healthpension!K91</f>
        <v>0</v>
      </c>
      <c r="B89" s="40">
        <f>healthpension!AB91</f>
        <v>35.76</v>
      </c>
      <c r="G89" s="2"/>
    </row>
    <row r="90" spans="1:7" x14ac:dyDescent="0.25">
      <c r="A90">
        <f>+healthpension!K92</f>
        <v>0</v>
      </c>
      <c r="B90" s="40">
        <f>healthpension!AB92</f>
        <v>24.32</v>
      </c>
      <c r="G90" s="2"/>
    </row>
    <row r="91" spans="1:7" x14ac:dyDescent="0.25">
      <c r="A91">
        <f>+healthpension!K93</f>
        <v>0</v>
      </c>
      <c r="B91" s="40">
        <f>healthpension!AB93</f>
        <v>23.04</v>
      </c>
      <c r="C91" s="1"/>
      <c r="D91" s="1"/>
      <c r="E91" s="25"/>
      <c r="G91" s="2"/>
    </row>
    <row r="92" spans="1:7" x14ac:dyDescent="0.25">
      <c r="A92">
        <f>+healthpension!K94</f>
        <v>0</v>
      </c>
      <c r="B92" s="40">
        <f>healthpension!AB94</f>
        <v>33.729999999999997</v>
      </c>
      <c r="C92" s="1"/>
      <c r="D92" s="1"/>
      <c r="E92" s="25"/>
      <c r="G92" s="2"/>
    </row>
    <row r="93" spans="1:7" x14ac:dyDescent="0.25">
      <c r="A93">
        <f>+healthpension!K95</f>
        <v>0</v>
      </c>
      <c r="B93" s="40">
        <f>healthpension!AB95</f>
        <v>33.479999999999997</v>
      </c>
      <c r="C93" s="1"/>
      <c r="D93" s="1"/>
      <c r="E93" s="25"/>
    </row>
    <row r="94" spans="1:7" x14ac:dyDescent="0.25">
      <c r="A94">
        <f>+healthpension!K96</f>
        <v>0</v>
      </c>
      <c r="B94" s="40">
        <f>healthpension!AB96</f>
        <v>29.94</v>
      </c>
      <c r="C94" s="1"/>
      <c r="D94" s="1"/>
      <c r="E94" s="25"/>
    </row>
    <row r="95" spans="1:7" x14ac:dyDescent="0.25">
      <c r="A95">
        <f>+healthpension!K97</f>
        <v>0</v>
      </c>
      <c r="B95" s="40">
        <f>healthpension!AB97</f>
        <v>17.53</v>
      </c>
      <c r="C95" s="1"/>
      <c r="D95" s="1"/>
      <c r="E95" s="25"/>
    </row>
    <row r="96" spans="1:7" x14ac:dyDescent="0.25">
      <c r="A96">
        <f>+healthpension!K98</f>
        <v>0</v>
      </c>
      <c r="B96" s="40">
        <f>healthpension!AB98</f>
        <v>34.81</v>
      </c>
      <c r="C96" s="1"/>
      <c r="D96" s="1"/>
      <c r="E96" s="25"/>
    </row>
    <row r="97" spans="1:6" x14ac:dyDescent="0.25">
      <c r="A97">
        <f>+healthpension!K99</f>
        <v>0</v>
      </c>
      <c r="B97" s="40">
        <f>healthpension!AB99</f>
        <v>42.09</v>
      </c>
      <c r="C97" s="1"/>
      <c r="D97" s="1"/>
      <c r="E97" s="25"/>
    </row>
    <row r="98" spans="1:6" x14ac:dyDescent="0.25">
      <c r="A98">
        <f>+healthpension!K100</f>
        <v>0</v>
      </c>
      <c r="B98" s="40">
        <f>healthpension!AB100</f>
        <v>37.520000000000003</v>
      </c>
      <c r="C98" s="1"/>
      <c r="D98" s="1"/>
      <c r="E98" s="25"/>
    </row>
    <row r="99" spans="1:6" x14ac:dyDescent="0.25">
      <c r="A99">
        <f>+healthpension!K101</f>
        <v>0</v>
      </c>
      <c r="B99" s="40">
        <f>healthpension!AB101</f>
        <v>66.930000000000007</v>
      </c>
      <c r="C99" s="1"/>
      <c r="D99" s="1"/>
      <c r="E99" s="25"/>
      <c r="F99" s="10"/>
    </row>
    <row r="100" spans="1:6" x14ac:dyDescent="0.25">
      <c r="A100">
        <f>+healthpension!K102</f>
        <v>0</v>
      </c>
      <c r="B100" s="40">
        <f>healthpension!AB102</f>
        <v>36.200000000000003</v>
      </c>
      <c r="C100" s="1"/>
      <c r="D100" s="1"/>
      <c r="E100" s="25"/>
      <c r="F100" s="10"/>
    </row>
    <row r="101" spans="1:6" x14ac:dyDescent="0.25">
      <c r="A101">
        <f>+healthpension!K103</f>
        <v>0</v>
      </c>
      <c r="B101" s="40">
        <f>healthpension!AB103</f>
        <v>26.28</v>
      </c>
      <c r="C101" s="1"/>
      <c r="D101" s="1"/>
      <c r="E101" s="25"/>
      <c r="F101" s="10"/>
    </row>
    <row r="102" spans="1:6" x14ac:dyDescent="0.25">
      <c r="A102">
        <f>+healthpension!K104</f>
        <v>0</v>
      </c>
      <c r="B102" s="40">
        <f>healthpension!AB104</f>
        <v>32.29</v>
      </c>
      <c r="C102" s="1"/>
      <c r="D102" s="1"/>
      <c r="E102" s="25"/>
      <c r="F102" s="10"/>
    </row>
    <row r="103" spans="1:6" x14ac:dyDescent="0.25">
      <c r="A103">
        <f>+healthpension!K105</f>
        <v>0</v>
      </c>
      <c r="B103" s="40">
        <f>healthpension!AB105</f>
        <v>25.25</v>
      </c>
      <c r="C103" s="1"/>
      <c r="D103" s="1"/>
      <c r="E103" s="25"/>
      <c r="F103" s="10"/>
    </row>
    <row r="104" spans="1:6" x14ac:dyDescent="0.25">
      <c r="A104">
        <f>+healthpension!K106</f>
        <v>0</v>
      </c>
      <c r="B104" s="40">
        <f>healthpension!AB106</f>
        <v>34.31</v>
      </c>
      <c r="C104" s="1"/>
      <c r="D104" s="1"/>
      <c r="E104" s="25"/>
      <c r="F104" s="10"/>
    </row>
    <row r="105" spans="1:6" x14ac:dyDescent="0.25">
      <c r="A105">
        <f>+healthpension!K107</f>
        <v>0</v>
      </c>
      <c r="B105" s="40">
        <f>healthpension!AB107</f>
        <v>87.36</v>
      </c>
      <c r="C105" s="1"/>
      <c r="D105" s="1"/>
      <c r="E105" s="25"/>
      <c r="F105" s="10"/>
    </row>
    <row r="106" spans="1:6" x14ac:dyDescent="0.25">
      <c r="A106">
        <f>+healthpension!K108</f>
        <v>0</v>
      </c>
      <c r="B106" s="40">
        <f>healthpension!AB108</f>
        <v>34.22</v>
      </c>
      <c r="C106" s="1"/>
      <c r="D106" s="1"/>
      <c r="E106" s="25"/>
      <c r="F106" s="10"/>
    </row>
    <row r="107" spans="1:6" x14ac:dyDescent="0.25">
      <c r="A107">
        <f>+healthpension!K109</f>
        <v>0</v>
      </c>
      <c r="B107" s="40">
        <f>healthpension!AB109</f>
        <v>39.6</v>
      </c>
      <c r="C107" s="1"/>
      <c r="D107" s="1"/>
      <c r="E107" s="25"/>
      <c r="F107" s="10"/>
    </row>
    <row r="108" spans="1:6" x14ac:dyDescent="0.25">
      <c r="A108">
        <f>+healthpension!K110</f>
        <v>0</v>
      </c>
      <c r="B108" s="40">
        <f>healthpension!AB110</f>
        <v>26.18</v>
      </c>
      <c r="C108" s="1"/>
      <c r="D108" s="1"/>
      <c r="E108" s="25"/>
      <c r="F108" s="10"/>
    </row>
    <row r="109" spans="1:6" x14ac:dyDescent="0.25">
      <c r="A109">
        <f>+healthpension!K111</f>
        <v>0</v>
      </c>
      <c r="B109" s="40">
        <f>healthpension!AB111</f>
        <v>36.200000000000003</v>
      </c>
      <c r="C109" s="1"/>
      <c r="D109" s="1"/>
      <c r="E109" s="25"/>
      <c r="F109" s="10"/>
    </row>
    <row r="110" spans="1:6" x14ac:dyDescent="0.25">
      <c r="A110">
        <f>+healthpension!K112</f>
        <v>0</v>
      </c>
      <c r="B110" s="40">
        <f>healthpension!AB112</f>
        <v>58.14</v>
      </c>
      <c r="C110" s="1"/>
      <c r="D110" s="1"/>
      <c r="E110" s="25"/>
      <c r="F110" s="10"/>
    </row>
    <row r="111" spans="1:6" x14ac:dyDescent="0.25">
      <c r="A111">
        <f>+healthpension!K113</f>
        <v>0</v>
      </c>
      <c r="B111" s="40">
        <f>healthpension!AB113</f>
        <v>22.56</v>
      </c>
      <c r="C111" s="1"/>
      <c r="D111" s="1"/>
      <c r="E111" s="25"/>
      <c r="F111" s="10"/>
    </row>
    <row r="112" spans="1:6" x14ac:dyDescent="0.25">
      <c r="A112">
        <f>+healthpension!K114</f>
        <v>0</v>
      </c>
      <c r="B112" s="40">
        <f>healthpension!AB114</f>
        <v>26.37</v>
      </c>
      <c r="C112" s="1"/>
      <c r="D112" s="1"/>
      <c r="E112" s="25"/>
      <c r="F112" s="10"/>
    </row>
    <row r="113" spans="1:7" x14ac:dyDescent="0.25">
      <c r="A113">
        <f>+healthpension!K115</f>
        <v>0</v>
      </c>
      <c r="B113" s="40">
        <f>healthpension!AB115</f>
        <v>41.32</v>
      </c>
      <c r="C113" s="1"/>
      <c r="D113" s="1"/>
      <c r="E113" s="25"/>
      <c r="F113" s="10"/>
    </row>
    <row r="114" spans="1:7" x14ac:dyDescent="0.25">
      <c r="A114">
        <f>+healthpension!K116</f>
        <v>0</v>
      </c>
      <c r="B114" s="40">
        <f>healthpension!AB116</f>
        <v>29</v>
      </c>
      <c r="C114" s="1"/>
      <c r="D114" s="1"/>
      <c r="E114" s="25"/>
      <c r="F114" s="10"/>
    </row>
    <row r="115" spans="1:7" x14ac:dyDescent="0.25">
      <c r="A115">
        <f>+healthpension!K117</f>
        <v>0</v>
      </c>
      <c r="B115" s="40">
        <f>healthpension!AB117</f>
        <v>53.27</v>
      </c>
      <c r="C115" s="1"/>
      <c r="D115" s="1"/>
      <c r="E115" s="25"/>
      <c r="F115" s="10"/>
    </row>
    <row r="116" spans="1:7" x14ac:dyDescent="0.25">
      <c r="A116">
        <f>+healthpension!K118</f>
        <v>0</v>
      </c>
      <c r="B116" s="40">
        <f>healthpension!AB118</f>
        <v>22.52</v>
      </c>
      <c r="C116" s="1"/>
      <c r="D116" s="1"/>
      <c r="E116" s="25"/>
      <c r="F116" s="10"/>
    </row>
    <row r="117" spans="1:7" x14ac:dyDescent="0.25">
      <c r="A117">
        <f>+healthpension!K119</f>
        <v>0</v>
      </c>
      <c r="B117" s="40">
        <f>healthpension!AB119</f>
        <v>39.89</v>
      </c>
      <c r="C117" s="9"/>
      <c r="D117" s="10"/>
      <c r="E117" s="28"/>
      <c r="F117" s="10"/>
    </row>
    <row r="118" spans="1:7" x14ac:dyDescent="0.25">
      <c r="A118">
        <f>+healthpension!K120</f>
        <v>0</v>
      </c>
      <c r="B118" s="40">
        <f>healthpension!AB120</f>
        <v>33.729999999999997</v>
      </c>
      <c r="C118" s="9"/>
      <c r="D118" s="10"/>
      <c r="E118" s="14"/>
      <c r="F118" s="10"/>
    </row>
    <row r="119" spans="1:7" x14ac:dyDescent="0.25">
      <c r="A119">
        <f>+healthpension!K121</f>
        <v>0</v>
      </c>
      <c r="B119" s="40">
        <f>healthpension!AB121</f>
        <v>24.94</v>
      </c>
      <c r="C119" s="9"/>
      <c r="D119" s="10"/>
      <c r="E119" s="14"/>
      <c r="F119" s="10"/>
    </row>
    <row r="120" spans="1:7" x14ac:dyDescent="0.25">
      <c r="A120">
        <f>+healthpension!K122</f>
        <v>0</v>
      </c>
      <c r="B120" s="40">
        <f>healthpension!AB122</f>
        <v>33.729999999999997</v>
      </c>
      <c r="C120" s="9"/>
      <c r="D120" s="10"/>
      <c r="E120" s="14"/>
      <c r="F120" s="10"/>
    </row>
    <row r="121" spans="1:7" x14ac:dyDescent="0.25">
      <c r="A121">
        <f>+healthpension!K123</f>
        <v>0</v>
      </c>
      <c r="B121" s="40">
        <f>healthpension!AB123</f>
        <v>34.49</v>
      </c>
      <c r="C121" s="9"/>
      <c r="D121" s="9"/>
      <c r="E121" s="9"/>
      <c r="F121" s="9"/>
      <c r="G121" s="9"/>
    </row>
    <row r="122" spans="1:7" x14ac:dyDescent="0.25">
      <c r="A122">
        <f>+healthpension!K124</f>
        <v>0</v>
      </c>
      <c r="B122" s="40">
        <f>healthpension!AB124</f>
        <v>25.97</v>
      </c>
      <c r="C122" s="9"/>
      <c r="D122" s="9"/>
      <c r="E122" s="9"/>
      <c r="F122" s="9"/>
      <c r="G122" s="9"/>
    </row>
    <row r="123" spans="1:7" x14ac:dyDescent="0.25">
      <c r="A123">
        <f>+healthpension!K125</f>
        <v>0</v>
      </c>
      <c r="B123" s="40">
        <f>healthpension!AB125</f>
        <v>71.760000000000005</v>
      </c>
      <c r="C123" s="9"/>
      <c r="D123" s="9"/>
      <c r="E123" s="9"/>
      <c r="F123" s="9"/>
      <c r="G123" s="9"/>
    </row>
    <row r="124" spans="1:7" x14ac:dyDescent="0.25">
      <c r="A124">
        <f>+healthpension!K126</f>
        <v>0</v>
      </c>
      <c r="B124" s="40">
        <f>healthpension!AB126</f>
        <v>41.06</v>
      </c>
      <c r="C124" s="9"/>
      <c r="D124" s="9"/>
      <c r="E124" s="9"/>
      <c r="F124" s="9"/>
      <c r="G124" s="9"/>
    </row>
    <row r="125" spans="1:7" x14ac:dyDescent="0.25">
      <c r="A125">
        <f>+healthpension!K127</f>
        <v>0</v>
      </c>
      <c r="B125" s="40">
        <f>healthpension!AB127</f>
        <v>33.4</v>
      </c>
      <c r="D125" s="9"/>
      <c r="E125" s="9"/>
      <c r="F125" s="9"/>
      <c r="G125" s="9"/>
    </row>
    <row r="126" spans="1:7" x14ac:dyDescent="0.25">
      <c r="A126">
        <f>+healthpension!K128</f>
        <v>0</v>
      </c>
      <c r="B126" s="40">
        <f>healthpension!AB128</f>
        <v>175.15</v>
      </c>
    </row>
    <row r="127" spans="1:7" x14ac:dyDescent="0.25">
      <c r="A127">
        <f>+healthpension!K129</f>
        <v>0</v>
      </c>
      <c r="B127" s="40">
        <f>healthpension!AB129</f>
        <v>26.28</v>
      </c>
    </row>
    <row r="128" spans="1:7" x14ac:dyDescent="0.25">
      <c r="A128">
        <f>+healthpension!K130</f>
        <v>0</v>
      </c>
      <c r="B128" s="40">
        <f>healthpension!AB130</f>
        <v>33.729999999999997</v>
      </c>
    </row>
    <row r="129" spans="1:5" x14ac:dyDescent="0.25">
      <c r="A129">
        <f>+healthpension!K131</f>
        <v>0</v>
      </c>
      <c r="B129" s="40">
        <f>healthpension!AB131</f>
        <v>25.76</v>
      </c>
      <c r="E129" s="28"/>
    </row>
    <row r="130" spans="1:5" x14ac:dyDescent="0.25">
      <c r="A130">
        <f>+healthpension!K132</f>
        <v>0</v>
      </c>
      <c r="B130" s="40">
        <f>healthpension!AB132</f>
        <v>16.09</v>
      </c>
      <c r="E130" s="28"/>
    </row>
    <row r="131" spans="1:5" x14ac:dyDescent="0.25">
      <c r="A131">
        <f>+healthpension!K133</f>
        <v>0</v>
      </c>
      <c r="B131" s="40">
        <f>healthpension!AB133</f>
        <v>89.79</v>
      </c>
      <c r="E131" s="28"/>
    </row>
    <row r="132" spans="1:5" x14ac:dyDescent="0.25">
      <c r="A132">
        <f>+healthpension!K134</f>
        <v>0</v>
      </c>
      <c r="B132" s="40">
        <f>healthpension!AB134</f>
        <v>61.93</v>
      </c>
      <c r="E132" s="28"/>
    </row>
    <row r="133" spans="1:5" x14ac:dyDescent="0.25">
      <c r="A133">
        <f>+healthpension!K135</f>
        <v>0</v>
      </c>
      <c r="B133" s="40">
        <f>healthpension!AB135</f>
        <v>18.329999999999998</v>
      </c>
      <c r="E133" s="28"/>
    </row>
    <row r="134" spans="1:5" x14ac:dyDescent="0.25">
      <c r="A134">
        <f>+healthpension!K136</f>
        <v>0</v>
      </c>
      <c r="B134" s="40">
        <f>healthpension!AB136</f>
        <v>40.340000000000003</v>
      </c>
      <c r="E134" s="28"/>
    </row>
    <row r="135" spans="1:5" x14ac:dyDescent="0.25">
      <c r="A135">
        <f>+healthpension!K137</f>
        <v>0</v>
      </c>
      <c r="B135" s="40">
        <f>healthpension!AB137</f>
        <v>33.71</v>
      </c>
      <c r="E135" s="28"/>
    </row>
    <row r="136" spans="1:5" x14ac:dyDescent="0.25">
      <c r="A136">
        <f>+healthpension!K138</f>
        <v>0</v>
      </c>
      <c r="B136" s="40">
        <f>healthpension!AB138</f>
        <v>43.71</v>
      </c>
      <c r="E136" s="28"/>
    </row>
    <row r="137" spans="1:5" x14ac:dyDescent="0.25">
      <c r="A137">
        <f>+healthpension!K139</f>
        <v>0</v>
      </c>
      <c r="B137" s="40">
        <f>healthpension!AB139</f>
        <v>33.729999999999997</v>
      </c>
      <c r="E137" s="28"/>
    </row>
    <row r="138" spans="1:5" x14ac:dyDescent="0.25">
      <c r="A138">
        <f>+healthpension!K140</f>
        <v>0</v>
      </c>
      <c r="B138" s="40">
        <f>healthpension!AB140</f>
        <v>89.59</v>
      </c>
      <c r="E138" s="28"/>
    </row>
    <row r="139" spans="1:5" x14ac:dyDescent="0.25">
      <c r="A139">
        <f>+healthpension!K141</f>
        <v>0</v>
      </c>
      <c r="B139" s="40">
        <f>healthpension!AB141</f>
        <v>34.6</v>
      </c>
    </row>
    <row r="140" spans="1:5" x14ac:dyDescent="0.25">
      <c r="A140">
        <f>+healthpension!K142</f>
        <v>0</v>
      </c>
      <c r="B140" s="40">
        <f>healthpension!AB142</f>
        <v>35.590000000000003</v>
      </c>
    </row>
    <row r="141" spans="1:5" x14ac:dyDescent="0.25">
      <c r="A141">
        <f>+healthpension!K143</f>
        <v>0</v>
      </c>
      <c r="B141" s="40">
        <f>healthpension!AB143</f>
        <v>18.12</v>
      </c>
    </row>
    <row r="142" spans="1:5" x14ac:dyDescent="0.25">
      <c r="A142">
        <f>+healthpension!K144</f>
        <v>0</v>
      </c>
      <c r="B142" s="40">
        <f>healthpension!AB144</f>
        <v>25.59</v>
      </c>
    </row>
    <row r="143" spans="1:5" x14ac:dyDescent="0.25">
      <c r="A143">
        <f>+healthpension!K145</f>
        <v>0</v>
      </c>
      <c r="B143" s="40">
        <f>healthpension!AB145</f>
        <v>18.329999999999998</v>
      </c>
    </row>
    <row r="144" spans="1:5" x14ac:dyDescent="0.25">
      <c r="A144">
        <f>+healthpension!K146</f>
        <v>0</v>
      </c>
      <c r="B144" s="40">
        <f>healthpension!AB146</f>
        <v>28.13</v>
      </c>
    </row>
    <row r="145" spans="1:3" x14ac:dyDescent="0.25">
      <c r="A145">
        <f>+healthpension!K147</f>
        <v>0</v>
      </c>
      <c r="B145" s="40">
        <f>healthpension!AB147</f>
        <v>35.31</v>
      </c>
    </row>
    <row r="146" spans="1:3" x14ac:dyDescent="0.25">
      <c r="A146">
        <f>+healthpension!K148</f>
        <v>0</v>
      </c>
      <c r="B146" s="40">
        <f>healthpension!AB148</f>
        <v>26.71</v>
      </c>
    </row>
    <row r="147" spans="1:3" x14ac:dyDescent="0.25">
      <c r="A147">
        <f>+healthpension!K149</f>
        <v>0</v>
      </c>
      <c r="B147" s="40">
        <f>healthpension!AB149</f>
        <v>24.58</v>
      </c>
    </row>
    <row r="148" spans="1:3" x14ac:dyDescent="0.25">
      <c r="A148">
        <f>+healthpension!K150</f>
        <v>0</v>
      </c>
      <c r="B148" s="40">
        <f>healthpension!AB150</f>
        <v>25.25</v>
      </c>
    </row>
    <row r="149" spans="1:3" x14ac:dyDescent="0.25">
      <c r="A149">
        <f>+healthpension!K151</f>
        <v>0</v>
      </c>
      <c r="B149" s="40">
        <f>healthpension!AB151</f>
        <v>17.53</v>
      </c>
    </row>
    <row r="150" spans="1:3" x14ac:dyDescent="0.25">
      <c r="A150">
        <f>+healthpension!K152</f>
        <v>0</v>
      </c>
      <c r="B150" s="40">
        <f>healthpension!AB152</f>
        <v>36.07</v>
      </c>
    </row>
    <row r="151" spans="1:3" x14ac:dyDescent="0.25">
      <c r="A151">
        <f>+healthpension!K153</f>
        <v>0</v>
      </c>
      <c r="B151" s="40">
        <f>healthpension!AB153</f>
        <v>33.71</v>
      </c>
    </row>
    <row r="152" spans="1:3" x14ac:dyDescent="0.25">
      <c r="A152">
        <f>+healthpension!K154</f>
        <v>0</v>
      </c>
      <c r="B152" s="40">
        <f>healthpension!AB154</f>
        <v>34.979999999999997</v>
      </c>
    </row>
    <row r="153" spans="1:3" x14ac:dyDescent="0.25">
      <c r="A153">
        <f>+healthpension!K155</f>
        <v>0</v>
      </c>
      <c r="B153" s="40">
        <f>healthpension!AB155</f>
        <v>27.48</v>
      </c>
    </row>
    <row r="154" spans="1:3" x14ac:dyDescent="0.25">
      <c r="A154">
        <f>+healthpension!K156</f>
        <v>0</v>
      </c>
      <c r="B154" s="40">
        <f>healthpension!AB156</f>
        <v>0</v>
      </c>
    </row>
    <row r="155" spans="1:3" x14ac:dyDescent="0.25">
      <c r="A155">
        <f>+healthpension!K157</f>
        <v>0</v>
      </c>
      <c r="B155" s="40">
        <f>healthpension!AB157</f>
        <v>0</v>
      </c>
    </row>
    <row r="156" spans="1:3" x14ac:dyDescent="0.25">
      <c r="B156" s="40"/>
    </row>
    <row r="157" spans="1:3" x14ac:dyDescent="0.25">
      <c r="B157" s="66"/>
    </row>
    <row r="158" spans="1:3" x14ac:dyDescent="0.25">
      <c r="B158" s="40">
        <f>SUM(B4:B157)</f>
        <v>5434.36</v>
      </c>
    </row>
    <row r="160" spans="1:3" x14ac:dyDescent="0.25">
      <c r="B160" s="66">
        <f>healthpension!AB159</f>
        <v>5434.36</v>
      </c>
      <c r="C160" t="s">
        <v>231</v>
      </c>
    </row>
    <row r="161" spans="1:10" x14ac:dyDescent="0.25">
      <c r="B161" s="40">
        <f>+B158-B160</f>
        <v>0</v>
      </c>
      <c r="C161" t="s">
        <v>211</v>
      </c>
    </row>
    <row r="162" spans="1:10" x14ac:dyDescent="0.25">
      <c r="B162" s="40"/>
      <c r="J162" s="76"/>
    </row>
    <row r="163" spans="1:10" x14ac:dyDescent="0.25">
      <c r="B163" s="64">
        <f>+'OH adj'!E11</f>
        <v>70266</v>
      </c>
      <c r="C163" s="76"/>
    </row>
    <row r="164" spans="1:10" x14ac:dyDescent="0.25">
      <c r="B164" s="40"/>
      <c r="F164" s="76"/>
    </row>
    <row r="165" spans="1:10" x14ac:dyDescent="0.25">
      <c r="A165" s="29" t="s">
        <v>125</v>
      </c>
    </row>
    <row r="166" spans="1:10" x14ac:dyDescent="0.25">
      <c r="A166" s="37" t="s">
        <v>111</v>
      </c>
      <c r="B166" s="74">
        <f>ROUND(C166*$B$163,0)</f>
        <v>24773</v>
      </c>
      <c r="C166" s="102">
        <f>+'OH adj'!C24</f>
        <v>0.35256211563635143</v>
      </c>
      <c r="G166" s="26"/>
    </row>
    <row r="167" spans="1:10" x14ac:dyDescent="0.25">
      <c r="A167" s="37" t="s">
        <v>126</v>
      </c>
      <c r="B167" s="74">
        <f>ROUND(C167*$B$163,0)</f>
        <v>35</v>
      </c>
      <c r="C167" s="102">
        <f>+'OH adj'!C25</f>
        <v>4.9959985427531356E-4</v>
      </c>
      <c r="G167" s="68"/>
    </row>
    <row r="168" spans="1:10" x14ac:dyDescent="0.25">
      <c r="A168" s="37" t="s">
        <v>127</v>
      </c>
      <c r="B168" s="74">
        <f>ROUND(C168*$B$163,0)</f>
        <v>4</v>
      </c>
      <c r="C168" s="102">
        <f>+'OH adj'!C26</f>
        <v>6.3620120540336546E-5</v>
      </c>
    </row>
    <row r="169" spans="1:10" x14ac:dyDescent="0.25">
      <c r="A169" s="37" t="s">
        <v>128</v>
      </c>
      <c r="B169" s="75">
        <f>ROUND(C169*$B$163,0)</f>
        <v>45453</v>
      </c>
      <c r="C169" s="71">
        <f>+'OH adj'!C27</f>
        <v>0.6468746643888329</v>
      </c>
    </row>
    <row r="170" spans="1:10" x14ac:dyDescent="0.25">
      <c r="A170" s="37"/>
    </row>
    <row r="171" spans="1:10" x14ac:dyDescent="0.25">
      <c r="A171" s="46" t="s">
        <v>129</v>
      </c>
      <c r="B171" s="72">
        <f>SUM(B166:B170)</f>
        <v>70265</v>
      </c>
      <c r="C171" s="73">
        <f>SUM(C166:C170)</f>
        <v>1</v>
      </c>
    </row>
  </sheetData>
  <phoneticPr fontId="5" type="noConversion"/>
  <pageMargins left="0.75" right="0.75" top="1" bottom="1" header="0.5" footer="0.5"/>
  <pageSetup orientation="portrait" horizontalDpi="4294967295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84"/>
  <sheetViews>
    <sheetView topLeftCell="A14" workbookViewId="0">
      <pane xSplit="2" ySplit="1" topLeftCell="M15" activePane="bottomRight" state="frozen"/>
      <selection activeCell="A14" sqref="A14"/>
      <selection pane="topRight" activeCell="C14" sqref="C14"/>
      <selection pane="bottomLeft" activeCell="A15" sqref="A15"/>
      <selection pane="bottomRight" activeCell="A15" sqref="A15"/>
    </sheetView>
  </sheetViews>
  <sheetFormatPr defaultRowHeight="13.2" x14ac:dyDescent="0.25"/>
  <cols>
    <col min="1" max="1" width="18.88671875" bestFit="1" customWidth="1"/>
    <col min="2" max="2" width="5" customWidth="1"/>
    <col min="3" max="3" width="7.6640625" bestFit="1" customWidth="1"/>
    <col min="4" max="4" width="11.33203125" bestFit="1" customWidth="1"/>
    <col min="5" max="5" width="5" bestFit="1" customWidth="1"/>
    <col min="6" max="7" width="11.33203125" style="33" bestFit="1" customWidth="1"/>
    <col min="8" max="8" width="5.5546875" bestFit="1" customWidth="1"/>
    <col min="9" max="9" width="10.88671875" bestFit="1" customWidth="1"/>
    <col min="10" max="10" width="10.33203125" style="97" bestFit="1" customWidth="1"/>
    <col min="11" max="11" width="11.44140625" bestFit="1" customWidth="1"/>
    <col min="12" max="12" width="10.109375" bestFit="1" customWidth="1"/>
    <col min="13" max="13" width="7.88671875" customWidth="1"/>
    <col min="14" max="14" width="6" bestFit="1" customWidth="1"/>
    <col min="15" max="15" width="12.33203125" style="97" bestFit="1" customWidth="1"/>
    <col min="16" max="16" width="7.44140625" customWidth="1"/>
    <col min="17" max="17" width="7.5546875" bestFit="1" customWidth="1"/>
    <col min="18" max="18" width="9.109375" style="97" customWidth="1"/>
    <col min="19" max="19" width="13.109375" customWidth="1"/>
    <col min="20" max="20" width="12.88671875" style="40" bestFit="1" customWidth="1"/>
  </cols>
  <sheetData>
    <row r="1" spans="1:20" hidden="1" x14ac:dyDescent="0.25">
      <c r="A1" s="514" t="s">
        <v>121</v>
      </c>
      <c r="B1" s="514"/>
      <c r="E1" s="1"/>
      <c r="H1" s="1"/>
      <c r="J1"/>
      <c r="O1"/>
      <c r="R1"/>
    </row>
    <row r="2" spans="1:20" hidden="1" x14ac:dyDescent="0.25">
      <c r="A2" s="31" t="s">
        <v>122</v>
      </c>
      <c r="B2" s="31" t="s">
        <v>123</v>
      </c>
      <c r="E2" s="1"/>
      <c r="H2" s="1"/>
      <c r="J2"/>
      <c r="O2"/>
      <c r="R2"/>
    </row>
    <row r="3" spans="1:20" hidden="1" x14ac:dyDescent="0.25">
      <c r="A3" s="31">
        <v>1</v>
      </c>
      <c r="B3" s="266">
        <v>0.05</v>
      </c>
      <c r="E3" s="1"/>
      <c r="H3" s="1"/>
      <c r="J3"/>
      <c r="O3"/>
      <c r="R3"/>
    </row>
    <row r="4" spans="1:20" hidden="1" x14ac:dyDescent="0.25">
      <c r="A4" s="31">
        <v>25</v>
      </c>
      <c r="B4" s="266">
        <v>0.06</v>
      </c>
      <c r="E4" s="1"/>
      <c r="H4" s="1"/>
      <c r="J4"/>
      <c r="O4"/>
      <c r="R4"/>
    </row>
    <row r="5" spans="1:20" hidden="1" x14ac:dyDescent="0.25">
      <c r="A5" s="31">
        <v>30</v>
      </c>
      <c r="B5" s="266">
        <v>0.08</v>
      </c>
      <c r="E5" s="1"/>
      <c r="H5" s="1"/>
      <c r="J5"/>
      <c r="O5"/>
      <c r="R5"/>
    </row>
    <row r="6" spans="1:20" hidden="1" x14ac:dyDescent="0.25">
      <c r="A6" s="31">
        <v>35</v>
      </c>
      <c r="B6" s="266">
        <v>0.09</v>
      </c>
      <c r="E6" s="1"/>
      <c r="H6" s="1"/>
      <c r="J6"/>
      <c r="O6"/>
      <c r="R6"/>
    </row>
    <row r="7" spans="1:20" hidden="1" x14ac:dyDescent="0.25">
      <c r="A7" s="31">
        <v>40</v>
      </c>
      <c r="B7" s="267">
        <v>0.1</v>
      </c>
      <c r="E7" s="1"/>
      <c r="H7" s="1"/>
      <c r="J7"/>
      <c r="O7"/>
      <c r="R7"/>
    </row>
    <row r="8" spans="1:20" hidden="1" x14ac:dyDescent="0.25">
      <c r="A8" s="31">
        <v>45</v>
      </c>
      <c r="B8" s="266">
        <v>0.15</v>
      </c>
      <c r="E8" s="1"/>
      <c r="H8" s="1"/>
      <c r="J8"/>
      <c r="O8"/>
      <c r="R8"/>
    </row>
    <row r="9" spans="1:20" hidden="1" x14ac:dyDescent="0.25">
      <c r="A9" s="31">
        <v>50</v>
      </c>
      <c r="B9" s="266">
        <v>0.23</v>
      </c>
      <c r="E9" s="1"/>
      <c r="H9" s="1"/>
      <c r="J9"/>
      <c r="O9"/>
      <c r="R9"/>
    </row>
    <row r="10" spans="1:20" hidden="1" x14ac:dyDescent="0.25">
      <c r="A10" s="31">
        <v>55</v>
      </c>
      <c r="B10" s="266">
        <v>0.43</v>
      </c>
      <c r="E10" s="1"/>
      <c r="H10" s="1"/>
      <c r="J10"/>
      <c r="O10"/>
      <c r="R10"/>
    </row>
    <row r="11" spans="1:20" hidden="1" x14ac:dyDescent="0.25">
      <c r="A11" s="31">
        <v>60</v>
      </c>
      <c r="B11" s="266">
        <v>0.66</v>
      </c>
      <c r="E11" s="1"/>
      <c r="H11" s="1"/>
      <c r="J11"/>
      <c r="O11"/>
      <c r="R11"/>
    </row>
    <row r="12" spans="1:20" hidden="1" x14ac:dyDescent="0.25">
      <c r="A12" s="31">
        <v>65</v>
      </c>
      <c r="B12" s="266">
        <v>1.27</v>
      </c>
      <c r="E12" s="1"/>
      <c r="H12" s="1"/>
      <c r="J12"/>
      <c r="O12"/>
      <c r="R12"/>
    </row>
    <row r="13" spans="1:20" hidden="1" x14ac:dyDescent="0.25">
      <c r="A13" s="31">
        <v>70</v>
      </c>
      <c r="B13" s="266">
        <v>2.06</v>
      </c>
      <c r="E13" s="1"/>
      <c r="H13" s="1"/>
      <c r="J13"/>
      <c r="O13"/>
      <c r="R13"/>
    </row>
    <row r="14" spans="1:20" s="61" customFormat="1" ht="52.8" x14ac:dyDescent="0.25">
      <c r="A14" s="165" t="s">
        <v>0</v>
      </c>
      <c r="B14" s="165" t="s">
        <v>246</v>
      </c>
      <c r="C14" s="166" t="s">
        <v>254</v>
      </c>
      <c r="D14" s="167" t="s">
        <v>255</v>
      </c>
      <c r="E14" s="167" t="s">
        <v>256</v>
      </c>
      <c r="F14" s="259" t="s">
        <v>257</v>
      </c>
      <c r="G14" s="259" t="s">
        <v>247</v>
      </c>
      <c r="H14" s="167" t="s">
        <v>258</v>
      </c>
      <c r="I14" s="167" t="s">
        <v>248</v>
      </c>
      <c r="J14" s="283" t="s">
        <v>249</v>
      </c>
      <c r="K14" s="280" t="s">
        <v>116</v>
      </c>
      <c r="L14" s="260" t="s">
        <v>259</v>
      </c>
      <c r="M14" s="281" t="s">
        <v>310</v>
      </c>
      <c r="N14" s="260" t="s">
        <v>258</v>
      </c>
      <c r="O14" s="282" t="s">
        <v>249</v>
      </c>
      <c r="P14" s="260" t="s">
        <v>260</v>
      </c>
      <c r="Q14" s="260" t="s">
        <v>250</v>
      </c>
      <c r="R14" s="169" t="s">
        <v>249</v>
      </c>
      <c r="S14" s="168" t="s">
        <v>252</v>
      </c>
      <c r="T14" s="277" t="s">
        <v>251</v>
      </c>
    </row>
    <row r="15" spans="1:20" x14ac:dyDescent="0.25">
      <c r="B15" s="1">
        <f>+fulltime!B3</f>
        <v>648</v>
      </c>
      <c r="C15" s="156">
        <f>+fulltime!C3</f>
        <v>36.479999999999997</v>
      </c>
      <c r="D15" s="35">
        <f>C15*2080</f>
        <v>75878.399999999994</v>
      </c>
      <c r="E15" s="43">
        <f>+healthpension!F6</f>
        <v>40</v>
      </c>
      <c r="F15" s="35">
        <f>D15*3</f>
        <v>227635.19999999998</v>
      </c>
      <c r="G15" s="35">
        <f>F15-50000</f>
        <v>177635.19999999998</v>
      </c>
      <c r="H15" s="157">
        <f>VLOOKUP(E15,A$3:B$13,2)</f>
        <v>0.1</v>
      </c>
      <c r="I15" s="158">
        <f>G15/1000*H15*12</f>
        <v>213.16223999999994</v>
      </c>
      <c r="J15" s="161">
        <f t="shared" ref="J15:J78" si="0">I15/26</f>
        <v>8.1985476923076899</v>
      </c>
      <c r="K15" s="92" t="s">
        <v>320</v>
      </c>
      <c r="L15" s="274">
        <f t="shared" ref="L15:L78" si="1">+IF(K15&lt;&gt;0,10,"")</f>
        <v>10</v>
      </c>
      <c r="M15" s="162">
        <v>42</v>
      </c>
      <c r="N15" s="160">
        <f>IF(M15&gt;0,VLOOKUP(M15,A$3:B$13,2),"")</f>
        <v>0.1</v>
      </c>
      <c r="O15" s="159">
        <f>IF(M15&gt;0,((N15*L15)*12)/26,0)</f>
        <v>0.46153846153846156</v>
      </c>
      <c r="P15" s="275">
        <v>3</v>
      </c>
      <c r="Q15" s="158">
        <f>(((P15*10000)/1000))*0.05</f>
        <v>1.5</v>
      </c>
      <c r="R15" s="159">
        <f>(Q15*12)/26</f>
        <v>0.69230769230769229</v>
      </c>
      <c r="S15" s="97">
        <f>O15+J15+R15</f>
        <v>9.3523938461538432</v>
      </c>
      <c r="T15" s="40">
        <f>S15*26</f>
        <v>243.16223999999991</v>
      </c>
    </row>
    <row r="16" spans="1:20" x14ac:dyDescent="0.25">
      <c r="B16" s="1">
        <f>+fulltime!B4</f>
        <v>682</v>
      </c>
      <c r="C16" s="156">
        <f>+fulltime!C4</f>
        <v>25.26</v>
      </c>
      <c r="D16" s="35">
        <f t="shared" ref="D16:D78" si="2">C16*2080</f>
        <v>52540.800000000003</v>
      </c>
      <c r="E16" s="43">
        <f>+healthpension!F7</f>
        <v>30</v>
      </c>
      <c r="F16" s="35">
        <f t="shared" ref="F16:F46" si="3">D16*3</f>
        <v>157622.40000000002</v>
      </c>
      <c r="G16" s="35">
        <f t="shared" ref="G16:G46" si="4">F16-50000</f>
        <v>107622.40000000002</v>
      </c>
      <c r="H16" s="157">
        <f t="shared" ref="H16:H46" si="5">VLOOKUP(E16,A$3:B$13,2)</f>
        <v>0.08</v>
      </c>
      <c r="I16" s="158">
        <f t="shared" ref="I16:I78" si="6">G16/1000*H16*12</f>
        <v>103.31750400000003</v>
      </c>
      <c r="J16" s="161">
        <f t="shared" si="0"/>
        <v>3.9737501538461548</v>
      </c>
      <c r="K16" s="92" t="s">
        <v>321</v>
      </c>
      <c r="L16" s="274">
        <f t="shared" si="1"/>
        <v>10</v>
      </c>
      <c r="M16" s="43">
        <v>25</v>
      </c>
      <c r="N16" s="160">
        <f t="shared" ref="N16:N79" si="7">IF(M16&gt;0,VLOOKUP(M16,A$3:B$13,2),"")</f>
        <v>0.06</v>
      </c>
      <c r="O16" s="159">
        <f t="shared" ref="O16:O79" si="8">IF(M16&gt;0,((N16*L16)*12)/26,0)</f>
        <v>0.27692307692307688</v>
      </c>
      <c r="P16" s="275">
        <v>1</v>
      </c>
      <c r="Q16" s="158">
        <f>(((P16*10000)/1000))*0.05</f>
        <v>0.5</v>
      </c>
      <c r="R16" s="159">
        <f>(Q16*12)/26</f>
        <v>0.23076923076923078</v>
      </c>
      <c r="S16" s="97">
        <f t="shared" ref="S16:S27" si="9">O16+J16+R16</f>
        <v>4.4814424615384629</v>
      </c>
      <c r="T16" s="40">
        <f t="shared" ref="T16:T79" si="10">S16*26</f>
        <v>116.51750400000003</v>
      </c>
    </row>
    <row r="17" spans="2:20" x14ac:dyDescent="0.25">
      <c r="B17" s="1">
        <f>+fulltime!B5</f>
        <v>635</v>
      </c>
      <c r="C17" s="156">
        <f>+fulltime!C5</f>
        <v>32.659999999999997</v>
      </c>
      <c r="D17" s="35">
        <f t="shared" si="2"/>
        <v>67932.799999999988</v>
      </c>
      <c r="E17" s="43">
        <f>+healthpension!F8</f>
        <v>45</v>
      </c>
      <c r="F17" s="79">
        <f t="shared" si="3"/>
        <v>203798.39999999997</v>
      </c>
      <c r="G17" s="79">
        <f t="shared" si="4"/>
        <v>153798.39999999997</v>
      </c>
      <c r="H17" s="160">
        <f t="shared" si="5"/>
        <v>0.15</v>
      </c>
      <c r="I17" s="158">
        <f t="shared" si="6"/>
        <v>276.83711999999991</v>
      </c>
      <c r="J17" s="161">
        <f t="shared" si="0"/>
        <v>10.647581538461536</v>
      </c>
      <c r="K17" s="92" t="s">
        <v>322</v>
      </c>
      <c r="L17" s="274">
        <f t="shared" si="1"/>
        <v>10</v>
      </c>
      <c r="M17" s="43">
        <v>39</v>
      </c>
      <c r="N17" s="160">
        <f t="shared" si="7"/>
        <v>0.09</v>
      </c>
      <c r="O17" s="159">
        <f t="shared" si="8"/>
        <v>0.41538461538461535</v>
      </c>
      <c r="P17" s="276">
        <v>5</v>
      </c>
      <c r="Q17" s="158">
        <f>(((P17*10000)/1000))*0.05</f>
        <v>2.5</v>
      </c>
      <c r="R17" s="159">
        <f>(Q17*12)/26</f>
        <v>1.1538461538461537</v>
      </c>
      <c r="S17" s="97">
        <f t="shared" si="9"/>
        <v>12.216812307692305</v>
      </c>
      <c r="T17" s="40">
        <f t="shared" si="10"/>
        <v>317.63711999999992</v>
      </c>
    </row>
    <row r="18" spans="2:20" x14ac:dyDescent="0.25">
      <c r="B18" s="1">
        <f>+fulltime!B6</f>
        <v>475</v>
      </c>
      <c r="C18" s="156">
        <f>+fulltime!C6</f>
        <v>42.18</v>
      </c>
      <c r="D18" s="35">
        <f t="shared" si="2"/>
        <v>87734.399999999994</v>
      </c>
      <c r="E18" s="43">
        <f>+healthpension!F9</f>
        <v>49</v>
      </c>
      <c r="F18" s="35">
        <f t="shared" si="3"/>
        <v>263203.19999999995</v>
      </c>
      <c r="G18" s="35">
        <f t="shared" si="4"/>
        <v>213203.19999999995</v>
      </c>
      <c r="H18" s="157">
        <f t="shared" si="5"/>
        <v>0.15</v>
      </c>
      <c r="I18" s="158">
        <f>G18/1000*H18*12</f>
        <v>383.76575999999989</v>
      </c>
      <c r="J18" s="161">
        <f t="shared" si="0"/>
        <v>14.760221538461535</v>
      </c>
      <c r="K18" s="92" t="s">
        <v>323</v>
      </c>
      <c r="L18" s="274">
        <f t="shared" si="1"/>
        <v>10</v>
      </c>
      <c r="M18" s="43">
        <v>50</v>
      </c>
      <c r="N18" s="160">
        <f t="shared" si="7"/>
        <v>0.23</v>
      </c>
      <c r="O18" s="159">
        <f t="shared" si="8"/>
        <v>1.0615384615384615</v>
      </c>
      <c r="P18" s="275">
        <v>2</v>
      </c>
      <c r="Q18" s="158">
        <f t="shared" ref="Q18:Q81" si="11">(((P18*10000)/1000))*0.05</f>
        <v>1</v>
      </c>
      <c r="R18" s="159">
        <f t="shared" ref="R18:R81" si="12">(Q18*12)/26</f>
        <v>0.46153846153846156</v>
      </c>
      <c r="S18" s="97">
        <f t="shared" si="9"/>
        <v>16.283298461538458</v>
      </c>
      <c r="T18" s="40">
        <f t="shared" si="10"/>
        <v>423.36575999999991</v>
      </c>
    </row>
    <row r="19" spans="2:20" x14ac:dyDescent="0.25">
      <c r="B19" s="1">
        <f>+fulltime!B7</f>
        <v>228</v>
      </c>
      <c r="C19" s="156">
        <f>+fulltime!C7</f>
        <v>54.24</v>
      </c>
      <c r="D19" s="35">
        <f t="shared" si="2"/>
        <v>112819.2</v>
      </c>
      <c r="E19" s="43">
        <f>+healthpension!F10</f>
        <v>44</v>
      </c>
      <c r="F19" s="341">
        <f>D19*3</f>
        <v>338457.59999999998</v>
      </c>
      <c r="G19" s="35">
        <f t="shared" si="4"/>
        <v>288457.59999999998</v>
      </c>
      <c r="H19" s="157">
        <f t="shared" si="5"/>
        <v>0.1</v>
      </c>
      <c r="I19" s="158">
        <f t="shared" si="6"/>
        <v>346.14911999999998</v>
      </c>
      <c r="J19" s="161">
        <f t="shared" si="0"/>
        <v>13.313427692307691</v>
      </c>
      <c r="K19" s="92"/>
      <c r="L19" s="274" t="str">
        <f t="shared" si="1"/>
        <v/>
      </c>
      <c r="M19" s="43"/>
      <c r="N19" s="160" t="str">
        <f t="shared" si="7"/>
        <v/>
      </c>
      <c r="O19" s="159">
        <f t="shared" si="8"/>
        <v>0</v>
      </c>
      <c r="P19" s="275">
        <v>2</v>
      </c>
      <c r="Q19" s="158">
        <f>(((P19*10000)/1000))*0.05</f>
        <v>1</v>
      </c>
      <c r="R19" s="159">
        <f>(Q19*12)/26</f>
        <v>0.46153846153846156</v>
      </c>
      <c r="S19" s="36">
        <f>O19+J19+R19</f>
        <v>13.774966153846153</v>
      </c>
      <c r="T19" s="40">
        <f t="shared" si="10"/>
        <v>358.14911999999998</v>
      </c>
    </row>
    <row r="20" spans="2:20" x14ac:dyDescent="0.25">
      <c r="B20" s="1">
        <f>+fulltime!B8</f>
        <v>410</v>
      </c>
      <c r="C20" s="156">
        <f>+fulltime!C8</f>
        <v>31.93</v>
      </c>
      <c r="D20" s="35">
        <f t="shared" si="2"/>
        <v>66414.399999999994</v>
      </c>
      <c r="E20" s="43">
        <f>+healthpension!F11</f>
        <v>57</v>
      </c>
      <c r="F20" s="35">
        <f t="shared" si="3"/>
        <v>199243.19999999998</v>
      </c>
      <c r="G20" s="35">
        <f>F20-50000</f>
        <v>149243.19999999998</v>
      </c>
      <c r="H20" s="157">
        <f t="shared" si="5"/>
        <v>0.43</v>
      </c>
      <c r="I20" s="158">
        <f t="shared" si="6"/>
        <v>770.09491199999979</v>
      </c>
      <c r="J20" s="161">
        <f t="shared" si="0"/>
        <v>29.619035076923069</v>
      </c>
      <c r="K20" s="92" t="s">
        <v>324</v>
      </c>
      <c r="L20" s="274">
        <f t="shared" si="1"/>
        <v>10</v>
      </c>
      <c r="M20" s="43">
        <v>55</v>
      </c>
      <c r="N20" s="160">
        <f t="shared" si="7"/>
        <v>0.43</v>
      </c>
      <c r="O20" s="159">
        <f t="shared" si="8"/>
        <v>1.9846153846153844</v>
      </c>
      <c r="P20" s="275">
        <v>2</v>
      </c>
      <c r="Q20" s="158">
        <f t="shared" si="11"/>
        <v>1</v>
      </c>
      <c r="R20" s="159">
        <f t="shared" si="12"/>
        <v>0.46153846153846156</v>
      </c>
      <c r="S20" s="97">
        <f t="shared" si="9"/>
        <v>32.065188923076917</v>
      </c>
      <c r="T20" s="40">
        <f t="shared" si="10"/>
        <v>833.69491199999982</v>
      </c>
    </row>
    <row r="21" spans="2:20" x14ac:dyDescent="0.25">
      <c r="B21" s="1">
        <f>+fulltime!B9</f>
        <v>647</v>
      </c>
      <c r="C21" s="156">
        <f>+fulltime!C9</f>
        <v>21.75</v>
      </c>
      <c r="D21" s="35">
        <f t="shared" si="2"/>
        <v>45240</v>
      </c>
      <c r="E21" s="43">
        <f>+healthpension!F12</f>
        <v>32</v>
      </c>
      <c r="F21" s="35">
        <f t="shared" si="3"/>
        <v>135720</v>
      </c>
      <c r="G21" s="35">
        <f t="shared" si="4"/>
        <v>85720</v>
      </c>
      <c r="H21" s="157">
        <f t="shared" si="5"/>
        <v>0.08</v>
      </c>
      <c r="I21" s="158">
        <f t="shared" si="6"/>
        <v>82.291200000000003</v>
      </c>
      <c r="J21" s="161">
        <f t="shared" si="0"/>
        <v>3.1650461538461538</v>
      </c>
      <c r="K21" s="92" t="s">
        <v>325</v>
      </c>
      <c r="L21" s="274">
        <f t="shared" si="1"/>
        <v>10</v>
      </c>
      <c r="M21" s="43">
        <v>37</v>
      </c>
      <c r="N21" s="160">
        <f t="shared" si="7"/>
        <v>0.09</v>
      </c>
      <c r="O21" s="159">
        <f t="shared" si="8"/>
        <v>0.41538461538461535</v>
      </c>
      <c r="P21" s="275">
        <v>2</v>
      </c>
      <c r="Q21" s="158">
        <f t="shared" si="11"/>
        <v>1</v>
      </c>
      <c r="R21" s="159">
        <f t="shared" si="12"/>
        <v>0.46153846153846156</v>
      </c>
      <c r="S21" s="97">
        <f t="shared" si="9"/>
        <v>4.0419692307692303</v>
      </c>
      <c r="T21" s="40">
        <f t="shared" si="10"/>
        <v>105.09119999999999</v>
      </c>
    </row>
    <row r="22" spans="2:20" x14ac:dyDescent="0.25">
      <c r="B22" s="1">
        <f>+fulltime!B10</f>
        <v>645</v>
      </c>
      <c r="C22" s="156">
        <f>+fulltime!C10</f>
        <v>39.06</v>
      </c>
      <c r="D22" s="35">
        <f t="shared" si="2"/>
        <v>81244.800000000003</v>
      </c>
      <c r="E22" s="43">
        <f>+healthpension!F13</f>
        <v>61</v>
      </c>
      <c r="F22" s="35">
        <f t="shared" si="3"/>
        <v>243734.40000000002</v>
      </c>
      <c r="G22" s="35">
        <f t="shared" si="4"/>
        <v>193734.40000000002</v>
      </c>
      <c r="H22" s="157">
        <f t="shared" si="5"/>
        <v>0.66</v>
      </c>
      <c r="I22" s="158">
        <f t="shared" si="6"/>
        <v>1534.3764480000002</v>
      </c>
      <c r="J22" s="161">
        <f t="shared" si="0"/>
        <v>59.014478769230777</v>
      </c>
      <c r="K22" s="92"/>
      <c r="L22" s="274" t="str">
        <f t="shared" si="1"/>
        <v/>
      </c>
      <c r="M22" s="43"/>
      <c r="N22" s="160" t="str">
        <f t="shared" si="7"/>
        <v/>
      </c>
      <c r="O22" s="159">
        <f t="shared" si="8"/>
        <v>0</v>
      </c>
      <c r="P22" s="275"/>
      <c r="Q22" s="158">
        <f t="shared" si="11"/>
        <v>0</v>
      </c>
      <c r="R22" s="159">
        <f t="shared" si="12"/>
        <v>0</v>
      </c>
      <c r="S22" s="97">
        <f t="shared" si="9"/>
        <v>59.014478769230777</v>
      </c>
      <c r="T22" s="40">
        <f t="shared" si="10"/>
        <v>1534.3764480000002</v>
      </c>
    </row>
    <row r="23" spans="2:20" x14ac:dyDescent="0.25">
      <c r="B23" s="1">
        <f>+fulltime!B11</f>
        <v>518</v>
      </c>
      <c r="C23" s="156">
        <f>+fulltime!C11</f>
        <v>25.92</v>
      </c>
      <c r="D23" s="35">
        <f t="shared" si="2"/>
        <v>53913.600000000006</v>
      </c>
      <c r="E23" s="43">
        <f>+healthpension!F14</f>
        <v>53</v>
      </c>
      <c r="F23" s="35">
        <f t="shared" si="3"/>
        <v>161740.80000000002</v>
      </c>
      <c r="G23" s="35">
        <f t="shared" si="4"/>
        <v>111740.80000000002</v>
      </c>
      <c r="H23" s="157">
        <f t="shared" si="5"/>
        <v>0.23</v>
      </c>
      <c r="I23" s="158">
        <f t="shared" si="6"/>
        <v>308.40460800000005</v>
      </c>
      <c r="J23" s="161">
        <f t="shared" si="0"/>
        <v>11.861715692307694</v>
      </c>
      <c r="K23" s="92" t="s">
        <v>326</v>
      </c>
      <c r="L23" s="274">
        <f t="shared" si="1"/>
        <v>10</v>
      </c>
      <c r="M23" s="43">
        <v>66</v>
      </c>
      <c r="N23" s="160">
        <f t="shared" si="7"/>
        <v>1.27</v>
      </c>
      <c r="O23" s="159">
        <f t="shared" si="8"/>
        <v>5.8615384615384603</v>
      </c>
      <c r="P23" s="275"/>
      <c r="Q23" s="158">
        <f t="shared" si="11"/>
        <v>0</v>
      </c>
      <c r="R23" s="159">
        <f t="shared" si="12"/>
        <v>0</v>
      </c>
      <c r="S23" s="97">
        <f t="shared" si="9"/>
        <v>17.723254153846156</v>
      </c>
      <c r="T23" s="40">
        <f t="shared" si="10"/>
        <v>460.80460800000003</v>
      </c>
    </row>
    <row r="24" spans="2:20" x14ac:dyDescent="0.25">
      <c r="B24" s="1">
        <f>+fulltime!B12</f>
        <v>535</v>
      </c>
      <c r="C24" s="156">
        <f>+fulltime!C12</f>
        <v>32.08</v>
      </c>
      <c r="D24" s="35">
        <f t="shared" si="2"/>
        <v>66726.399999999994</v>
      </c>
      <c r="E24" s="43">
        <f>+healthpension!F15</f>
        <v>43</v>
      </c>
      <c r="F24" s="35">
        <f t="shared" si="3"/>
        <v>200179.19999999998</v>
      </c>
      <c r="G24" s="35">
        <f t="shared" si="4"/>
        <v>150179.19999999998</v>
      </c>
      <c r="H24" s="157">
        <f t="shared" si="5"/>
        <v>0.1</v>
      </c>
      <c r="I24" s="158">
        <f t="shared" si="6"/>
        <v>180.21503999999999</v>
      </c>
      <c r="J24" s="161">
        <f t="shared" si="0"/>
        <v>6.9313476923076918</v>
      </c>
      <c r="K24" s="92" t="s">
        <v>327</v>
      </c>
      <c r="L24" s="274">
        <f t="shared" si="1"/>
        <v>10</v>
      </c>
      <c r="M24" s="43">
        <v>39</v>
      </c>
      <c r="N24" s="160">
        <f t="shared" si="7"/>
        <v>0.09</v>
      </c>
      <c r="O24" s="159">
        <f t="shared" si="8"/>
        <v>0.41538461538461535</v>
      </c>
      <c r="P24" s="275">
        <v>1</v>
      </c>
      <c r="Q24" s="158">
        <f t="shared" si="11"/>
        <v>0.5</v>
      </c>
      <c r="R24" s="159">
        <f t="shared" si="12"/>
        <v>0.23076923076923078</v>
      </c>
      <c r="S24" s="97">
        <f t="shared" si="9"/>
        <v>7.5775015384615383</v>
      </c>
      <c r="T24" s="40">
        <f t="shared" si="10"/>
        <v>197.01504</v>
      </c>
    </row>
    <row r="25" spans="2:20" x14ac:dyDescent="0.25">
      <c r="B25" s="1">
        <f>+fulltime!B13</f>
        <v>649</v>
      </c>
      <c r="C25" s="156">
        <f>+fulltime!C13</f>
        <v>32.659999999999997</v>
      </c>
      <c r="D25" s="35">
        <f t="shared" si="2"/>
        <v>67932.799999999988</v>
      </c>
      <c r="E25" s="43">
        <f>+healthpension!F16</f>
        <v>50</v>
      </c>
      <c r="F25" s="35">
        <f t="shared" si="3"/>
        <v>203798.39999999997</v>
      </c>
      <c r="G25" s="35">
        <f t="shared" si="4"/>
        <v>153798.39999999997</v>
      </c>
      <c r="H25" s="157">
        <f t="shared" si="5"/>
        <v>0.23</v>
      </c>
      <c r="I25" s="158">
        <f t="shared" si="6"/>
        <v>424.48358399999995</v>
      </c>
      <c r="J25" s="161">
        <f t="shared" si="0"/>
        <v>16.326291692307692</v>
      </c>
      <c r="K25" s="92" t="s">
        <v>328</v>
      </c>
      <c r="L25" s="274">
        <f t="shared" si="1"/>
        <v>10</v>
      </c>
      <c r="M25" s="43">
        <v>51</v>
      </c>
      <c r="N25" s="160">
        <f t="shared" si="7"/>
        <v>0.23</v>
      </c>
      <c r="O25" s="159">
        <f t="shared" si="8"/>
        <v>1.0615384615384615</v>
      </c>
      <c r="P25" s="275">
        <v>3</v>
      </c>
      <c r="Q25" s="158">
        <f t="shared" si="11"/>
        <v>1.5</v>
      </c>
      <c r="R25" s="159">
        <f t="shared" si="12"/>
        <v>0.69230769230769229</v>
      </c>
      <c r="S25" s="97">
        <f t="shared" si="9"/>
        <v>18.080137846153846</v>
      </c>
      <c r="T25" s="40">
        <f t="shared" si="10"/>
        <v>470.08358399999997</v>
      </c>
    </row>
    <row r="26" spans="2:20" x14ac:dyDescent="0.25">
      <c r="B26" s="1">
        <f>+fulltime!B14</f>
        <v>301</v>
      </c>
      <c r="C26" s="156">
        <f>+fulltime!C14</f>
        <v>37.130000000000003</v>
      </c>
      <c r="D26" s="35">
        <f t="shared" si="2"/>
        <v>77230.400000000009</v>
      </c>
      <c r="E26" s="43">
        <f>+healthpension!F17</f>
        <v>53</v>
      </c>
      <c r="F26" s="35">
        <f t="shared" si="3"/>
        <v>231691.2</v>
      </c>
      <c r="G26" s="35">
        <f t="shared" si="4"/>
        <v>181691.2</v>
      </c>
      <c r="H26" s="157">
        <f t="shared" si="5"/>
        <v>0.23</v>
      </c>
      <c r="I26" s="158">
        <f t="shared" si="6"/>
        <v>501.46771200000006</v>
      </c>
      <c r="J26" s="161">
        <f t="shared" si="0"/>
        <v>19.287219692307694</v>
      </c>
      <c r="K26" s="92" t="s">
        <v>329</v>
      </c>
      <c r="L26" s="274">
        <f t="shared" si="1"/>
        <v>10</v>
      </c>
      <c r="M26" s="43">
        <v>51</v>
      </c>
      <c r="N26" s="160">
        <f t="shared" si="7"/>
        <v>0.23</v>
      </c>
      <c r="O26" s="159">
        <f t="shared" si="8"/>
        <v>1.0615384615384615</v>
      </c>
      <c r="P26" s="275">
        <v>0</v>
      </c>
      <c r="Q26" s="158">
        <f t="shared" si="11"/>
        <v>0</v>
      </c>
      <c r="R26" s="159">
        <f t="shared" si="12"/>
        <v>0</v>
      </c>
      <c r="S26" s="97">
        <f t="shared" si="9"/>
        <v>20.348758153846155</v>
      </c>
      <c r="T26" s="40">
        <f t="shared" si="10"/>
        <v>529.06771200000003</v>
      </c>
    </row>
    <row r="27" spans="2:20" x14ac:dyDescent="0.25">
      <c r="B27" s="1">
        <f>+fulltime!B15</f>
        <v>634</v>
      </c>
      <c r="C27" s="156">
        <f>+fulltime!C15</f>
        <v>20.74</v>
      </c>
      <c r="D27" s="35">
        <f t="shared" si="2"/>
        <v>43139.199999999997</v>
      </c>
      <c r="E27" s="43">
        <f>+healthpension!F18</f>
        <v>53</v>
      </c>
      <c r="F27" s="35">
        <f t="shared" si="3"/>
        <v>129417.59999999999</v>
      </c>
      <c r="G27" s="35">
        <f t="shared" si="4"/>
        <v>79417.599999999991</v>
      </c>
      <c r="H27" s="157">
        <f t="shared" si="5"/>
        <v>0.23</v>
      </c>
      <c r="I27" s="158">
        <f t="shared" si="6"/>
        <v>219.19257599999997</v>
      </c>
      <c r="J27" s="161">
        <f t="shared" si="0"/>
        <v>8.4304836923076909</v>
      </c>
      <c r="K27" s="92" t="s">
        <v>330</v>
      </c>
      <c r="L27" s="274">
        <f t="shared" si="1"/>
        <v>10</v>
      </c>
      <c r="M27" s="43">
        <v>59</v>
      </c>
      <c r="N27" s="160">
        <f t="shared" si="7"/>
        <v>0.43</v>
      </c>
      <c r="O27" s="159">
        <f t="shared" si="8"/>
        <v>1.9846153846153844</v>
      </c>
      <c r="P27" s="275">
        <v>2</v>
      </c>
      <c r="Q27" s="158">
        <f t="shared" si="11"/>
        <v>1</v>
      </c>
      <c r="R27" s="159">
        <f t="shared" si="12"/>
        <v>0.46153846153846156</v>
      </c>
      <c r="S27" s="97">
        <f t="shared" si="9"/>
        <v>10.876637538461537</v>
      </c>
      <c r="T27" s="40">
        <f t="shared" si="10"/>
        <v>282.79257599999994</v>
      </c>
    </row>
    <row r="28" spans="2:20" x14ac:dyDescent="0.25">
      <c r="B28" s="1">
        <f>+fulltime!B16</f>
        <v>556</v>
      </c>
      <c r="C28" s="156">
        <f>+fulltime!C16</f>
        <v>36.86</v>
      </c>
      <c r="D28" s="35">
        <f t="shared" si="2"/>
        <v>76668.800000000003</v>
      </c>
      <c r="E28" s="43">
        <f>+healthpension!F19</f>
        <v>43</v>
      </c>
      <c r="F28" s="35">
        <f t="shared" si="3"/>
        <v>230006.40000000002</v>
      </c>
      <c r="G28" s="35">
        <f t="shared" si="4"/>
        <v>180006.40000000002</v>
      </c>
      <c r="H28" s="157">
        <f t="shared" si="5"/>
        <v>0.1</v>
      </c>
      <c r="I28" s="158">
        <f t="shared" si="6"/>
        <v>216.00767999999999</v>
      </c>
      <c r="J28" s="161">
        <f t="shared" si="0"/>
        <v>8.3079876923076927</v>
      </c>
      <c r="K28" s="92" t="s">
        <v>331</v>
      </c>
      <c r="L28" s="274">
        <f t="shared" si="1"/>
        <v>10</v>
      </c>
      <c r="M28" s="43">
        <v>43</v>
      </c>
      <c r="N28" s="160">
        <f t="shared" si="7"/>
        <v>0.1</v>
      </c>
      <c r="O28" s="159">
        <f t="shared" si="8"/>
        <v>0.46153846153846156</v>
      </c>
      <c r="P28" s="275">
        <v>2</v>
      </c>
      <c r="Q28" s="158">
        <f t="shared" si="11"/>
        <v>1</v>
      </c>
      <c r="R28" s="159">
        <f t="shared" si="12"/>
        <v>0.46153846153846156</v>
      </c>
      <c r="S28" s="97">
        <f t="shared" ref="S28:S46" si="13">O28+J28+R28</f>
        <v>9.2310646153846161</v>
      </c>
      <c r="T28" s="40">
        <f t="shared" si="10"/>
        <v>240.00768000000002</v>
      </c>
    </row>
    <row r="29" spans="2:20" x14ac:dyDescent="0.25">
      <c r="B29" s="1">
        <f>+fulltime!B17</f>
        <v>637</v>
      </c>
      <c r="C29" s="156">
        <f>+fulltime!C17</f>
        <v>37.31</v>
      </c>
      <c r="D29" s="35">
        <f t="shared" si="2"/>
        <v>77604.800000000003</v>
      </c>
      <c r="E29" s="43">
        <f>+healthpension!F20</f>
        <v>33</v>
      </c>
      <c r="F29" s="35">
        <f t="shared" si="3"/>
        <v>232814.40000000002</v>
      </c>
      <c r="G29" s="35">
        <f t="shared" si="4"/>
        <v>182814.40000000002</v>
      </c>
      <c r="H29" s="157">
        <f t="shared" si="5"/>
        <v>0.08</v>
      </c>
      <c r="I29" s="158">
        <f t="shared" si="6"/>
        <v>175.50182400000006</v>
      </c>
      <c r="J29" s="161">
        <f t="shared" si="0"/>
        <v>6.7500701538461563</v>
      </c>
      <c r="K29" s="92" t="s">
        <v>332</v>
      </c>
      <c r="L29" s="274">
        <f t="shared" si="1"/>
        <v>10</v>
      </c>
      <c r="M29" s="43">
        <v>34</v>
      </c>
      <c r="N29" s="160">
        <f t="shared" si="7"/>
        <v>0.08</v>
      </c>
      <c r="O29" s="159">
        <f t="shared" si="8"/>
        <v>0.36923076923076931</v>
      </c>
      <c r="P29" s="275">
        <v>1</v>
      </c>
      <c r="Q29" s="158">
        <f t="shared" si="11"/>
        <v>0.5</v>
      </c>
      <c r="R29" s="159">
        <f t="shared" si="12"/>
        <v>0.23076923076923078</v>
      </c>
      <c r="S29" s="97">
        <f t="shared" si="13"/>
        <v>7.3500701538461568</v>
      </c>
      <c r="T29" s="40">
        <f t="shared" si="10"/>
        <v>191.10182400000008</v>
      </c>
    </row>
    <row r="30" spans="2:20" x14ac:dyDescent="0.25">
      <c r="B30" s="1">
        <f>+fulltime!B18</f>
        <v>534</v>
      </c>
      <c r="C30" s="156">
        <f>+fulltime!C18</f>
        <v>36.299999999999997</v>
      </c>
      <c r="D30" s="35">
        <f t="shared" si="2"/>
        <v>75504</v>
      </c>
      <c r="E30" s="43">
        <f>+healthpension!F21</f>
        <v>43</v>
      </c>
      <c r="F30" s="35">
        <f t="shared" si="3"/>
        <v>226512</v>
      </c>
      <c r="G30" s="35">
        <f t="shared" si="4"/>
        <v>176512</v>
      </c>
      <c r="H30" s="157">
        <f t="shared" si="5"/>
        <v>0.1</v>
      </c>
      <c r="I30" s="158">
        <f t="shared" si="6"/>
        <v>211.81439999999998</v>
      </c>
      <c r="J30" s="161">
        <f t="shared" si="0"/>
        <v>8.1467076923076913</v>
      </c>
      <c r="K30" s="92" t="s">
        <v>333</v>
      </c>
      <c r="L30" s="274">
        <f t="shared" si="1"/>
        <v>10</v>
      </c>
      <c r="M30" s="43">
        <v>41</v>
      </c>
      <c r="N30" s="160">
        <f t="shared" si="7"/>
        <v>0.1</v>
      </c>
      <c r="O30" s="159">
        <f t="shared" si="8"/>
        <v>0.46153846153846156</v>
      </c>
      <c r="P30" s="275">
        <v>2</v>
      </c>
      <c r="Q30" s="158">
        <f t="shared" si="11"/>
        <v>1</v>
      </c>
      <c r="R30" s="159">
        <f t="shared" si="12"/>
        <v>0.46153846153846156</v>
      </c>
      <c r="S30" s="97">
        <f t="shared" si="13"/>
        <v>9.0697846153846147</v>
      </c>
      <c r="T30" s="40">
        <f t="shared" si="10"/>
        <v>235.81439999999998</v>
      </c>
    </row>
    <row r="31" spans="2:20" x14ac:dyDescent="0.25">
      <c r="B31" s="1">
        <f>+fulltime!B19</f>
        <v>219</v>
      </c>
      <c r="C31" s="156">
        <f>+fulltime!C19</f>
        <v>32.28</v>
      </c>
      <c r="D31" s="35">
        <f t="shared" si="2"/>
        <v>67142.400000000009</v>
      </c>
      <c r="E31" s="43">
        <f>+healthpension!F22</f>
        <v>55</v>
      </c>
      <c r="F31" s="35">
        <f t="shared" si="3"/>
        <v>201427.20000000001</v>
      </c>
      <c r="G31" s="35">
        <f t="shared" si="4"/>
        <v>151427.20000000001</v>
      </c>
      <c r="H31" s="157">
        <f t="shared" si="5"/>
        <v>0.43</v>
      </c>
      <c r="I31" s="158">
        <f t="shared" si="6"/>
        <v>781.36435200000005</v>
      </c>
      <c r="J31" s="161">
        <f t="shared" si="0"/>
        <v>30.052475076923081</v>
      </c>
      <c r="K31" s="92"/>
      <c r="L31" s="274" t="str">
        <f t="shared" si="1"/>
        <v/>
      </c>
      <c r="M31" s="43"/>
      <c r="N31" s="160" t="str">
        <f t="shared" si="7"/>
        <v/>
      </c>
      <c r="O31" s="159">
        <f t="shared" si="8"/>
        <v>0</v>
      </c>
      <c r="P31" s="275"/>
      <c r="Q31" s="158">
        <f t="shared" si="11"/>
        <v>0</v>
      </c>
      <c r="R31" s="159">
        <f t="shared" si="12"/>
        <v>0</v>
      </c>
      <c r="S31" s="97">
        <f t="shared" si="13"/>
        <v>30.052475076923081</v>
      </c>
      <c r="T31" s="40">
        <f t="shared" si="10"/>
        <v>781.36435200000005</v>
      </c>
    </row>
    <row r="32" spans="2:20" x14ac:dyDescent="0.25">
      <c r="B32" s="1">
        <f>+fulltime!B20</f>
        <v>338</v>
      </c>
      <c r="C32" s="156">
        <f>+fulltime!C20</f>
        <v>31.95</v>
      </c>
      <c r="D32" s="35">
        <f t="shared" si="2"/>
        <v>66456</v>
      </c>
      <c r="E32" s="43">
        <f>+healthpension!F23</f>
        <v>50</v>
      </c>
      <c r="F32" s="35">
        <f t="shared" si="3"/>
        <v>199368</v>
      </c>
      <c r="G32" s="35">
        <f t="shared" si="4"/>
        <v>149368</v>
      </c>
      <c r="H32" s="157">
        <f t="shared" si="5"/>
        <v>0.23</v>
      </c>
      <c r="I32" s="158">
        <f t="shared" si="6"/>
        <v>412.25568000000004</v>
      </c>
      <c r="J32" s="161">
        <f t="shared" si="0"/>
        <v>15.855987692307695</v>
      </c>
      <c r="K32" s="92" t="s">
        <v>334</v>
      </c>
      <c r="L32" s="274">
        <f t="shared" si="1"/>
        <v>10</v>
      </c>
      <c r="M32" s="43">
        <v>50</v>
      </c>
      <c r="N32" s="160">
        <f t="shared" si="7"/>
        <v>0.23</v>
      </c>
      <c r="O32" s="159">
        <f t="shared" si="8"/>
        <v>1.0615384615384615</v>
      </c>
      <c r="P32" s="275">
        <v>2</v>
      </c>
      <c r="Q32" s="158">
        <f t="shared" si="11"/>
        <v>1</v>
      </c>
      <c r="R32" s="159">
        <f t="shared" si="12"/>
        <v>0.46153846153846156</v>
      </c>
      <c r="S32" s="97">
        <f t="shared" si="13"/>
        <v>17.379064615384618</v>
      </c>
      <c r="T32" s="40">
        <f t="shared" si="10"/>
        <v>451.85568000000006</v>
      </c>
    </row>
    <row r="33" spans="2:20" x14ac:dyDescent="0.25">
      <c r="B33" s="1">
        <f>+fulltime!B21</f>
        <v>512</v>
      </c>
      <c r="C33" s="156">
        <f>+fulltime!C21</f>
        <v>35.22</v>
      </c>
      <c r="D33" s="35">
        <f t="shared" si="2"/>
        <v>73257.599999999991</v>
      </c>
      <c r="E33" s="43">
        <f>+healthpension!F24</f>
        <v>49</v>
      </c>
      <c r="F33" s="35">
        <f t="shared" si="3"/>
        <v>219772.79999999999</v>
      </c>
      <c r="G33" s="35">
        <f t="shared" si="4"/>
        <v>169772.79999999999</v>
      </c>
      <c r="H33" s="157">
        <f t="shared" si="5"/>
        <v>0.15</v>
      </c>
      <c r="I33" s="158">
        <f t="shared" si="6"/>
        <v>305.59103999999996</v>
      </c>
      <c r="J33" s="161">
        <f t="shared" si="0"/>
        <v>11.753501538461537</v>
      </c>
      <c r="K33" s="92" t="s">
        <v>332</v>
      </c>
      <c r="L33" s="274">
        <f t="shared" si="1"/>
        <v>10</v>
      </c>
      <c r="M33" s="43">
        <v>53</v>
      </c>
      <c r="N33" s="160">
        <f t="shared" si="7"/>
        <v>0.23</v>
      </c>
      <c r="O33" s="159">
        <f t="shared" si="8"/>
        <v>1.0615384615384615</v>
      </c>
      <c r="P33" s="275">
        <v>3</v>
      </c>
      <c r="Q33" s="158">
        <f t="shared" si="11"/>
        <v>1.5</v>
      </c>
      <c r="R33" s="159">
        <f t="shared" si="12"/>
        <v>0.69230769230769229</v>
      </c>
      <c r="S33" s="97">
        <f t="shared" si="13"/>
        <v>13.50734769230769</v>
      </c>
      <c r="T33" s="40">
        <f t="shared" si="10"/>
        <v>351.19103999999993</v>
      </c>
    </row>
    <row r="34" spans="2:20" x14ac:dyDescent="0.25">
      <c r="B34" s="1">
        <f>+fulltime!B22</f>
        <v>433</v>
      </c>
      <c r="C34" s="156">
        <f>+fulltime!C22</f>
        <v>32.08</v>
      </c>
      <c r="D34" s="35">
        <f t="shared" si="2"/>
        <v>66726.399999999994</v>
      </c>
      <c r="E34" s="43">
        <f>+healthpension!F25</f>
        <v>50</v>
      </c>
      <c r="F34" s="35">
        <f t="shared" si="3"/>
        <v>200179.19999999998</v>
      </c>
      <c r="G34" s="35">
        <f t="shared" si="4"/>
        <v>150179.19999999998</v>
      </c>
      <c r="H34" s="157">
        <f t="shared" si="5"/>
        <v>0.23</v>
      </c>
      <c r="I34" s="158">
        <f t="shared" si="6"/>
        <v>414.49459200000001</v>
      </c>
      <c r="J34" s="161">
        <f t="shared" si="0"/>
        <v>15.942099692307693</v>
      </c>
      <c r="K34" s="92" t="s">
        <v>335</v>
      </c>
      <c r="L34" s="274">
        <f t="shared" si="1"/>
        <v>10</v>
      </c>
      <c r="M34" s="43">
        <v>50</v>
      </c>
      <c r="N34" s="160">
        <f t="shared" si="7"/>
        <v>0.23</v>
      </c>
      <c r="O34" s="159">
        <f t="shared" si="8"/>
        <v>1.0615384615384615</v>
      </c>
      <c r="P34" s="275">
        <v>1</v>
      </c>
      <c r="Q34" s="158">
        <f t="shared" si="11"/>
        <v>0.5</v>
      </c>
      <c r="R34" s="159">
        <f t="shared" si="12"/>
        <v>0.23076923076923078</v>
      </c>
      <c r="S34" s="97">
        <f t="shared" si="13"/>
        <v>17.234407384615384</v>
      </c>
      <c r="T34" s="40">
        <f t="shared" si="10"/>
        <v>448.09459199999998</v>
      </c>
    </row>
    <row r="35" spans="2:20" x14ac:dyDescent="0.25">
      <c r="B35" s="1">
        <f>+fulltime!B23</f>
        <v>497</v>
      </c>
      <c r="C35" s="156">
        <f>+fulltime!C23</f>
        <v>24.01</v>
      </c>
      <c r="D35" s="35">
        <f t="shared" si="2"/>
        <v>49940.800000000003</v>
      </c>
      <c r="E35" s="43">
        <f>+healthpension!F26</f>
        <v>47</v>
      </c>
      <c r="F35" s="35">
        <f t="shared" si="3"/>
        <v>149822.40000000002</v>
      </c>
      <c r="G35" s="35">
        <f t="shared" si="4"/>
        <v>99822.400000000023</v>
      </c>
      <c r="H35" s="157">
        <f t="shared" si="5"/>
        <v>0.15</v>
      </c>
      <c r="I35" s="158">
        <f t="shared" si="6"/>
        <v>179.68032000000005</v>
      </c>
      <c r="J35" s="161">
        <f t="shared" si="0"/>
        <v>6.9107815384615403</v>
      </c>
      <c r="K35" s="92" t="s">
        <v>336</v>
      </c>
      <c r="L35" s="274">
        <f t="shared" si="1"/>
        <v>10</v>
      </c>
      <c r="M35" s="43">
        <v>38</v>
      </c>
      <c r="N35" s="160">
        <f t="shared" si="7"/>
        <v>0.09</v>
      </c>
      <c r="O35" s="159">
        <f t="shared" si="8"/>
        <v>0.41538461538461535</v>
      </c>
      <c r="P35" s="275"/>
      <c r="Q35" s="158">
        <f t="shared" si="11"/>
        <v>0</v>
      </c>
      <c r="R35" s="159">
        <f t="shared" si="12"/>
        <v>0</v>
      </c>
      <c r="S35" s="97">
        <f t="shared" si="13"/>
        <v>7.326166153846156</v>
      </c>
      <c r="T35" s="40">
        <f t="shared" si="10"/>
        <v>190.48032000000006</v>
      </c>
    </row>
    <row r="36" spans="2:20" x14ac:dyDescent="0.25">
      <c r="B36" s="1">
        <f>+fulltime!B24</f>
        <v>685</v>
      </c>
      <c r="C36" s="156">
        <f>+fulltime!C24</f>
        <v>18.260000000000002</v>
      </c>
      <c r="D36" s="35">
        <f t="shared" si="2"/>
        <v>37980.800000000003</v>
      </c>
      <c r="E36" s="43">
        <f>+healthpension!F27</f>
        <v>30</v>
      </c>
      <c r="F36" s="35">
        <f t="shared" si="3"/>
        <v>113942.40000000001</v>
      </c>
      <c r="G36" s="35">
        <f t="shared" si="4"/>
        <v>63942.400000000009</v>
      </c>
      <c r="H36" s="157">
        <f t="shared" si="5"/>
        <v>0.08</v>
      </c>
      <c r="I36" s="158">
        <f t="shared" si="6"/>
        <v>61.384704000000013</v>
      </c>
      <c r="J36" s="161">
        <f t="shared" si="0"/>
        <v>2.3609501538461544</v>
      </c>
      <c r="K36" s="92" t="s">
        <v>337</v>
      </c>
      <c r="L36" s="274">
        <f t="shared" si="1"/>
        <v>10</v>
      </c>
      <c r="M36" s="43">
        <v>26</v>
      </c>
      <c r="N36" s="160">
        <f t="shared" si="7"/>
        <v>0.06</v>
      </c>
      <c r="O36" s="159">
        <f t="shared" si="8"/>
        <v>0.27692307692307688</v>
      </c>
      <c r="P36" s="275">
        <v>1</v>
      </c>
      <c r="Q36" s="158">
        <f t="shared" si="11"/>
        <v>0.5</v>
      </c>
      <c r="R36" s="159">
        <f t="shared" si="12"/>
        <v>0.23076923076923078</v>
      </c>
      <c r="S36" s="97">
        <f t="shared" si="13"/>
        <v>2.868642461538462</v>
      </c>
      <c r="T36" s="40">
        <f t="shared" si="10"/>
        <v>74.584704000000016</v>
      </c>
    </row>
    <row r="37" spans="2:20" x14ac:dyDescent="0.25">
      <c r="B37" s="1">
        <f>+fulltime!B25</f>
        <v>538</v>
      </c>
      <c r="C37" s="156">
        <f>+fulltime!C25</f>
        <v>31.93</v>
      </c>
      <c r="D37" s="35">
        <f t="shared" si="2"/>
        <v>66414.399999999994</v>
      </c>
      <c r="E37" s="43">
        <f>+healthpension!F28</f>
        <v>36</v>
      </c>
      <c r="F37" s="35">
        <f t="shared" si="3"/>
        <v>199243.19999999998</v>
      </c>
      <c r="G37" s="35">
        <f t="shared" si="4"/>
        <v>149243.19999999998</v>
      </c>
      <c r="H37" s="157">
        <f t="shared" si="5"/>
        <v>0.09</v>
      </c>
      <c r="I37" s="158">
        <f t="shared" si="6"/>
        <v>161.18265599999995</v>
      </c>
      <c r="J37" s="161">
        <f t="shared" si="0"/>
        <v>6.1993329230769216</v>
      </c>
      <c r="K37" s="285" t="s">
        <v>338</v>
      </c>
      <c r="L37" s="274">
        <f t="shared" si="1"/>
        <v>10</v>
      </c>
      <c r="M37" s="43">
        <v>32</v>
      </c>
      <c r="N37" s="160">
        <f t="shared" si="7"/>
        <v>0.08</v>
      </c>
      <c r="O37" s="159">
        <f t="shared" si="8"/>
        <v>0.36923076923076931</v>
      </c>
      <c r="P37" s="275">
        <v>2</v>
      </c>
      <c r="Q37" s="158">
        <f t="shared" si="11"/>
        <v>1</v>
      </c>
      <c r="R37" s="159">
        <f t="shared" si="12"/>
        <v>0.46153846153846156</v>
      </c>
      <c r="S37" s="97">
        <f t="shared" si="13"/>
        <v>7.030102153846153</v>
      </c>
      <c r="T37" s="40">
        <f t="shared" si="10"/>
        <v>182.78265599999997</v>
      </c>
    </row>
    <row r="38" spans="2:20" x14ac:dyDescent="0.25">
      <c r="B38" s="1">
        <f>+fulltime!B26</f>
        <v>335</v>
      </c>
      <c r="C38" s="156">
        <f>+fulltime!C26</f>
        <v>54.5</v>
      </c>
      <c r="D38" s="35">
        <f t="shared" si="2"/>
        <v>113360</v>
      </c>
      <c r="E38" s="43">
        <f>+healthpension!F29</f>
        <v>52</v>
      </c>
      <c r="F38" s="35">
        <f t="shared" si="3"/>
        <v>340080</v>
      </c>
      <c r="G38" s="35">
        <f t="shared" si="4"/>
        <v>290080</v>
      </c>
      <c r="H38" s="157">
        <f t="shared" si="5"/>
        <v>0.23</v>
      </c>
      <c r="I38" s="158">
        <f t="shared" si="6"/>
        <v>800.62080000000003</v>
      </c>
      <c r="J38" s="161">
        <f t="shared" si="0"/>
        <v>30.793107692307693</v>
      </c>
      <c r="K38" s="92" t="s">
        <v>339</v>
      </c>
      <c r="L38" s="274">
        <f t="shared" si="1"/>
        <v>10</v>
      </c>
      <c r="M38" s="43">
        <v>53</v>
      </c>
      <c r="N38" s="160">
        <f t="shared" si="7"/>
        <v>0.23</v>
      </c>
      <c r="O38" s="159">
        <f t="shared" si="8"/>
        <v>1.0615384615384615</v>
      </c>
      <c r="P38" s="275">
        <v>2</v>
      </c>
      <c r="Q38" s="158">
        <f t="shared" si="11"/>
        <v>1</v>
      </c>
      <c r="R38" s="159">
        <f t="shared" si="12"/>
        <v>0.46153846153846156</v>
      </c>
      <c r="S38" s="97">
        <f t="shared" si="13"/>
        <v>32.316184615384614</v>
      </c>
      <c r="T38" s="40">
        <f t="shared" si="10"/>
        <v>840.22079999999994</v>
      </c>
    </row>
    <row r="39" spans="2:20" x14ac:dyDescent="0.25">
      <c r="B39" s="1">
        <f>+fulltime!B27</f>
        <v>660</v>
      </c>
      <c r="C39" s="156">
        <f>+fulltime!C27</f>
        <v>21.01</v>
      </c>
      <c r="D39" s="35">
        <f t="shared" si="2"/>
        <v>43700.800000000003</v>
      </c>
      <c r="E39" s="43">
        <f>+healthpension!F30</f>
        <v>22</v>
      </c>
      <c r="F39" s="35">
        <f t="shared" si="3"/>
        <v>131102.40000000002</v>
      </c>
      <c r="G39" s="35">
        <f t="shared" si="4"/>
        <v>81102.400000000023</v>
      </c>
      <c r="H39" s="157">
        <f t="shared" si="5"/>
        <v>0.05</v>
      </c>
      <c r="I39" s="158">
        <f t="shared" si="6"/>
        <v>48.661440000000013</v>
      </c>
      <c r="J39" s="161">
        <f t="shared" si="0"/>
        <v>1.8715938461538466</v>
      </c>
      <c r="K39" s="92"/>
      <c r="L39" s="274" t="str">
        <f t="shared" si="1"/>
        <v/>
      </c>
      <c r="M39" s="43"/>
      <c r="N39" s="160" t="str">
        <f t="shared" si="7"/>
        <v/>
      </c>
      <c r="O39" s="159">
        <f t="shared" si="8"/>
        <v>0</v>
      </c>
      <c r="P39" s="275"/>
      <c r="Q39" s="158">
        <f t="shared" si="11"/>
        <v>0</v>
      </c>
      <c r="R39" s="159">
        <f t="shared" si="12"/>
        <v>0</v>
      </c>
      <c r="S39" s="97">
        <f t="shared" si="13"/>
        <v>1.8715938461538466</v>
      </c>
      <c r="T39" s="40">
        <f t="shared" si="10"/>
        <v>48.661440000000013</v>
      </c>
    </row>
    <row r="40" spans="2:20" x14ac:dyDescent="0.25">
      <c r="B40" s="1">
        <f>+fulltime!B28</f>
        <v>455</v>
      </c>
      <c r="C40" s="156">
        <f>+fulltime!C28</f>
        <v>31.93</v>
      </c>
      <c r="D40" s="35">
        <f t="shared" si="2"/>
        <v>66414.399999999994</v>
      </c>
      <c r="E40" s="43">
        <f>+healthpension!F31</f>
        <v>53</v>
      </c>
      <c r="F40" s="35">
        <f t="shared" si="3"/>
        <v>199243.19999999998</v>
      </c>
      <c r="G40" s="35">
        <f t="shared" si="4"/>
        <v>149243.19999999998</v>
      </c>
      <c r="H40" s="157">
        <f t="shared" si="5"/>
        <v>0.23</v>
      </c>
      <c r="I40" s="158">
        <f t="shared" si="6"/>
        <v>411.91123199999998</v>
      </c>
      <c r="J40" s="161">
        <f t="shared" si="0"/>
        <v>15.842739692307692</v>
      </c>
      <c r="K40" s="92" t="s">
        <v>340</v>
      </c>
      <c r="L40" s="274">
        <f t="shared" si="1"/>
        <v>10</v>
      </c>
      <c r="M40" s="43">
        <v>52</v>
      </c>
      <c r="N40" s="160">
        <f t="shared" si="7"/>
        <v>0.23</v>
      </c>
      <c r="O40" s="159">
        <f t="shared" si="8"/>
        <v>1.0615384615384615</v>
      </c>
      <c r="P40" s="275">
        <v>2</v>
      </c>
      <c r="Q40" s="158">
        <f t="shared" si="11"/>
        <v>1</v>
      </c>
      <c r="R40" s="159">
        <f t="shared" si="12"/>
        <v>0.46153846153846156</v>
      </c>
      <c r="S40" s="97">
        <f t="shared" si="13"/>
        <v>17.365816615384613</v>
      </c>
      <c r="T40" s="40">
        <f t="shared" si="10"/>
        <v>451.51123199999995</v>
      </c>
    </row>
    <row r="41" spans="2:20" x14ac:dyDescent="0.25">
      <c r="B41" s="1">
        <f>+fulltime!B29</f>
        <v>314</v>
      </c>
      <c r="C41" s="156">
        <f>+fulltime!C29</f>
        <v>31.93</v>
      </c>
      <c r="D41" s="35">
        <f t="shared" si="2"/>
        <v>66414.399999999994</v>
      </c>
      <c r="E41" s="43">
        <f>+healthpension!F32</f>
        <v>56</v>
      </c>
      <c r="F41" s="35">
        <f t="shared" si="3"/>
        <v>199243.19999999998</v>
      </c>
      <c r="G41" s="35">
        <f t="shared" si="4"/>
        <v>149243.19999999998</v>
      </c>
      <c r="H41" s="157">
        <f t="shared" si="5"/>
        <v>0.43</v>
      </c>
      <c r="I41" s="158">
        <f t="shared" si="6"/>
        <v>770.09491199999979</v>
      </c>
      <c r="J41" s="161">
        <f t="shared" si="0"/>
        <v>29.619035076923069</v>
      </c>
      <c r="K41" s="92" t="s">
        <v>321</v>
      </c>
      <c r="L41" s="274">
        <f t="shared" si="1"/>
        <v>10</v>
      </c>
      <c r="M41" s="43">
        <v>45</v>
      </c>
      <c r="N41" s="160">
        <f t="shared" si="7"/>
        <v>0.15</v>
      </c>
      <c r="O41" s="159">
        <f t="shared" si="8"/>
        <v>0.69230769230769229</v>
      </c>
      <c r="P41" s="275"/>
      <c r="Q41" s="158">
        <f t="shared" si="11"/>
        <v>0</v>
      </c>
      <c r="R41" s="159">
        <f t="shared" si="12"/>
        <v>0</v>
      </c>
      <c r="S41" s="97">
        <f t="shared" si="13"/>
        <v>30.311342769230762</v>
      </c>
      <c r="T41" s="40">
        <f t="shared" si="10"/>
        <v>788.09491199999979</v>
      </c>
    </row>
    <row r="42" spans="2:20" x14ac:dyDescent="0.25">
      <c r="B42" s="1">
        <f>+fulltime!B30</f>
        <v>428</v>
      </c>
      <c r="C42" s="156">
        <f>+fulltime!C30</f>
        <v>32.6</v>
      </c>
      <c r="D42" s="35">
        <f t="shared" si="2"/>
        <v>67808</v>
      </c>
      <c r="E42" s="43">
        <f>+healthpension!F33</f>
        <v>57</v>
      </c>
      <c r="F42" s="35">
        <f t="shared" si="3"/>
        <v>203424</v>
      </c>
      <c r="G42" s="35">
        <f t="shared" si="4"/>
        <v>153424</v>
      </c>
      <c r="H42" s="157">
        <f t="shared" si="5"/>
        <v>0.43</v>
      </c>
      <c r="I42" s="158">
        <f t="shared" si="6"/>
        <v>791.66783999999996</v>
      </c>
      <c r="J42" s="161">
        <f t="shared" si="0"/>
        <v>30.448763076923075</v>
      </c>
      <c r="K42" s="92" t="s">
        <v>341</v>
      </c>
      <c r="L42" s="274">
        <f t="shared" si="1"/>
        <v>10</v>
      </c>
      <c r="M42" s="43">
        <v>56</v>
      </c>
      <c r="N42" s="160">
        <f t="shared" si="7"/>
        <v>0.43</v>
      </c>
      <c r="O42" s="159">
        <f t="shared" si="8"/>
        <v>1.9846153846153844</v>
      </c>
      <c r="P42" s="275">
        <v>1</v>
      </c>
      <c r="Q42" s="158">
        <f t="shared" si="11"/>
        <v>0.5</v>
      </c>
      <c r="R42" s="159">
        <f t="shared" si="12"/>
        <v>0.23076923076923078</v>
      </c>
      <c r="S42" s="97">
        <f t="shared" si="13"/>
        <v>32.664147692307694</v>
      </c>
      <c r="T42" s="40">
        <f t="shared" si="10"/>
        <v>849.26783999999998</v>
      </c>
    </row>
    <row r="43" spans="2:20" x14ac:dyDescent="0.25">
      <c r="B43" s="1">
        <f>+fulltime!B31</f>
        <v>129</v>
      </c>
      <c r="C43" s="156">
        <f>+fulltime!C31</f>
        <v>31.89</v>
      </c>
      <c r="D43" s="35">
        <f t="shared" si="2"/>
        <v>66331.199999999997</v>
      </c>
      <c r="E43" s="43">
        <f>+healthpension!F34</f>
        <v>50</v>
      </c>
      <c r="F43" s="35">
        <f t="shared" si="3"/>
        <v>198993.59999999998</v>
      </c>
      <c r="G43" s="35">
        <f t="shared" si="4"/>
        <v>148993.59999999998</v>
      </c>
      <c r="H43" s="157">
        <f t="shared" si="5"/>
        <v>0.23</v>
      </c>
      <c r="I43" s="158">
        <f t="shared" si="6"/>
        <v>411.22233599999993</v>
      </c>
      <c r="J43" s="161">
        <f t="shared" si="0"/>
        <v>15.81624369230769</v>
      </c>
      <c r="K43" s="92" t="s">
        <v>342</v>
      </c>
      <c r="L43" s="274">
        <f t="shared" si="1"/>
        <v>10</v>
      </c>
      <c r="M43" s="43">
        <v>59</v>
      </c>
      <c r="N43" s="160">
        <f t="shared" si="7"/>
        <v>0.43</v>
      </c>
      <c r="O43" s="159">
        <f t="shared" si="8"/>
        <v>1.9846153846153844</v>
      </c>
      <c r="P43" s="275">
        <v>1</v>
      </c>
      <c r="Q43" s="158">
        <f t="shared" si="11"/>
        <v>0.5</v>
      </c>
      <c r="R43" s="159">
        <f t="shared" si="12"/>
        <v>0.23076923076923078</v>
      </c>
      <c r="S43" s="97">
        <f t="shared" si="13"/>
        <v>18.031628307692305</v>
      </c>
      <c r="T43" s="40">
        <f t="shared" si="10"/>
        <v>468.82233599999995</v>
      </c>
    </row>
    <row r="44" spans="2:20" x14ac:dyDescent="0.25">
      <c r="B44" s="1">
        <f>+fulltime!B32</f>
        <v>205</v>
      </c>
      <c r="C44" s="156">
        <f>+fulltime!C32</f>
        <v>29.34</v>
      </c>
      <c r="D44" s="35">
        <f t="shared" si="2"/>
        <v>61027.199999999997</v>
      </c>
      <c r="E44" s="43">
        <f>+healthpension!F35</f>
        <v>26</v>
      </c>
      <c r="F44" s="35">
        <f t="shared" si="3"/>
        <v>183081.59999999998</v>
      </c>
      <c r="G44" s="35">
        <f t="shared" si="4"/>
        <v>133081.59999999998</v>
      </c>
      <c r="H44" s="157">
        <f t="shared" si="5"/>
        <v>0.06</v>
      </c>
      <c r="I44" s="158">
        <f t="shared" si="6"/>
        <v>95.818751999999975</v>
      </c>
      <c r="J44" s="161">
        <f t="shared" si="0"/>
        <v>3.6853366153846143</v>
      </c>
      <c r="K44" s="92"/>
      <c r="L44" s="274" t="str">
        <f t="shared" si="1"/>
        <v/>
      </c>
      <c r="M44" s="43"/>
      <c r="N44" s="160" t="str">
        <f t="shared" si="7"/>
        <v/>
      </c>
      <c r="O44" s="159">
        <f t="shared" si="8"/>
        <v>0</v>
      </c>
      <c r="P44" s="275">
        <v>0</v>
      </c>
      <c r="Q44" s="158">
        <f t="shared" si="11"/>
        <v>0</v>
      </c>
      <c r="R44" s="159">
        <f t="shared" si="12"/>
        <v>0</v>
      </c>
      <c r="S44" s="97">
        <f t="shared" si="13"/>
        <v>3.6853366153846143</v>
      </c>
      <c r="T44" s="40">
        <f t="shared" si="10"/>
        <v>95.818751999999975</v>
      </c>
    </row>
    <row r="45" spans="2:20" x14ac:dyDescent="0.25">
      <c r="B45" s="1">
        <f>+fulltime!B33</f>
        <v>220</v>
      </c>
      <c r="C45" s="156">
        <f>+fulltime!C33</f>
        <v>37.130000000000003</v>
      </c>
      <c r="D45" s="35">
        <f t="shared" si="2"/>
        <v>77230.400000000009</v>
      </c>
      <c r="E45" s="43">
        <f>+healthpension!F36</f>
        <v>55</v>
      </c>
      <c r="F45" s="35">
        <f t="shared" si="3"/>
        <v>231691.2</v>
      </c>
      <c r="G45" s="35">
        <f t="shared" si="4"/>
        <v>181691.2</v>
      </c>
      <c r="H45" s="157">
        <f t="shared" si="5"/>
        <v>0.43</v>
      </c>
      <c r="I45" s="158">
        <f t="shared" si="6"/>
        <v>937.52659200000005</v>
      </c>
      <c r="J45" s="161">
        <f t="shared" si="0"/>
        <v>36.058715076923079</v>
      </c>
      <c r="K45" s="92" t="s">
        <v>343</v>
      </c>
      <c r="L45" s="274">
        <f t="shared" si="1"/>
        <v>10</v>
      </c>
      <c r="M45" s="43">
        <v>52</v>
      </c>
      <c r="N45" s="160">
        <f t="shared" si="7"/>
        <v>0.23</v>
      </c>
      <c r="O45" s="159">
        <f t="shared" si="8"/>
        <v>1.0615384615384615</v>
      </c>
      <c r="P45" s="275">
        <v>2</v>
      </c>
      <c r="Q45" s="158">
        <f t="shared" si="11"/>
        <v>1</v>
      </c>
      <c r="R45" s="159">
        <f t="shared" si="12"/>
        <v>0.46153846153846156</v>
      </c>
      <c r="S45" s="97">
        <f t="shared" si="13"/>
        <v>37.581792</v>
      </c>
      <c r="T45" s="40">
        <f t="shared" si="10"/>
        <v>977.12659199999996</v>
      </c>
    </row>
    <row r="46" spans="2:20" x14ac:dyDescent="0.25">
      <c r="B46" s="1">
        <f>+fulltime!B34</f>
        <v>316</v>
      </c>
      <c r="C46" s="156">
        <f>+fulltime!C34</f>
        <v>36.86</v>
      </c>
      <c r="D46" s="35">
        <f t="shared" si="2"/>
        <v>76668.800000000003</v>
      </c>
      <c r="E46" s="43">
        <f>+healthpension!F37</f>
        <v>59</v>
      </c>
      <c r="F46" s="35">
        <f t="shared" si="3"/>
        <v>230006.40000000002</v>
      </c>
      <c r="G46" s="35">
        <f t="shared" si="4"/>
        <v>180006.40000000002</v>
      </c>
      <c r="H46" s="157">
        <f t="shared" si="5"/>
        <v>0.43</v>
      </c>
      <c r="I46" s="158">
        <f t="shared" si="6"/>
        <v>928.83302400000002</v>
      </c>
      <c r="J46" s="161">
        <f t="shared" si="0"/>
        <v>35.724347076923081</v>
      </c>
      <c r="K46" s="92" t="s">
        <v>344</v>
      </c>
      <c r="L46" s="274">
        <f t="shared" si="1"/>
        <v>10</v>
      </c>
      <c r="M46" s="43">
        <v>53</v>
      </c>
      <c r="N46" s="160">
        <f t="shared" si="7"/>
        <v>0.23</v>
      </c>
      <c r="O46" s="159">
        <f t="shared" si="8"/>
        <v>1.0615384615384615</v>
      </c>
      <c r="P46" s="275">
        <v>2</v>
      </c>
      <c r="Q46" s="158">
        <f t="shared" si="11"/>
        <v>1</v>
      </c>
      <c r="R46" s="159">
        <f t="shared" si="12"/>
        <v>0.46153846153846156</v>
      </c>
      <c r="S46" s="97">
        <f t="shared" si="13"/>
        <v>37.247424000000002</v>
      </c>
      <c r="T46" s="40">
        <f t="shared" si="10"/>
        <v>968.43302400000005</v>
      </c>
    </row>
    <row r="47" spans="2:20" x14ac:dyDescent="0.25">
      <c r="B47" s="1">
        <f>+fulltime!B35</f>
        <v>395</v>
      </c>
      <c r="C47" s="156">
        <f>+fulltime!C35</f>
        <v>37.31</v>
      </c>
      <c r="D47" s="35">
        <f t="shared" si="2"/>
        <v>77604.800000000003</v>
      </c>
      <c r="E47" s="43">
        <f>+healthpension!F38</f>
        <v>47</v>
      </c>
      <c r="F47" s="35">
        <f t="shared" ref="F47:F78" si="14">D47*3</f>
        <v>232814.40000000002</v>
      </c>
      <c r="G47" s="35">
        <f t="shared" ref="G47:G78" si="15">F47-50000</f>
        <v>182814.40000000002</v>
      </c>
      <c r="H47" s="157">
        <f t="shared" ref="H47:H78" si="16">VLOOKUP(E47,A$3:B$13,2)</f>
        <v>0.15</v>
      </c>
      <c r="I47" s="158">
        <f t="shared" si="6"/>
        <v>329.06592000000006</v>
      </c>
      <c r="J47" s="161">
        <f t="shared" si="0"/>
        <v>12.656381538461542</v>
      </c>
      <c r="K47" s="92" t="s">
        <v>345</v>
      </c>
      <c r="L47" s="274">
        <f t="shared" si="1"/>
        <v>10</v>
      </c>
      <c r="M47" s="43">
        <v>44</v>
      </c>
      <c r="N47" s="160">
        <f t="shared" si="7"/>
        <v>0.1</v>
      </c>
      <c r="O47" s="159">
        <f t="shared" si="8"/>
        <v>0.46153846153846156</v>
      </c>
      <c r="P47" s="275">
        <v>3</v>
      </c>
      <c r="Q47" s="158">
        <f t="shared" si="11"/>
        <v>1.5</v>
      </c>
      <c r="R47" s="159">
        <f t="shared" si="12"/>
        <v>0.69230769230769229</v>
      </c>
      <c r="S47" s="97">
        <f t="shared" ref="S47:S78" si="17">O47+J47+R47</f>
        <v>13.810227692307695</v>
      </c>
      <c r="T47" s="40">
        <f t="shared" si="10"/>
        <v>359.06592000000006</v>
      </c>
    </row>
    <row r="48" spans="2:20" x14ac:dyDescent="0.25">
      <c r="B48" s="1">
        <f>+fulltime!B36</f>
        <v>669</v>
      </c>
      <c r="C48" s="156">
        <f>+fulltime!C36</f>
        <v>32.49</v>
      </c>
      <c r="D48" s="35">
        <f t="shared" si="2"/>
        <v>67579.199999999997</v>
      </c>
      <c r="E48" s="43">
        <f>+healthpension!F39</f>
        <v>57</v>
      </c>
      <c r="F48" s="35">
        <f t="shared" si="14"/>
        <v>202737.59999999998</v>
      </c>
      <c r="G48" s="35">
        <f t="shared" si="15"/>
        <v>152737.59999999998</v>
      </c>
      <c r="H48" s="157">
        <f t="shared" si="16"/>
        <v>0.43</v>
      </c>
      <c r="I48" s="158">
        <f t="shared" si="6"/>
        <v>788.12601599999994</v>
      </c>
      <c r="J48" s="161">
        <f t="shared" si="0"/>
        <v>30.312539076923073</v>
      </c>
      <c r="K48" s="92" t="s">
        <v>334</v>
      </c>
      <c r="L48" s="274">
        <f t="shared" si="1"/>
        <v>10</v>
      </c>
      <c r="M48" s="43">
        <v>56</v>
      </c>
      <c r="N48" s="160">
        <f t="shared" si="7"/>
        <v>0.43</v>
      </c>
      <c r="O48" s="159">
        <f t="shared" si="8"/>
        <v>1.9846153846153844</v>
      </c>
      <c r="P48" s="275">
        <v>0</v>
      </c>
      <c r="Q48" s="158">
        <f t="shared" si="11"/>
        <v>0</v>
      </c>
      <c r="R48" s="159">
        <f t="shared" si="12"/>
        <v>0</v>
      </c>
      <c r="S48" s="97">
        <f t="shared" si="17"/>
        <v>32.297154461538454</v>
      </c>
      <c r="T48" s="40">
        <f t="shared" si="10"/>
        <v>839.72601599999985</v>
      </c>
    </row>
    <row r="49" spans="2:20" x14ac:dyDescent="0.25">
      <c r="B49" s="1">
        <f>+fulltime!B37</f>
        <v>214</v>
      </c>
      <c r="C49" s="156">
        <f>+fulltime!C37</f>
        <v>23.1</v>
      </c>
      <c r="D49" s="35">
        <f t="shared" si="2"/>
        <v>48048</v>
      </c>
      <c r="E49" s="43">
        <f>+healthpension!F40</f>
        <v>24</v>
      </c>
      <c r="F49" s="35">
        <f t="shared" si="14"/>
        <v>144144</v>
      </c>
      <c r="G49" s="35">
        <f t="shared" si="15"/>
        <v>94144</v>
      </c>
      <c r="H49" s="157">
        <f t="shared" si="16"/>
        <v>0.05</v>
      </c>
      <c r="I49" s="158">
        <f t="shared" si="6"/>
        <v>56.486400000000003</v>
      </c>
      <c r="J49" s="161">
        <f t="shared" si="0"/>
        <v>2.1725538461538463</v>
      </c>
      <c r="K49" s="92" t="s">
        <v>321</v>
      </c>
      <c r="L49" s="274">
        <f t="shared" si="1"/>
        <v>10</v>
      </c>
      <c r="M49" s="43">
        <v>21</v>
      </c>
      <c r="N49" s="160">
        <f t="shared" si="7"/>
        <v>0.05</v>
      </c>
      <c r="O49" s="159">
        <f t="shared" si="8"/>
        <v>0.23076923076923078</v>
      </c>
      <c r="P49" s="275"/>
      <c r="Q49" s="158">
        <f t="shared" si="11"/>
        <v>0</v>
      </c>
      <c r="R49" s="159">
        <f t="shared" si="12"/>
        <v>0</v>
      </c>
      <c r="S49" s="97">
        <f t="shared" si="17"/>
        <v>2.4033230769230771</v>
      </c>
      <c r="T49" s="40">
        <f t="shared" si="10"/>
        <v>62.486400000000003</v>
      </c>
    </row>
    <row r="50" spans="2:20" x14ac:dyDescent="0.25">
      <c r="B50" s="1">
        <f>+fulltime!B38</f>
        <v>330</v>
      </c>
      <c r="C50" s="156">
        <f>+fulltime!C38</f>
        <v>31.95</v>
      </c>
      <c r="D50" s="35">
        <f t="shared" si="2"/>
        <v>66456</v>
      </c>
      <c r="E50" s="43">
        <f>+healthpension!F41</f>
        <v>50</v>
      </c>
      <c r="F50" s="35">
        <f t="shared" si="14"/>
        <v>199368</v>
      </c>
      <c r="G50" s="35">
        <f t="shared" si="15"/>
        <v>149368</v>
      </c>
      <c r="H50" s="157">
        <f t="shared" si="16"/>
        <v>0.23</v>
      </c>
      <c r="I50" s="158">
        <f t="shared" si="6"/>
        <v>412.25568000000004</v>
      </c>
      <c r="J50" s="161">
        <f t="shared" si="0"/>
        <v>15.855987692307695</v>
      </c>
      <c r="K50" s="92" t="s">
        <v>346</v>
      </c>
      <c r="L50" s="274">
        <f t="shared" si="1"/>
        <v>10</v>
      </c>
      <c r="M50" s="43">
        <v>43</v>
      </c>
      <c r="N50" s="160">
        <f t="shared" si="7"/>
        <v>0.1</v>
      </c>
      <c r="O50" s="159">
        <f t="shared" si="8"/>
        <v>0.46153846153846156</v>
      </c>
      <c r="P50" s="275">
        <v>4</v>
      </c>
      <c r="Q50" s="158">
        <f t="shared" si="11"/>
        <v>2</v>
      </c>
      <c r="R50" s="159">
        <f t="shared" si="12"/>
        <v>0.92307692307692313</v>
      </c>
      <c r="S50" s="97">
        <f t="shared" si="17"/>
        <v>17.24060307692308</v>
      </c>
      <c r="T50" s="40">
        <f t="shared" si="10"/>
        <v>448.2556800000001</v>
      </c>
    </row>
    <row r="51" spans="2:20" x14ac:dyDescent="0.25">
      <c r="B51" s="1">
        <f>+fulltime!B39</f>
        <v>420</v>
      </c>
      <c r="C51" s="156">
        <f>+fulltime!C39</f>
        <v>31.93</v>
      </c>
      <c r="D51" s="35">
        <f t="shared" si="2"/>
        <v>66414.399999999994</v>
      </c>
      <c r="E51" s="43">
        <f>+healthpension!F42</f>
        <v>48</v>
      </c>
      <c r="F51" s="35">
        <f t="shared" si="14"/>
        <v>199243.19999999998</v>
      </c>
      <c r="G51" s="35">
        <f t="shared" si="15"/>
        <v>149243.19999999998</v>
      </c>
      <c r="H51" s="157">
        <f t="shared" si="16"/>
        <v>0.15</v>
      </c>
      <c r="I51" s="158">
        <f t="shared" si="6"/>
        <v>268.63775999999996</v>
      </c>
      <c r="J51" s="161">
        <f t="shared" si="0"/>
        <v>10.332221538461537</v>
      </c>
      <c r="K51" s="92" t="s">
        <v>347</v>
      </c>
      <c r="L51" s="274">
        <f t="shared" si="1"/>
        <v>10</v>
      </c>
      <c r="M51" s="43">
        <v>47</v>
      </c>
      <c r="N51" s="160">
        <f t="shared" si="7"/>
        <v>0.15</v>
      </c>
      <c r="O51" s="159">
        <f t="shared" si="8"/>
        <v>0.69230769230769229</v>
      </c>
      <c r="P51" s="275">
        <v>1</v>
      </c>
      <c r="Q51" s="158">
        <f t="shared" si="11"/>
        <v>0.5</v>
      </c>
      <c r="R51" s="159">
        <f t="shared" si="12"/>
        <v>0.23076923076923078</v>
      </c>
      <c r="S51" s="97">
        <f t="shared" si="17"/>
        <v>11.255298461538459</v>
      </c>
      <c r="T51" s="40">
        <f t="shared" si="10"/>
        <v>292.63775999999996</v>
      </c>
    </row>
    <row r="52" spans="2:20" x14ac:dyDescent="0.25">
      <c r="B52" s="1">
        <f>+fulltime!B40</f>
        <v>650</v>
      </c>
      <c r="C52" s="156">
        <f>+fulltime!C40</f>
        <v>22.64</v>
      </c>
      <c r="D52" s="35">
        <f t="shared" si="2"/>
        <v>47091.200000000004</v>
      </c>
      <c r="E52" s="43">
        <f>+healthpension!F43</f>
        <v>36</v>
      </c>
      <c r="F52" s="35">
        <f t="shared" si="14"/>
        <v>141273.60000000001</v>
      </c>
      <c r="G52" s="35">
        <f t="shared" si="15"/>
        <v>91273.600000000006</v>
      </c>
      <c r="H52" s="157">
        <f t="shared" si="16"/>
        <v>0.09</v>
      </c>
      <c r="I52" s="158">
        <f t="shared" si="6"/>
        <v>98.575488000000007</v>
      </c>
      <c r="J52" s="161">
        <f t="shared" si="0"/>
        <v>3.7913649230769235</v>
      </c>
      <c r="K52" s="92" t="s">
        <v>348</v>
      </c>
      <c r="L52" s="274">
        <f t="shared" si="1"/>
        <v>10</v>
      </c>
      <c r="M52" s="43">
        <v>38</v>
      </c>
      <c r="N52" s="160">
        <f t="shared" si="7"/>
        <v>0.09</v>
      </c>
      <c r="O52" s="159">
        <f t="shared" si="8"/>
        <v>0.41538461538461535</v>
      </c>
      <c r="P52" s="275">
        <v>2</v>
      </c>
      <c r="Q52" s="158">
        <f t="shared" si="11"/>
        <v>1</v>
      </c>
      <c r="R52" s="159">
        <f t="shared" si="12"/>
        <v>0.46153846153846156</v>
      </c>
      <c r="S52" s="97">
        <f t="shared" si="17"/>
        <v>4.6682880000000004</v>
      </c>
      <c r="T52" s="40">
        <f t="shared" si="10"/>
        <v>121.37548800000002</v>
      </c>
    </row>
    <row r="53" spans="2:20" x14ac:dyDescent="0.25">
      <c r="B53" s="1">
        <f>+fulltime!B41</f>
        <v>519</v>
      </c>
      <c r="C53" s="156">
        <f>+fulltime!C41</f>
        <v>69.62</v>
      </c>
      <c r="D53" s="35">
        <f t="shared" si="2"/>
        <v>144809.60000000001</v>
      </c>
      <c r="E53" s="43">
        <f>+healthpension!F44</f>
        <v>53</v>
      </c>
      <c r="F53" s="35">
        <f t="shared" si="14"/>
        <v>434428.80000000005</v>
      </c>
      <c r="G53" s="35">
        <f t="shared" si="15"/>
        <v>384428.80000000005</v>
      </c>
      <c r="H53" s="157">
        <f t="shared" si="16"/>
        <v>0.23</v>
      </c>
      <c r="I53" s="158">
        <f t="shared" si="6"/>
        <v>1061.023488</v>
      </c>
      <c r="J53" s="161">
        <f t="shared" si="0"/>
        <v>40.808595692307691</v>
      </c>
      <c r="K53" s="92" t="s">
        <v>349</v>
      </c>
      <c r="L53" s="274">
        <f t="shared" si="1"/>
        <v>10</v>
      </c>
      <c r="M53" s="43">
        <v>52</v>
      </c>
      <c r="N53" s="160">
        <f t="shared" si="7"/>
        <v>0.23</v>
      </c>
      <c r="O53" s="159">
        <f t="shared" si="8"/>
        <v>1.0615384615384615</v>
      </c>
      <c r="P53" s="275">
        <v>2</v>
      </c>
      <c r="Q53" s="158">
        <f t="shared" si="11"/>
        <v>1</v>
      </c>
      <c r="R53" s="159">
        <f t="shared" si="12"/>
        <v>0.46153846153846156</v>
      </c>
      <c r="S53" s="97">
        <f t="shared" si="17"/>
        <v>42.331672615384612</v>
      </c>
      <c r="T53" s="40">
        <f t="shared" si="10"/>
        <v>1100.623488</v>
      </c>
    </row>
    <row r="54" spans="2:20" x14ac:dyDescent="0.25">
      <c r="B54" s="1">
        <f>+fulltime!B42</f>
        <v>392</v>
      </c>
      <c r="C54" s="156">
        <f>+fulltime!C42</f>
        <v>27.29</v>
      </c>
      <c r="D54" s="35">
        <f t="shared" si="2"/>
        <v>56763.199999999997</v>
      </c>
      <c r="E54" s="43">
        <f>+healthpension!F45</f>
        <v>60</v>
      </c>
      <c r="F54" s="35">
        <f t="shared" si="14"/>
        <v>170289.59999999998</v>
      </c>
      <c r="G54" s="35">
        <f t="shared" si="15"/>
        <v>120289.59999999998</v>
      </c>
      <c r="H54" s="157">
        <f t="shared" si="16"/>
        <v>0.66</v>
      </c>
      <c r="I54" s="158">
        <f t="shared" si="6"/>
        <v>952.69363199999987</v>
      </c>
      <c r="J54" s="161">
        <f t="shared" si="0"/>
        <v>36.642062769230762</v>
      </c>
      <c r="K54" s="92" t="s">
        <v>350</v>
      </c>
      <c r="L54" s="274">
        <f t="shared" si="1"/>
        <v>10</v>
      </c>
      <c r="M54" s="43">
        <v>60</v>
      </c>
      <c r="N54" s="160">
        <f t="shared" si="7"/>
        <v>0.66</v>
      </c>
      <c r="O54" s="159">
        <f t="shared" si="8"/>
        <v>3.0461538461538464</v>
      </c>
      <c r="P54" s="275"/>
      <c r="Q54" s="158">
        <f t="shared" si="11"/>
        <v>0</v>
      </c>
      <c r="R54" s="159">
        <f t="shared" si="12"/>
        <v>0</v>
      </c>
      <c r="S54" s="97">
        <f t="shared" si="17"/>
        <v>39.688216615384611</v>
      </c>
      <c r="T54" s="40">
        <f t="shared" si="10"/>
        <v>1031.8936319999998</v>
      </c>
    </row>
    <row r="55" spans="2:20" x14ac:dyDescent="0.25">
      <c r="B55" s="1">
        <f>+fulltime!B43</f>
        <v>683</v>
      </c>
      <c r="C55" s="156">
        <f>+fulltime!C43</f>
        <v>18.260000000000002</v>
      </c>
      <c r="D55" s="35">
        <f t="shared" si="2"/>
        <v>37980.800000000003</v>
      </c>
      <c r="E55" s="43">
        <f>+healthpension!F46</f>
        <v>24</v>
      </c>
      <c r="F55" s="35">
        <f t="shared" si="14"/>
        <v>113942.40000000001</v>
      </c>
      <c r="G55" s="35">
        <f t="shared" si="15"/>
        <v>63942.400000000009</v>
      </c>
      <c r="H55" s="157">
        <f t="shared" si="16"/>
        <v>0.05</v>
      </c>
      <c r="I55" s="158">
        <f t="shared" si="6"/>
        <v>38.365440000000007</v>
      </c>
      <c r="J55" s="161">
        <f t="shared" si="0"/>
        <v>1.4755938461538465</v>
      </c>
      <c r="K55" s="92" t="s">
        <v>351</v>
      </c>
      <c r="L55" s="274">
        <f t="shared" si="1"/>
        <v>10</v>
      </c>
      <c r="M55" s="43">
        <v>27</v>
      </c>
      <c r="N55" s="160">
        <f t="shared" si="7"/>
        <v>0.06</v>
      </c>
      <c r="O55" s="159">
        <f t="shared" si="8"/>
        <v>0.27692307692307688</v>
      </c>
      <c r="P55" s="275">
        <v>1</v>
      </c>
      <c r="Q55" s="158">
        <f t="shared" si="11"/>
        <v>0.5</v>
      </c>
      <c r="R55" s="159">
        <f t="shared" si="12"/>
        <v>0.23076923076923078</v>
      </c>
      <c r="S55" s="97">
        <f t="shared" si="17"/>
        <v>1.9832861538461541</v>
      </c>
      <c r="T55" s="40">
        <f t="shared" si="10"/>
        <v>51.565440000000009</v>
      </c>
    </row>
    <row r="56" spans="2:20" x14ac:dyDescent="0.25">
      <c r="B56" s="1">
        <f>+fulltime!B44</f>
        <v>448</v>
      </c>
      <c r="C56" s="156">
        <f>+fulltime!C44</f>
        <v>25.92</v>
      </c>
      <c r="D56" s="35">
        <f t="shared" si="2"/>
        <v>53913.600000000006</v>
      </c>
      <c r="E56" s="43">
        <f>+healthpension!F47</f>
        <v>57</v>
      </c>
      <c r="F56" s="35">
        <f t="shared" si="14"/>
        <v>161740.80000000002</v>
      </c>
      <c r="G56" s="35">
        <f t="shared" si="15"/>
        <v>111740.80000000002</v>
      </c>
      <c r="H56" s="157">
        <f t="shared" si="16"/>
        <v>0.43</v>
      </c>
      <c r="I56" s="158">
        <f t="shared" si="6"/>
        <v>576.58252800000014</v>
      </c>
      <c r="J56" s="161">
        <f t="shared" si="0"/>
        <v>22.176251076923084</v>
      </c>
      <c r="K56" s="92" t="s">
        <v>352</v>
      </c>
      <c r="L56" s="274">
        <f t="shared" si="1"/>
        <v>10</v>
      </c>
      <c r="M56" s="43">
        <v>69</v>
      </c>
      <c r="N56" s="160">
        <f t="shared" si="7"/>
        <v>1.27</v>
      </c>
      <c r="O56" s="159">
        <f t="shared" si="8"/>
        <v>5.8615384615384603</v>
      </c>
      <c r="P56" s="275"/>
      <c r="Q56" s="158">
        <f t="shared" si="11"/>
        <v>0</v>
      </c>
      <c r="R56" s="159">
        <f t="shared" si="12"/>
        <v>0</v>
      </c>
      <c r="S56" s="97">
        <f t="shared" si="17"/>
        <v>28.037789538461546</v>
      </c>
      <c r="T56" s="40">
        <f t="shared" si="10"/>
        <v>728.98252800000023</v>
      </c>
    </row>
    <row r="57" spans="2:20" x14ac:dyDescent="0.25">
      <c r="B57" s="1">
        <f>+fulltime!B45</f>
        <v>676</v>
      </c>
      <c r="C57" s="156">
        <f>+fulltime!C45</f>
        <v>20.440000000000001</v>
      </c>
      <c r="D57" s="35">
        <f t="shared" si="2"/>
        <v>42515.200000000004</v>
      </c>
      <c r="E57" s="43">
        <f>+healthpension!F48</f>
        <v>26</v>
      </c>
      <c r="F57" s="35">
        <f t="shared" si="14"/>
        <v>127545.60000000001</v>
      </c>
      <c r="G57" s="35">
        <f t="shared" si="15"/>
        <v>77545.600000000006</v>
      </c>
      <c r="H57" s="157">
        <f t="shared" si="16"/>
        <v>0.06</v>
      </c>
      <c r="I57" s="158">
        <f t="shared" si="6"/>
        <v>55.832831999999996</v>
      </c>
      <c r="J57" s="161">
        <f t="shared" si="0"/>
        <v>2.147416615384615</v>
      </c>
      <c r="K57" s="92" t="s">
        <v>353</v>
      </c>
      <c r="L57" s="274">
        <f t="shared" si="1"/>
        <v>10</v>
      </c>
      <c r="M57" s="43">
        <v>28</v>
      </c>
      <c r="N57" s="160">
        <f t="shared" si="7"/>
        <v>0.06</v>
      </c>
      <c r="O57" s="159">
        <f t="shared" si="8"/>
        <v>0.27692307692307688</v>
      </c>
      <c r="P57" s="275"/>
      <c r="Q57" s="158">
        <f t="shared" si="11"/>
        <v>0</v>
      </c>
      <c r="R57" s="159">
        <f t="shared" si="12"/>
        <v>0</v>
      </c>
      <c r="S57" s="97">
        <f t="shared" si="17"/>
        <v>2.4243396923076919</v>
      </c>
      <c r="T57" s="40">
        <f t="shared" si="10"/>
        <v>63.032831999999985</v>
      </c>
    </row>
    <row r="58" spans="2:20" x14ac:dyDescent="0.25">
      <c r="B58" s="1">
        <f>+fulltime!B46</f>
        <v>424</v>
      </c>
      <c r="C58" s="156">
        <f>+fulltime!C46</f>
        <v>31.93</v>
      </c>
      <c r="D58" s="35">
        <f t="shared" si="2"/>
        <v>66414.399999999994</v>
      </c>
      <c r="E58" s="43">
        <f>+healthpension!F49</f>
        <v>52</v>
      </c>
      <c r="F58" s="35">
        <f t="shared" si="14"/>
        <v>199243.19999999998</v>
      </c>
      <c r="G58" s="35">
        <f t="shared" si="15"/>
        <v>149243.19999999998</v>
      </c>
      <c r="H58" s="157">
        <f t="shared" si="16"/>
        <v>0.23</v>
      </c>
      <c r="I58" s="158">
        <f t="shared" si="6"/>
        <v>411.91123199999998</v>
      </c>
      <c r="J58" s="161">
        <f t="shared" si="0"/>
        <v>15.842739692307692</v>
      </c>
      <c r="K58" s="92" t="s">
        <v>354</v>
      </c>
      <c r="L58" s="274">
        <f t="shared" si="1"/>
        <v>10</v>
      </c>
      <c r="M58" s="43">
        <v>52</v>
      </c>
      <c r="N58" s="160">
        <f t="shared" si="7"/>
        <v>0.23</v>
      </c>
      <c r="O58" s="159">
        <f t="shared" si="8"/>
        <v>1.0615384615384615</v>
      </c>
      <c r="P58" s="275">
        <v>1</v>
      </c>
      <c r="Q58" s="158">
        <f t="shared" si="11"/>
        <v>0.5</v>
      </c>
      <c r="R58" s="159">
        <f t="shared" si="12"/>
        <v>0.23076923076923078</v>
      </c>
      <c r="S58" s="97">
        <f t="shared" si="17"/>
        <v>17.135047384615383</v>
      </c>
      <c r="T58" s="40">
        <f t="shared" si="10"/>
        <v>445.51123199999995</v>
      </c>
    </row>
    <row r="59" spans="2:20" x14ac:dyDescent="0.25">
      <c r="B59" s="1">
        <f>+fulltime!B47</f>
        <v>664</v>
      </c>
      <c r="C59" s="156">
        <f>+fulltime!C47</f>
        <v>31.92</v>
      </c>
      <c r="D59" s="35">
        <f t="shared" si="2"/>
        <v>66393.600000000006</v>
      </c>
      <c r="E59" s="43">
        <f>+healthpension!F50</f>
        <v>48</v>
      </c>
      <c r="F59" s="35">
        <f t="shared" si="14"/>
        <v>199180.80000000002</v>
      </c>
      <c r="G59" s="35">
        <f t="shared" si="15"/>
        <v>149180.80000000002</v>
      </c>
      <c r="H59" s="157">
        <f t="shared" si="16"/>
        <v>0.15</v>
      </c>
      <c r="I59" s="158">
        <f t="shared" si="6"/>
        <v>268.52544</v>
      </c>
      <c r="J59" s="161">
        <f t="shared" si="0"/>
        <v>10.327901538461539</v>
      </c>
      <c r="K59" s="92" t="s">
        <v>333</v>
      </c>
      <c r="L59" s="274">
        <f t="shared" si="1"/>
        <v>10</v>
      </c>
      <c r="M59" s="43">
        <v>41</v>
      </c>
      <c r="N59" s="160">
        <f t="shared" si="7"/>
        <v>0.1</v>
      </c>
      <c r="O59" s="159">
        <f t="shared" si="8"/>
        <v>0.46153846153846156</v>
      </c>
      <c r="P59" s="275">
        <v>2</v>
      </c>
      <c r="Q59" s="158">
        <f t="shared" si="11"/>
        <v>1</v>
      </c>
      <c r="R59" s="159">
        <f t="shared" si="12"/>
        <v>0.46153846153846156</v>
      </c>
      <c r="S59" s="97">
        <f t="shared" si="17"/>
        <v>11.250978461538462</v>
      </c>
      <c r="T59" s="40">
        <f t="shared" si="10"/>
        <v>292.52544</v>
      </c>
    </row>
    <row r="60" spans="2:20" x14ac:dyDescent="0.25">
      <c r="B60" s="1">
        <f>+fulltime!B48</f>
        <v>478</v>
      </c>
      <c r="C60" s="156">
        <f>+fulltime!C48</f>
        <v>37.03</v>
      </c>
      <c r="D60" s="35">
        <f t="shared" si="2"/>
        <v>77022.400000000009</v>
      </c>
      <c r="E60" s="43">
        <f>+healthpension!F51</f>
        <v>44</v>
      </c>
      <c r="F60" s="35">
        <f t="shared" si="14"/>
        <v>231067.2</v>
      </c>
      <c r="G60" s="35">
        <f t="shared" si="15"/>
        <v>181067.2</v>
      </c>
      <c r="H60" s="157">
        <f t="shared" si="16"/>
        <v>0.1</v>
      </c>
      <c r="I60" s="158">
        <f t="shared" si="6"/>
        <v>217.28064000000003</v>
      </c>
      <c r="J60" s="161">
        <f t="shared" si="0"/>
        <v>8.3569476923076937</v>
      </c>
      <c r="K60" s="92" t="s">
        <v>355</v>
      </c>
      <c r="L60" s="274">
        <f t="shared" si="1"/>
        <v>10</v>
      </c>
      <c r="M60" s="43">
        <v>48</v>
      </c>
      <c r="N60" s="160">
        <f t="shared" si="7"/>
        <v>0.15</v>
      </c>
      <c r="O60" s="159">
        <f t="shared" si="8"/>
        <v>0.69230769230769229</v>
      </c>
      <c r="P60" s="275">
        <v>2</v>
      </c>
      <c r="Q60" s="158">
        <f t="shared" si="11"/>
        <v>1</v>
      </c>
      <c r="R60" s="159">
        <f t="shared" si="12"/>
        <v>0.46153846153846156</v>
      </c>
      <c r="S60" s="97">
        <f t="shared" si="17"/>
        <v>9.510793846153847</v>
      </c>
      <c r="T60" s="40">
        <f t="shared" si="10"/>
        <v>247.28064000000003</v>
      </c>
    </row>
    <row r="61" spans="2:20" x14ac:dyDescent="0.25">
      <c r="B61" s="1">
        <f>+fulltime!B49</f>
        <v>215</v>
      </c>
      <c r="C61" s="156">
        <f>+fulltime!C49</f>
        <v>26.95</v>
      </c>
      <c r="D61" s="35">
        <f t="shared" si="2"/>
        <v>56056</v>
      </c>
      <c r="E61" s="43">
        <f>+healthpension!F52</f>
        <v>22</v>
      </c>
      <c r="F61" s="35">
        <f t="shared" si="14"/>
        <v>168168</v>
      </c>
      <c r="G61" s="35">
        <f t="shared" si="15"/>
        <v>118168</v>
      </c>
      <c r="H61" s="157">
        <f t="shared" si="16"/>
        <v>0.05</v>
      </c>
      <c r="I61" s="158">
        <f t="shared" si="6"/>
        <v>70.900800000000004</v>
      </c>
      <c r="J61" s="161">
        <f t="shared" si="0"/>
        <v>2.7269538461538465</v>
      </c>
      <c r="K61" s="92"/>
      <c r="L61" s="274" t="str">
        <f t="shared" si="1"/>
        <v/>
      </c>
      <c r="M61" s="43"/>
      <c r="N61" s="160" t="str">
        <f t="shared" si="7"/>
        <v/>
      </c>
      <c r="O61" s="159">
        <f t="shared" si="8"/>
        <v>0</v>
      </c>
      <c r="P61" s="275"/>
      <c r="Q61" s="158">
        <f t="shared" si="11"/>
        <v>0</v>
      </c>
      <c r="R61" s="159">
        <f t="shared" si="12"/>
        <v>0</v>
      </c>
      <c r="S61" s="97">
        <f t="shared" si="17"/>
        <v>2.7269538461538465</v>
      </c>
      <c r="T61" s="40">
        <f t="shared" si="10"/>
        <v>70.900800000000004</v>
      </c>
    </row>
    <row r="62" spans="2:20" x14ac:dyDescent="0.25">
      <c r="B62" s="1">
        <f>+fulltime!B50</f>
        <v>616</v>
      </c>
      <c r="C62" s="156">
        <f>+fulltime!C50</f>
        <v>25.92</v>
      </c>
      <c r="D62" s="35">
        <f t="shared" si="2"/>
        <v>53913.600000000006</v>
      </c>
      <c r="E62" s="43">
        <f>+healthpension!F53</f>
        <v>41</v>
      </c>
      <c r="F62" s="35">
        <f t="shared" si="14"/>
        <v>161740.80000000002</v>
      </c>
      <c r="G62" s="35">
        <f t="shared" si="15"/>
        <v>111740.80000000002</v>
      </c>
      <c r="H62" s="157">
        <f t="shared" si="16"/>
        <v>0.1</v>
      </c>
      <c r="I62" s="158">
        <f t="shared" si="6"/>
        <v>134.08896000000004</v>
      </c>
      <c r="J62" s="161">
        <f t="shared" si="0"/>
        <v>5.1572676923076939</v>
      </c>
      <c r="K62" s="92"/>
      <c r="L62" s="274" t="str">
        <f t="shared" si="1"/>
        <v/>
      </c>
      <c r="M62" s="43"/>
      <c r="N62" s="160" t="str">
        <f t="shared" si="7"/>
        <v/>
      </c>
      <c r="O62" s="159">
        <f t="shared" si="8"/>
        <v>0</v>
      </c>
      <c r="P62" s="275">
        <v>2</v>
      </c>
      <c r="Q62" s="158">
        <f t="shared" si="11"/>
        <v>1</v>
      </c>
      <c r="R62" s="159">
        <f t="shared" si="12"/>
        <v>0.46153846153846156</v>
      </c>
      <c r="S62" s="97">
        <f t="shared" si="17"/>
        <v>5.6188061538461556</v>
      </c>
      <c r="T62" s="40">
        <f t="shared" si="10"/>
        <v>146.08896000000004</v>
      </c>
    </row>
    <row r="63" spans="2:20" x14ac:dyDescent="0.25">
      <c r="B63" s="1">
        <f>+fulltime!B51</f>
        <v>199</v>
      </c>
      <c r="C63" s="156">
        <f>+fulltime!C51</f>
        <v>49.91</v>
      </c>
      <c r="D63" s="35">
        <f t="shared" si="2"/>
        <v>103812.79999999999</v>
      </c>
      <c r="E63" s="43">
        <f>+healthpension!F54</f>
        <v>57</v>
      </c>
      <c r="F63" s="35">
        <f t="shared" si="14"/>
        <v>311438.39999999997</v>
      </c>
      <c r="G63" s="35">
        <f t="shared" si="15"/>
        <v>261438.39999999997</v>
      </c>
      <c r="H63" s="157">
        <f t="shared" si="16"/>
        <v>0.43</v>
      </c>
      <c r="I63" s="158">
        <f t="shared" si="6"/>
        <v>1349.0221439999998</v>
      </c>
      <c r="J63" s="161">
        <f t="shared" si="0"/>
        <v>51.885467076923071</v>
      </c>
      <c r="K63" s="92" t="s">
        <v>356</v>
      </c>
      <c r="L63" s="274">
        <f t="shared" si="1"/>
        <v>10</v>
      </c>
      <c r="M63" s="43">
        <v>58</v>
      </c>
      <c r="N63" s="160">
        <f t="shared" si="7"/>
        <v>0.43</v>
      </c>
      <c r="O63" s="159">
        <f t="shared" si="8"/>
        <v>1.9846153846153844</v>
      </c>
      <c r="P63" s="275"/>
      <c r="Q63" s="158">
        <f t="shared" si="11"/>
        <v>0</v>
      </c>
      <c r="R63" s="159">
        <f t="shared" si="12"/>
        <v>0</v>
      </c>
      <c r="S63" s="97">
        <f t="shared" si="17"/>
        <v>53.870082461538452</v>
      </c>
      <c r="T63" s="40">
        <f t="shared" si="10"/>
        <v>1400.6221439999997</v>
      </c>
    </row>
    <row r="64" spans="2:20" x14ac:dyDescent="0.25">
      <c r="B64" s="1">
        <f>+fulltime!B52</f>
        <v>344</v>
      </c>
      <c r="C64" s="156">
        <f>+fulltime!C52</f>
        <v>52.78</v>
      </c>
      <c r="D64" s="35">
        <f t="shared" si="2"/>
        <v>109782.40000000001</v>
      </c>
      <c r="E64" s="43">
        <f>+healthpension!F55</f>
        <v>57</v>
      </c>
      <c r="F64" s="35">
        <f t="shared" si="14"/>
        <v>329347.20000000001</v>
      </c>
      <c r="G64" s="35">
        <f t="shared" si="15"/>
        <v>279347.20000000001</v>
      </c>
      <c r="H64" s="157">
        <f t="shared" si="16"/>
        <v>0.43</v>
      </c>
      <c r="I64" s="158">
        <f t="shared" si="6"/>
        <v>1441.431552</v>
      </c>
      <c r="J64" s="161">
        <f t="shared" si="0"/>
        <v>55.439675076923081</v>
      </c>
      <c r="K64" s="92" t="s">
        <v>357</v>
      </c>
      <c r="L64" s="274">
        <f t="shared" si="1"/>
        <v>10</v>
      </c>
      <c r="M64" s="43">
        <v>54</v>
      </c>
      <c r="N64" s="160">
        <f t="shared" si="7"/>
        <v>0.23</v>
      </c>
      <c r="O64" s="159">
        <f t="shared" si="8"/>
        <v>1.0615384615384615</v>
      </c>
      <c r="P64" s="275">
        <v>1</v>
      </c>
      <c r="Q64" s="158">
        <f t="shared" si="11"/>
        <v>0.5</v>
      </c>
      <c r="R64" s="159">
        <f t="shared" si="12"/>
        <v>0.23076923076923078</v>
      </c>
      <c r="S64" s="97">
        <f t="shared" si="17"/>
        <v>56.731982769230775</v>
      </c>
      <c r="T64" s="40">
        <f t="shared" si="10"/>
        <v>1475.0315520000001</v>
      </c>
    </row>
    <row r="65" spans="2:20" x14ac:dyDescent="0.25">
      <c r="B65" s="1">
        <f>+fulltime!B53</f>
        <v>321</v>
      </c>
      <c r="C65" s="156">
        <f>+fulltime!C53</f>
        <v>27.89</v>
      </c>
      <c r="D65" s="35">
        <f t="shared" si="2"/>
        <v>58011.200000000004</v>
      </c>
      <c r="E65" s="43">
        <f>+healthpension!F56</f>
        <v>60</v>
      </c>
      <c r="F65" s="35">
        <f t="shared" si="14"/>
        <v>174033.6</v>
      </c>
      <c r="G65" s="35">
        <f t="shared" si="15"/>
        <v>124033.60000000001</v>
      </c>
      <c r="H65" s="157">
        <f t="shared" si="16"/>
        <v>0.66</v>
      </c>
      <c r="I65" s="158">
        <f t="shared" si="6"/>
        <v>982.34611200000006</v>
      </c>
      <c r="J65" s="161">
        <f t="shared" si="0"/>
        <v>37.782542769230773</v>
      </c>
      <c r="K65" s="92" t="s">
        <v>358</v>
      </c>
      <c r="L65" s="274">
        <f t="shared" si="1"/>
        <v>10</v>
      </c>
      <c r="M65" s="43">
        <v>60</v>
      </c>
      <c r="N65" s="160">
        <f t="shared" si="7"/>
        <v>0.66</v>
      </c>
      <c r="O65" s="159">
        <f t="shared" si="8"/>
        <v>3.0461538461538464</v>
      </c>
      <c r="P65" s="275"/>
      <c r="Q65" s="158">
        <f t="shared" si="11"/>
        <v>0</v>
      </c>
      <c r="R65" s="159">
        <f t="shared" si="12"/>
        <v>0</v>
      </c>
      <c r="S65" s="97">
        <f t="shared" si="17"/>
        <v>40.828696615384622</v>
      </c>
      <c r="T65" s="40">
        <f t="shared" si="10"/>
        <v>1061.5461120000002</v>
      </c>
    </row>
    <row r="66" spans="2:20" x14ac:dyDescent="0.25">
      <c r="B66" s="1">
        <f>+fulltime!B54</f>
        <v>213</v>
      </c>
      <c r="C66" s="156">
        <f>+fulltime!C54</f>
        <v>36.200000000000003</v>
      </c>
      <c r="D66" s="35">
        <f t="shared" si="2"/>
        <v>75296</v>
      </c>
      <c r="E66" s="43">
        <f>+healthpension!F57</f>
        <v>30</v>
      </c>
      <c r="F66" s="35">
        <f t="shared" si="14"/>
        <v>225888</v>
      </c>
      <c r="G66" s="35">
        <f t="shared" si="15"/>
        <v>175888</v>
      </c>
      <c r="H66" s="157">
        <f t="shared" si="16"/>
        <v>0.08</v>
      </c>
      <c r="I66" s="158">
        <f t="shared" si="6"/>
        <v>168.85248000000001</v>
      </c>
      <c r="J66" s="161">
        <f t="shared" si="0"/>
        <v>6.4943261538461545</v>
      </c>
      <c r="K66" s="92" t="s">
        <v>359</v>
      </c>
      <c r="L66" s="274">
        <f t="shared" si="1"/>
        <v>10</v>
      </c>
      <c r="M66" s="43">
        <v>30</v>
      </c>
      <c r="N66" s="160">
        <f t="shared" si="7"/>
        <v>0.08</v>
      </c>
      <c r="O66" s="159">
        <f t="shared" si="8"/>
        <v>0.36923076923076931</v>
      </c>
      <c r="P66" s="275">
        <v>2</v>
      </c>
      <c r="Q66" s="158">
        <f t="shared" si="11"/>
        <v>1</v>
      </c>
      <c r="R66" s="159">
        <f t="shared" si="12"/>
        <v>0.46153846153846156</v>
      </c>
      <c r="S66" s="97">
        <f t="shared" si="17"/>
        <v>7.3250953846153859</v>
      </c>
      <c r="T66" s="40">
        <f t="shared" si="10"/>
        <v>190.45248000000004</v>
      </c>
    </row>
    <row r="67" spans="2:20" x14ac:dyDescent="0.25">
      <c r="B67" s="1">
        <f>+fulltime!B55</f>
        <v>397</v>
      </c>
      <c r="C67" s="156">
        <f>+fulltime!C55</f>
        <v>32.659999999999997</v>
      </c>
      <c r="D67" s="35">
        <f t="shared" si="2"/>
        <v>67932.799999999988</v>
      </c>
      <c r="E67" s="43">
        <f>+healthpension!F58</f>
        <v>52</v>
      </c>
      <c r="F67" s="35">
        <f t="shared" si="14"/>
        <v>203798.39999999997</v>
      </c>
      <c r="G67" s="35">
        <f t="shared" si="15"/>
        <v>153798.39999999997</v>
      </c>
      <c r="H67" s="157">
        <f t="shared" si="16"/>
        <v>0.23</v>
      </c>
      <c r="I67" s="158">
        <f t="shared" si="6"/>
        <v>424.48358399999995</v>
      </c>
      <c r="J67" s="161">
        <f t="shared" si="0"/>
        <v>16.326291692307692</v>
      </c>
      <c r="K67" s="92" t="s">
        <v>347</v>
      </c>
      <c r="L67" s="274">
        <f t="shared" si="1"/>
        <v>10</v>
      </c>
      <c r="M67" s="43">
        <v>51</v>
      </c>
      <c r="N67" s="160">
        <f t="shared" si="7"/>
        <v>0.23</v>
      </c>
      <c r="O67" s="159">
        <f t="shared" si="8"/>
        <v>1.0615384615384615</v>
      </c>
      <c r="P67" s="275">
        <v>1</v>
      </c>
      <c r="Q67" s="158">
        <f t="shared" si="11"/>
        <v>0.5</v>
      </c>
      <c r="R67" s="159">
        <f t="shared" si="12"/>
        <v>0.23076923076923078</v>
      </c>
      <c r="S67" s="97">
        <f t="shared" si="17"/>
        <v>17.618599384615383</v>
      </c>
      <c r="T67" s="40">
        <f t="shared" si="10"/>
        <v>458.08358399999997</v>
      </c>
    </row>
    <row r="68" spans="2:20" x14ac:dyDescent="0.25">
      <c r="B68" s="1">
        <f>+fulltime!B56</f>
        <v>458</v>
      </c>
      <c r="C68" s="156">
        <f>+fulltime!C56</f>
        <v>58.08</v>
      </c>
      <c r="D68" s="35">
        <f t="shared" si="2"/>
        <v>120806.39999999999</v>
      </c>
      <c r="E68" s="43">
        <f>+healthpension!F59</f>
        <v>58</v>
      </c>
      <c r="F68" s="35">
        <f t="shared" si="14"/>
        <v>362419.19999999995</v>
      </c>
      <c r="G68" s="35">
        <f t="shared" si="15"/>
        <v>312419.19999999995</v>
      </c>
      <c r="H68" s="157">
        <f t="shared" si="16"/>
        <v>0.43</v>
      </c>
      <c r="I68" s="158">
        <f t="shared" si="6"/>
        <v>1612.0830719999999</v>
      </c>
      <c r="J68" s="161">
        <f t="shared" si="0"/>
        <v>62.00319507692307</v>
      </c>
      <c r="K68" s="92" t="s">
        <v>344</v>
      </c>
      <c r="L68" s="274">
        <f t="shared" si="1"/>
        <v>10</v>
      </c>
      <c r="M68" s="43">
        <v>61</v>
      </c>
      <c r="N68" s="160">
        <f t="shared" si="7"/>
        <v>0.66</v>
      </c>
      <c r="O68" s="159">
        <f t="shared" si="8"/>
        <v>3.0461538461538464</v>
      </c>
      <c r="P68" s="275">
        <v>0</v>
      </c>
      <c r="Q68" s="158">
        <f t="shared" si="11"/>
        <v>0</v>
      </c>
      <c r="R68" s="159">
        <f t="shared" si="12"/>
        <v>0</v>
      </c>
      <c r="S68" s="97">
        <f t="shared" si="17"/>
        <v>65.04934892307692</v>
      </c>
      <c r="T68" s="40">
        <f t="shared" si="10"/>
        <v>1691.2830719999999</v>
      </c>
    </row>
    <row r="69" spans="2:20" x14ac:dyDescent="0.25">
      <c r="B69" s="1">
        <f>+fulltime!B57</f>
        <v>382</v>
      </c>
      <c r="C69" s="156">
        <f>+fulltime!C57</f>
        <v>37.31</v>
      </c>
      <c r="D69" s="35">
        <f t="shared" si="2"/>
        <v>77604.800000000003</v>
      </c>
      <c r="E69" s="43">
        <f>+healthpension!F60</f>
        <v>49</v>
      </c>
      <c r="F69" s="35">
        <f t="shared" si="14"/>
        <v>232814.40000000002</v>
      </c>
      <c r="G69" s="35">
        <f t="shared" si="15"/>
        <v>182814.40000000002</v>
      </c>
      <c r="H69" s="157">
        <f t="shared" si="16"/>
        <v>0.15</v>
      </c>
      <c r="I69" s="158">
        <f t="shared" si="6"/>
        <v>329.06592000000006</v>
      </c>
      <c r="J69" s="161">
        <f t="shared" si="0"/>
        <v>12.656381538461542</v>
      </c>
      <c r="K69" s="92" t="s">
        <v>360</v>
      </c>
      <c r="L69" s="274">
        <f t="shared" si="1"/>
        <v>10</v>
      </c>
      <c r="M69" s="43">
        <v>44</v>
      </c>
      <c r="N69" s="160">
        <f t="shared" si="7"/>
        <v>0.1</v>
      </c>
      <c r="O69" s="159">
        <f t="shared" si="8"/>
        <v>0.46153846153846156</v>
      </c>
      <c r="P69" s="275">
        <v>3</v>
      </c>
      <c r="Q69" s="158">
        <f t="shared" si="11"/>
        <v>1.5</v>
      </c>
      <c r="R69" s="159">
        <f t="shared" si="12"/>
        <v>0.69230769230769229</v>
      </c>
      <c r="S69" s="97">
        <f t="shared" si="17"/>
        <v>13.810227692307695</v>
      </c>
      <c r="T69" s="40">
        <f t="shared" si="10"/>
        <v>359.06592000000006</v>
      </c>
    </row>
    <row r="70" spans="2:20" x14ac:dyDescent="0.25">
      <c r="B70" s="1">
        <f>+fulltime!B58</f>
        <v>431</v>
      </c>
      <c r="C70" s="156">
        <f>+fulltime!C58</f>
        <v>31.93</v>
      </c>
      <c r="D70" s="35">
        <f t="shared" si="2"/>
        <v>66414.399999999994</v>
      </c>
      <c r="E70" s="43">
        <f>+healthpension!F61</f>
        <v>51</v>
      </c>
      <c r="F70" s="35">
        <f t="shared" si="14"/>
        <v>199243.19999999998</v>
      </c>
      <c r="G70" s="35">
        <f t="shared" si="15"/>
        <v>149243.19999999998</v>
      </c>
      <c r="H70" s="157">
        <f t="shared" si="16"/>
        <v>0.23</v>
      </c>
      <c r="I70" s="158">
        <f t="shared" si="6"/>
        <v>411.91123199999998</v>
      </c>
      <c r="J70" s="161">
        <f t="shared" si="0"/>
        <v>15.842739692307692</v>
      </c>
      <c r="K70" s="92" t="s">
        <v>361</v>
      </c>
      <c r="L70" s="274">
        <f t="shared" si="1"/>
        <v>10</v>
      </c>
      <c r="M70" s="43">
        <v>61</v>
      </c>
      <c r="N70" s="160">
        <f t="shared" si="7"/>
        <v>0.66</v>
      </c>
      <c r="O70" s="159">
        <f t="shared" si="8"/>
        <v>3.0461538461538464</v>
      </c>
      <c r="P70" s="275">
        <v>2</v>
      </c>
      <c r="Q70" s="158">
        <f t="shared" si="11"/>
        <v>1</v>
      </c>
      <c r="R70" s="159">
        <f t="shared" si="12"/>
        <v>0.46153846153846156</v>
      </c>
      <c r="S70" s="97">
        <f t="shared" si="17"/>
        <v>19.350431999999998</v>
      </c>
      <c r="T70" s="40">
        <f t="shared" si="10"/>
        <v>503.11123199999997</v>
      </c>
    </row>
    <row r="71" spans="2:20" x14ac:dyDescent="0.25">
      <c r="B71" s="1">
        <f>+fulltime!B59</f>
        <v>655</v>
      </c>
      <c r="C71" s="156">
        <f>+fulltime!C59</f>
        <v>26.95</v>
      </c>
      <c r="D71" s="35">
        <f t="shared" si="2"/>
        <v>56056</v>
      </c>
      <c r="E71" s="43">
        <f>+healthpension!F62</f>
        <v>26</v>
      </c>
      <c r="F71" s="35">
        <f t="shared" si="14"/>
        <v>168168</v>
      </c>
      <c r="G71" s="35">
        <f t="shared" si="15"/>
        <v>118168</v>
      </c>
      <c r="H71" s="157">
        <f t="shared" si="16"/>
        <v>0.06</v>
      </c>
      <c r="I71" s="158">
        <f t="shared" si="6"/>
        <v>85.080960000000005</v>
      </c>
      <c r="J71" s="161">
        <f t="shared" si="0"/>
        <v>3.2723446153846156</v>
      </c>
      <c r="K71" s="92" t="s">
        <v>362</v>
      </c>
      <c r="L71" s="274">
        <f t="shared" si="1"/>
        <v>10</v>
      </c>
      <c r="M71" s="43">
        <v>26</v>
      </c>
      <c r="N71" s="160">
        <f t="shared" si="7"/>
        <v>0.06</v>
      </c>
      <c r="O71" s="159">
        <f t="shared" si="8"/>
        <v>0.27692307692307688</v>
      </c>
      <c r="P71" s="275"/>
      <c r="Q71" s="158">
        <f t="shared" si="11"/>
        <v>0</v>
      </c>
      <c r="R71" s="159">
        <f t="shared" si="12"/>
        <v>0</v>
      </c>
      <c r="S71" s="97">
        <f t="shared" si="17"/>
        <v>3.5492676923076925</v>
      </c>
      <c r="T71" s="40">
        <f t="shared" si="10"/>
        <v>92.280960000000007</v>
      </c>
    </row>
    <row r="72" spans="2:20" x14ac:dyDescent="0.25">
      <c r="B72" s="1">
        <f>+fulltime!B60</f>
        <v>541</v>
      </c>
      <c r="C72" s="156">
        <f>+fulltime!C60</f>
        <v>32.659999999999997</v>
      </c>
      <c r="D72" s="35">
        <f t="shared" si="2"/>
        <v>67932.799999999988</v>
      </c>
      <c r="E72" s="43">
        <f>+healthpension!F63</f>
        <v>33</v>
      </c>
      <c r="F72" s="35">
        <f t="shared" si="14"/>
        <v>203798.39999999997</v>
      </c>
      <c r="G72" s="35">
        <f t="shared" si="15"/>
        <v>153798.39999999997</v>
      </c>
      <c r="H72" s="157">
        <f t="shared" si="16"/>
        <v>0.08</v>
      </c>
      <c r="I72" s="158">
        <f t="shared" si="6"/>
        <v>147.64646399999995</v>
      </c>
      <c r="J72" s="161">
        <f t="shared" si="0"/>
        <v>5.6787101538461524</v>
      </c>
      <c r="K72" s="92"/>
      <c r="L72" s="274" t="str">
        <f t="shared" si="1"/>
        <v/>
      </c>
      <c r="M72" s="43"/>
      <c r="N72" s="160" t="str">
        <f t="shared" si="7"/>
        <v/>
      </c>
      <c r="O72" s="159">
        <f t="shared" si="8"/>
        <v>0</v>
      </c>
      <c r="P72" s="275"/>
      <c r="Q72" s="158">
        <f t="shared" si="11"/>
        <v>0</v>
      </c>
      <c r="R72" s="159">
        <f t="shared" si="12"/>
        <v>0</v>
      </c>
      <c r="S72" s="97">
        <f t="shared" si="17"/>
        <v>5.6787101538461524</v>
      </c>
      <c r="T72" s="40">
        <f t="shared" si="10"/>
        <v>147.64646399999995</v>
      </c>
    </row>
    <row r="73" spans="2:20" x14ac:dyDescent="0.25">
      <c r="B73" s="1">
        <f>+fulltime!B61</f>
        <v>672</v>
      </c>
      <c r="C73" s="156">
        <f>+fulltime!C61</f>
        <v>27.9</v>
      </c>
      <c r="D73" s="35">
        <f t="shared" si="2"/>
        <v>58032</v>
      </c>
      <c r="E73" s="43">
        <f>+healthpension!F64</f>
        <v>28</v>
      </c>
      <c r="F73" s="35">
        <f t="shared" si="14"/>
        <v>174096</v>
      </c>
      <c r="G73" s="35">
        <f t="shared" si="15"/>
        <v>124096</v>
      </c>
      <c r="H73" s="157">
        <f t="shared" si="16"/>
        <v>0.06</v>
      </c>
      <c r="I73" s="158">
        <f t="shared" si="6"/>
        <v>89.349119999999999</v>
      </c>
      <c r="J73" s="161">
        <f t="shared" si="0"/>
        <v>3.4365046153846155</v>
      </c>
      <c r="K73" s="92" t="s">
        <v>363</v>
      </c>
      <c r="L73" s="274">
        <f t="shared" si="1"/>
        <v>10</v>
      </c>
      <c r="M73" s="43">
        <v>29</v>
      </c>
      <c r="N73" s="160">
        <f t="shared" si="7"/>
        <v>0.06</v>
      </c>
      <c r="O73" s="159">
        <f t="shared" si="8"/>
        <v>0.27692307692307688</v>
      </c>
      <c r="P73" s="275">
        <v>1</v>
      </c>
      <c r="Q73" s="158">
        <f t="shared" si="11"/>
        <v>0.5</v>
      </c>
      <c r="R73" s="159">
        <f t="shared" si="12"/>
        <v>0.23076923076923078</v>
      </c>
      <c r="S73" s="97">
        <f t="shared" si="17"/>
        <v>3.9441969230769232</v>
      </c>
      <c r="T73" s="40">
        <f t="shared" si="10"/>
        <v>102.54912</v>
      </c>
    </row>
    <row r="74" spans="2:20" x14ac:dyDescent="0.25">
      <c r="B74" s="1">
        <f>+fulltime!B62</f>
        <v>189</v>
      </c>
      <c r="C74" s="156">
        <f>+fulltime!C62</f>
        <v>39.33</v>
      </c>
      <c r="D74" s="35">
        <f t="shared" si="2"/>
        <v>81806.399999999994</v>
      </c>
      <c r="E74" s="43">
        <f>+healthpension!F65</f>
        <v>58</v>
      </c>
      <c r="F74" s="35">
        <f t="shared" si="14"/>
        <v>245419.19999999998</v>
      </c>
      <c r="G74" s="35">
        <f t="shared" si="15"/>
        <v>195419.19999999998</v>
      </c>
      <c r="H74" s="157">
        <f t="shared" si="16"/>
        <v>0.43</v>
      </c>
      <c r="I74" s="158">
        <f t="shared" si="6"/>
        <v>1008.3630719999999</v>
      </c>
      <c r="J74" s="161">
        <f t="shared" si="0"/>
        <v>38.783195076923072</v>
      </c>
      <c r="K74" s="92" t="s">
        <v>364</v>
      </c>
      <c r="L74" s="274">
        <f t="shared" si="1"/>
        <v>10</v>
      </c>
      <c r="M74" s="43">
        <v>59</v>
      </c>
      <c r="N74" s="160">
        <f t="shared" si="7"/>
        <v>0.43</v>
      </c>
      <c r="O74" s="159">
        <f t="shared" si="8"/>
        <v>1.9846153846153844</v>
      </c>
      <c r="P74" s="275"/>
      <c r="Q74" s="158">
        <f t="shared" si="11"/>
        <v>0</v>
      </c>
      <c r="R74" s="159">
        <f t="shared" si="12"/>
        <v>0</v>
      </c>
      <c r="S74" s="97">
        <f t="shared" si="17"/>
        <v>40.767810461538453</v>
      </c>
      <c r="T74" s="40">
        <f t="shared" si="10"/>
        <v>1059.9630719999998</v>
      </c>
    </row>
    <row r="75" spans="2:20" x14ac:dyDescent="0.25">
      <c r="B75" s="1">
        <f>+fulltime!B63</f>
        <v>207</v>
      </c>
      <c r="C75" s="156">
        <f>+fulltime!C63</f>
        <v>51.27</v>
      </c>
      <c r="D75" s="35">
        <f t="shared" si="2"/>
        <v>106641.60000000001</v>
      </c>
      <c r="E75" s="43">
        <f>+healthpension!F66</f>
        <v>59</v>
      </c>
      <c r="F75" s="35">
        <f t="shared" si="14"/>
        <v>319924.80000000005</v>
      </c>
      <c r="G75" s="35">
        <f t="shared" si="15"/>
        <v>269924.80000000005</v>
      </c>
      <c r="H75" s="157">
        <f t="shared" si="16"/>
        <v>0.43</v>
      </c>
      <c r="I75" s="158">
        <f t="shared" si="6"/>
        <v>1392.8119680000002</v>
      </c>
      <c r="J75" s="161">
        <f t="shared" si="0"/>
        <v>53.569691076923085</v>
      </c>
      <c r="K75" s="92" t="s">
        <v>365</v>
      </c>
      <c r="L75" s="274">
        <f t="shared" si="1"/>
        <v>10</v>
      </c>
      <c r="M75" s="43">
        <v>58</v>
      </c>
      <c r="N75" s="160">
        <f t="shared" si="7"/>
        <v>0.43</v>
      </c>
      <c r="O75" s="159">
        <f t="shared" si="8"/>
        <v>1.9846153846153844</v>
      </c>
      <c r="P75" s="275"/>
      <c r="Q75" s="158">
        <f t="shared" si="11"/>
        <v>0</v>
      </c>
      <c r="R75" s="159">
        <f t="shared" si="12"/>
        <v>0</v>
      </c>
      <c r="S75" s="97">
        <f t="shared" si="17"/>
        <v>55.554306461538467</v>
      </c>
      <c r="T75" s="40">
        <f t="shared" si="10"/>
        <v>1444.4119680000001</v>
      </c>
    </row>
    <row r="76" spans="2:20" x14ac:dyDescent="0.25">
      <c r="B76" s="1">
        <f>+fulltime!B64</f>
        <v>449</v>
      </c>
      <c r="C76" s="156">
        <f>+fulltime!C64</f>
        <v>32.57</v>
      </c>
      <c r="D76" s="35">
        <f t="shared" si="2"/>
        <v>67745.600000000006</v>
      </c>
      <c r="E76" s="43">
        <f>+healthpension!F67</f>
        <v>50</v>
      </c>
      <c r="F76" s="35">
        <f t="shared" si="14"/>
        <v>203236.80000000002</v>
      </c>
      <c r="G76" s="35">
        <f t="shared" si="15"/>
        <v>153236.80000000002</v>
      </c>
      <c r="H76" s="157">
        <f t="shared" si="16"/>
        <v>0.23</v>
      </c>
      <c r="I76" s="158">
        <f t="shared" si="6"/>
        <v>422.93356800000009</v>
      </c>
      <c r="J76" s="161">
        <f t="shared" si="0"/>
        <v>16.266675692307697</v>
      </c>
      <c r="K76" s="92" t="s">
        <v>366</v>
      </c>
      <c r="L76" s="274">
        <f t="shared" si="1"/>
        <v>10</v>
      </c>
      <c r="M76" s="43">
        <v>42</v>
      </c>
      <c r="N76" s="160">
        <f t="shared" si="7"/>
        <v>0.1</v>
      </c>
      <c r="O76" s="159">
        <f t="shared" si="8"/>
        <v>0.46153846153846156</v>
      </c>
      <c r="P76" s="275">
        <v>2</v>
      </c>
      <c r="Q76" s="158">
        <f t="shared" si="11"/>
        <v>1</v>
      </c>
      <c r="R76" s="159">
        <f t="shared" si="12"/>
        <v>0.46153846153846156</v>
      </c>
      <c r="S76" s="97">
        <f t="shared" si="17"/>
        <v>17.189752615384617</v>
      </c>
      <c r="T76" s="40">
        <f t="shared" si="10"/>
        <v>446.93356800000004</v>
      </c>
    </row>
    <row r="77" spans="2:20" x14ac:dyDescent="0.25">
      <c r="B77" s="1">
        <f>+fulltime!B65</f>
        <v>658</v>
      </c>
      <c r="C77" s="156">
        <f>+fulltime!C65</f>
        <v>34.32</v>
      </c>
      <c r="D77" s="35">
        <f t="shared" si="2"/>
        <v>71385.600000000006</v>
      </c>
      <c r="E77" s="43">
        <f>+healthpension!F68</f>
        <v>29</v>
      </c>
      <c r="F77" s="35">
        <f t="shared" si="14"/>
        <v>214156.80000000002</v>
      </c>
      <c r="G77" s="35">
        <f t="shared" si="15"/>
        <v>164156.80000000002</v>
      </c>
      <c r="H77" s="157">
        <f t="shared" si="16"/>
        <v>0.06</v>
      </c>
      <c r="I77" s="158">
        <f t="shared" si="6"/>
        <v>118.192896</v>
      </c>
      <c r="J77" s="161">
        <f t="shared" si="0"/>
        <v>4.5458806153846156</v>
      </c>
      <c r="K77" s="92"/>
      <c r="L77" s="274" t="str">
        <f t="shared" si="1"/>
        <v/>
      </c>
      <c r="M77" s="43"/>
      <c r="N77" s="160" t="str">
        <f t="shared" si="7"/>
        <v/>
      </c>
      <c r="O77" s="159">
        <f t="shared" si="8"/>
        <v>0</v>
      </c>
      <c r="P77" s="275"/>
      <c r="Q77" s="158">
        <f t="shared" si="11"/>
        <v>0</v>
      </c>
      <c r="R77" s="159">
        <f t="shared" si="12"/>
        <v>0</v>
      </c>
      <c r="S77" s="97">
        <f t="shared" si="17"/>
        <v>4.5458806153846156</v>
      </c>
      <c r="T77" s="40">
        <f t="shared" si="10"/>
        <v>118.192896</v>
      </c>
    </row>
    <row r="78" spans="2:20" x14ac:dyDescent="0.25">
      <c r="B78" s="1">
        <f>+fulltime!B66</f>
        <v>651</v>
      </c>
      <c r="C78" s="156">
        <f>+fulltime!C66</f>
        <v>23.36</v>
      </c>
      <c r="D78" s="35">
        <f t="shared" si="2"/>
        <v>48588.799999999996</v>
      </c>
      <c r="E78" s="43">
        <f>+healthpension!F69</f>
        <v>36</v>
      </c>
      <c r="F78" s="35">
        <f t="shared" si="14"/>
        <v>145766.39999999999</v>
      </c>
      <c r="G78" s="35">
        <f t="shared" si="15"/>
        <v>95766.399999999994</v>
      </c>
      <c r="H78" s="157">
        <f t="shared" si="16"/>
        <v>0.09</v>
      </c>
      <c r="I78" s="158">
        <f t="shared" si="6"/>
        <v>103.42771199999999</v>
      </c>
      <c r="J78" s="161">
        <f t="shared" si="0"/>
        <v>3.9779889230769223</v>
      </c>
      <c r="K78" s="92" t="s">
        <v>367</v>
      </c>
      <c r="L78" s="274">
        <f t="shared" si="1"/>
        <v>10</v>
      </c>
      <c r="M78" s="43">
        <v>33</v>
      </c>
      <c r="N78" s="160">
        <f t="shared" si="7"/>
        <v>0.08</v>
      </c>
      <c r="O78" s="159">
        <f t="shared" si="8"/>
        <v>0.36923076923076931</v>
      </c>
      <c r="P78" s="275">
        <v>2</v>
      </c>
      <c r="Q78" s="158">
        <f t="shared" si="11"/>
        <v>1</v>
      </c>
      <c r="R78" s="159">
        <f t="shared" si="12"/>
        <v>0.46153846153846156</v>
      </c>
      <c r="S78" s="97">
        <f t="shared" si="17"/>
        <v>4.8087581538461537</v>
      </c>
      <c r="T78" s="40">
        <f t="shared" si="10"/>
        <v>125.02771199999999</v>
      </c>
    </row>
    <row r="79" spans="2:20" x14ac:dyDescent="0.25">
      <c r="B79" s="1">
        <f>+fulltime!B67</f>
        <v>581</v>
      </c>
      <c r="C79" s="156">
        <f>+fulltime!C67</f>
        <v>33.1</v>
      </c>
      <c r="D79" s="35">
        <f t="shared" ref="D79:D142" si="18">C79*2080</f>
        <v>68848</v>
      </c>
      <c r="E79" s="43">
        <f>+healthpension!F70</f>
        <v>39</v>
      </c>
      <c r="F79" s="35">
        <f t="shared" ref="F79:F117" si="19">D79*3</f>
        <v>206544</v>
      </c>
      <c r="G79" s="35">
        <f t="shared" ref="G79:G110" si="20">F79-50000</f>
        <v>156544</v>
      </c>
      <c r="H79" s="157">
        <f t="shared" ref="H79:H110" si="21">VLOOKUP(E79,A$3:B$13,2)</f>
        <v>0.09</v>
      </c>
      <c r="I79" s="158">
        <f t="shared" ref="I79:I142" si="22">G79/1000*H79*12</f>
        <v>169.06752</v>
      </c>
      <c r="J79" s="161">
        <f t="shared" ref="J79:J142" si="23">I79/26</f>
        <v>6.5025969230769229</v>
      </c>
      <c r="K79" s="92" t="s">
        <v>368</v>
      </c>
      <c r="L79" s="274">
        <f t="shared" ref="L79:L142" si="24">+IF(K79&lt;&gt;0,10,"")</f>
        <v>10</v>
      </c>
      <c r="M79" s="43">
        <v>39</v>
      </c>
      <c r="N79" s="160">
        <f t="shared" si="7"/>
        <v>0.09</v>
      </c>
      <c r="O79" s="159">
        <f t="shared" si="8"/>
        <v>0.41538461538461535</v>
      </c>
      <c r="P79" s="275">
        <v>2</v>
      </c>
      <c r="Q79" s="158">
        <f t="shared" si="11"/>
        <v>1</v>
      </c>
      <c r="R79" s="159">
        <f t="shared" si="12"/>
        <v>0.46153846153846156</v>
      </c>
      <c r="S79" s="97">
        <f t="shared" ref="S79:S110" si="25">O79+J79+R79</f>
        <v>7.3795200000000003</v>
      </c>
      <c r="T79" s="40">
        <f t="shared" si="10"/>
        <v>191.86752000000001</v>
      </c>
    </row>
    <row r="80" spans="2:20" x14ac:dyDescent="0.25">
      <c r="B80" s="1">
        <f>+fulltime!B68</f>
        <v>536</v>
      </c>
      <c r="C80" s="156">
        <f>+fulltime!C68</f>
        <v>32.24</v>
      </c>
      <c r="D80" s="35">
        <f t="shared" si="18"/>
        <v>67059.199999999997</v>
      </c>
      <c r="E80" s="43">
        <f>+healthpension!F71</f>
        <v>36</v>
      </c>
      <c r="F80" s="35">
        <f t="shared" si="19"/>
        <v>201177.59999999998</v>
      </c>
      <c r="G80" s="35">
        <f t="shared" si="20"/>
        <v>151177.59999999998</v>
      </c>
      <c r="H80" s="157">
        <f t="shared" si="21"/>
        <v>0.09</v>
      </c>
      <c r="I80" s="158">
        <f t="shared" si="22"/>
        <v>163.27180799999996</v>
      </c>
      <c r="J80" s="161">
        <f t="shared" si="23"/>
        <v>6.2796849230769221</v>
      </c>
      <c r="K80" s="92" t="s">
        <v>369</v>
      </c>
      <c r="L80" s="274">
        <f t="shared" si="24"/>
        <v>10</v>
      </c>
      <c r="M80" s="43">
        <v>33</v>
      </c>
      <c r="N80" s="160">
        <f t="shared" ref="N80:N143" si="26">IF(M80&gt;0,VLOOKUP(M80,A$3:B$13,2),"")</f>
        <v>0.08</v>
      </c>
      <c r="O80" s="159">
        <f t="shared" ref="O80:O143" si="27">IF(M80&gt;0,((N80*L80)*12)/26,0)</f>
        <v>0.36923076923076931</v>
      </c>
      <c r="P80" s="275">
        <v>7</v>
      </c>
      <c r="Q80" s="158">
        <f t="shared" si="11"/>
        <v>3.5</v>
      </c>
      <c r="R80" s="159">
        <f t="shared" si="12"/>
        <v>1.6153846153846154</v>
      </c>
      <c r="S80" s="97">
        <f t="shared" si="25"/>
        <v>8.2643003076923076</v>
      </c>
      <c r="T80" s="40">
        <f t="shared" ref="T80:T143" si="28">S80*26</f>
        <v>214.87180799999999</v>
      </c>
    </row>
    <row r="81" spans="2:20" x14ac:dyDescent="0.25">
      <c r="B81" s="1">
        <f>+fulltime!B69</f>
        <v>282</v>
      </c>
      <c r="C81" s="156">
        <f>+fulltime!C69</f>
        <v>50.57</v>
      </c>
      <c r="D81" s="35">
        <f t="shared" si="18"/>
        <v>105185.60000000001</v>
      </c>
      <c r="E81" s="43">
        <f>+healthpension!F72</f>
        <v>55</v>
      </c>
      <c r="F81" s="35">
        <f t="shared" si="19"/>
        <v>315556.80000000005</v>
      </c>
      <c r="G81" s="35">
        <f t="shared" si="20"/>
        <v>265556.80000000005</v>
      </c>
      <c r="H81" s="157">
        <f t="shared" si="21"/>
        <v>0.43</v>
      </c>
      <c r="I81" s="158">
        <f t="shared" si="22"/>
        <v>1370.2730880000004</v>
      </c>
      <c r="J81" s="161">
        <f t="shared" si="23"/>
        <v>52.702811076923091</v>
      </c>
      <c r="K81" s="92" t="s">
        <v>370</v>
      </c>
      <c r="L81" s="274">
        <f t="shared" si="24"/>
        <v>10</v>
      </c>
      <c r="M81" s="43">
        <v>55</v>
      </c>
      <c r="N81" s="160">
        <f t="shared" si="26"/>
        <v>0.43</v>
      </c>
      <c r="O81" s="159">
        <f t="shared" si="27"/>
        <v>1.9846153846153844</v>
      </c>
      <c r="P81" s="275"/>
      <c r="Q81" s="158">
        <f t="shared" si="11"/>
        <v>0</v>
      </c>
      <c r="R81" s="159">
        <f t="shared" si="12"/>
        <v>0</v>
      </c>
      <c r="S81" s="97">
        <f t="shared" si="25"/>
        <v>54.687426461538472</v>
      </c>
      <c r="T81" s="40">
        <f t="shared" si="28"/>
        <v>1421.8730880000003</v>
      </c>
    </row>
    <row r="82" spans="2:20" x14ac:dyDescent="0.25">
      <c r="B82" s="1">
        <f>+fulltime!B70</f>
        <v>289</v>
      </c>
      <c r="C82" s="156">
        <f>+fulltime!C70</f>
        <v>29.92</v>
      </c>
      <c r="D82" s="35">
        <f t="shared" si="18"/>
        <v>62233.600000000006</v>
      </c>
      <c r="E82" s="43">
        <f>+healthpension!F73</f>
        <v>55</v>
      </c>
      <c r="F82" s="35">
        <f t="shared" si="19"/>
        <v>186700.80000000002</v>
      </c>
      <c r="G82" s="35">
        <f t="shared" si="20"/>
        <v>136700.80000000002</v>
      </c>
      <c r="H82" s="157">
        <f t="shared" si="21"/>
        <v>0.43</v>
      </c>
      <c r="I82" s="158">
        <f t="shared" si="22"/>
        <v>705.37612800000011</v>
      </c>
      <c r="J82" s="161">
        <f t="shared" si="23"/>
        <v>27.129851076923082</v>
      </c>
      <c r="K82" s="92" t="s">
        <v>371</v>
      </c>
      <c r="L82" s="274">
        <f t="shared" si="24"/>
        <v>10</v>
      </c>
      <c r="M82" s="43">
        <v>53</v>
      </c>
      <c r="N82" s="160">
        <f t="shared" si="26"/>
        <v>0.23</v>
      </c>
      <c r="O82" s="159">
        <f t="shared" si="27"/>
        <v>1.0615384615384615</v>
      </c>
      <c r="P82" s="275"/>
      <c r="Q82" s="158">
        <f t="shared" ref="Q82:Q93" si="29">(((P82*10000)/1000))*0.05</f>
        <v>0</v>
      </c>
      <c r="R82" s="159">
        <f t="shared" ref="R82:R145" si="30">(Q82*12)/26</f>
        <v>0</v>
      </c>
      <c r="S82" s="97">
        <f t="shared" si="25"/>
        <v>28.191389538461543</v>
      </c>
      <c r="T82" s="40">
        <f t="shared" si="28"/>
        <v>732.97612800000013</v>
      </c>
    </row>
    <row r="83" spans="2:20" x14ac:dyDescent="0.25">
      <c r="B83" s="1">
        <f>+fulltime!B71</f>
        <v>479</v>
      </c>
      <c r="C83" s="156">
        <f>+fulltime!C71</f>
        <v>57.5</v>
      </c>
      <c r="D83" s="35">
        <f t="shared" si="18"/>
        <v>119600</v>
      </c>
      <c r="E83" s="43">
        <f>+healthpension!F74</f>
        <v>54</v>
      </c>
      <c r="F83" s="35">
        <f t="shared" si="19"/>
        <v>358800</v>
      </c>
      <c r="G83" s="35">
        <f t="shared" si="20"/>
        <v>308800</v>
      </c>
      <c r="H83" s="157">
        <f t="shared" si="21"/>
        <v>0.23</v>
      </c>
      <c r="I83" s="158">
        <f t="shared" si="22"/>
        <v>852.28800000000001</v>
      </c>
      <c r="J83" s="161">
        <f t="shared" si="23"/>
        <v>32.780307692307694</v>
      </c>
      <c r="K83" s="92" t="s">
        <v>372</v>
      </c>
      <c r="L83" s="274">
        <f t="shared" si="24"/>
        <v>10</v>
      </c>
      <c r="M83" s="43">
        <v>54</v>
      </c>
      <c r="N83" s="160">
        <f t="shared" si="26"/>
        <v>0.23</v>
      </c>
      <c r="O83" s="159">
        <f t="shared" si="27"/>
        <v>1.0615384615384615</v>
      </c>
      <c r="P83" s="275">
        <v>1</v>
      </c>
      <c r="Q83" s="158">
        <f t="shared" si="29"/>
        <v>0.5</v>
      </c>
      <c r="R83" s="159">
        <f t="shared" si="30"/>
        <v>0.23076923076923078</v>
      </c>
      <c r="S83" s="97">
        <f t="shared" si="25"/>
        <v>34.072615384615389</v>
      </c>
      <c r="T83" s="40">
        <f t="shared" si="28"/>
        <v>885.88800000000015</v>
      </c>
    </row>
    <row r="84" spans="2:20" x14ac:dyDescent="0.25">
      <c r="B84" s="1">
        <f>+fulltime!B72</f>
        <v>670</v>
      </c>
      <c r="C84" s="156">
        <f>+fulltime!C72</f>
        <v>32.01</v>
      </c>
      <c r="D84" s="35">
        <f t="shared" si="18"/>
        <v>66580.800000000003</v>
      </c>
      <c r="E84" s="43">
        <f>+healthpension!F75</f>
        <v>38</v>
      </c>
      <c r="F84" s="35">
        <f t="shared" si="19"/>
        <v>199742.40000000002</v>
      </c>
      <c r="G84" s="35">
        <f t="shared" si="20"/>
        <v>149742.40000000002</v>
      </c>
      <c r="H84" s="157">
        <f t="shared" si="21"/>
        <v>0.09</v>
      </c>
      <c r="I84" s="158">
        <f t="shared" si="22"/>
        <v>161.72179200000005</v>
      </c>
      <c r="J84" s="161">
        <f t="shared" si="23"/>
        <v>6.2200689230769246</v>
      </c>
      <c r="K84" s="92"/>
      <c r="L84" s="274" t="str">
        <f t="shared" si="24"/>
        <v/>
      </c>
      <c r="M84" s="43"/>
      <c r="N84" s="160" t="str">
        <f t="shared" si="26"/>
        <v/>
      </c>
      <c r="O84" s="159">
        <f t="shared" si="27"/>
        <v>0</v>
      </c>
      <c r="P84" s="275">
        <v>2</v>
      </c>
      <c r="Q84" s="158">
        <f t="shared" si="29"/>
        <v>1</v>
      </c>
      <c r="R84" s="159">
        <f t="shared" si="30"/>
        <v>0.46153846153846156</v>
      </c>
      <c r="S84" s="97">
        <f t="shared" si="25"/>
        <v>6.6816073846153863</v>
      </c>
      <c r="T84" s="40">
        <f t="shared" si="28"/>
        <v>173.72179200000005</v>
      </c>
    </row>
    <row r="85" spans="2:20" x14ac:dyDescent="0.25">
      <c r="B85" s="1">
        <f>+fulltime!B73</f>
        <v>202</v>
      </c>
      <c r="C85" s="156">
        <f>+fulltime!C73</f>
        <v>21.07</v>
      </c>
      <c r="D85" s="35">
        <f t="shared" si="18"/>
        <v>43825.599999999999</v>
      </c>
      <c r="E85" s="43">
        <f>+healthpension!F76</f>
        <v>50</v>
      </c>
      <c r="F85" s="35">
        <f t="shared" si="19"/>
        <v>131476.79999999999</v>
      </c>
      <c r="G85" s="35">
        <f t="shared" si="20"/>
        <v>81476.799999999988</v>
      </c>
      <c r="H85" s="157">
        <f t="shared" si="21"/>
        <v>0.23</v>
      </c>
      <c r="I85" s="158">
        <f t="shared" si="22"/>
        <v>224.87596799999997</v>
      </c>
      <c r="J85" s="161">
        <f t="shared" si="23"/>
        <v>8.6490756923076919</v>
      </c>
      <c r="K85" s="92" t="s">
        <v>373</v>
      </c>
      <c r="L85" s="274">
        <f t="shared" si="24"/>
        <v>10</v>
      </c>
      <c r="M85" s="43">
        <v>52</v>
      </c>
      <c r="N85" s="160">
        <f t="shared" si="26"/>
        <v>0.23</v>
      </c>
      <c r="O85" s="159">
        <f t="shared" si="27"/>
        <v>1.0615384615384615</v>
      </c>
      <c r="P85" s="275">
        <v>1</v>
      </c>
      <c r="Q85" s="158">
        <f t="shared" si="29"/>
        <v>0.5</v>
      </c>
      <c r="R85" s="159">
        <f t="shared" si="30"/>
        <v>0.23076923076923078</v>
      </c>
      <c r="S85" s="97">
        <f t="shared" si="25"/>
        <v>9.9413833846153832</v>
      </c>
      <c r="T85" s="40">
        <f t="shared" si="28"/>
        <v>258.47596799999997</v>
      </c>
    </row>
    <row r="86" spans="2:20" x14ac:dyDescent="0.25">
      <c r="B86" s="1">
        <f>+fulltime!B74</f>
        <v>323</v>
      </c>
      <c r="C86" s="156">
        <f>+fulltime!C74</f>
        <v>25.92</v>
      </c>
      <c r="D86" s="35">
        <f t="shared" si="18"/>
        <v>53913.600000000006</v>
      </c>
      <c r="E86" s="43">
        <f>+healthpension!F77</f>
        <v>63</v>
      </c>
      <c r="F86" s="35">
        <f t="shared" si="19"/>
        <v>161740.80000000002</v>
      </c>
      <c r="G86" s="35">
        <f t="shared" si="20"/>
        <v>111740.80000000002</v>
      </c>
      <c r="H86" s="157">
        <f t="shared" si="21"/>
        <v>0.66</v>
      </c>
      <c r="I86" s="158">
        <f t="shared" si="22"/>
        <v>884.98713600000019</v>
      </c>
      <c r="J86" s="161">
        <f t="shared" si="23"/>
        <v>34.037966769230778</v>
      </c>
      <c r="K86" s="92" t="s">
        <v>374</v>
      </c>
      <c r="L86" s="274">
        <f t="shared" si="24"/>
        <v>10</v>
      </c>
      <c r="M86" s="43">
        <v>65</v>
      </c>
      <c r="N86" s="160">
        <f t="shared" si="26"/>
        <v>1.27</v>
      </c>
      <c r="O86" s="159">
        <f t="shared" si="27"/>
        <v>5.8615384615384603</v>
      </c>
      <c r="P86" s="275"/>
      <c r="Q86" s="158">
        <f t="shared" si="29"/>
        <v>0</v>
      </c>
      <c r="R86" s="159">
        <f t="shared" si="30"/>
        <v>0</v>
      </c>
      <c r="S86" s="97">
        <f t="shared" si="25"/>
        <v>39.899505230769236</v>
      </c>
      <c r="T86" s="40">
        <f t="shared" si="28"/>
        <v>1037.3871360000001</v>
      </c>
    </row>
    <row r="87" spans="2:20" x14ac:dyDescent="0.25">
      <c r="B87" s="1">
        <f>+fulltime!B75</f>
        <v>339</v>
      </c>
      <c r="C87" s="156">
        <f>+fulltime!C75</f>
        <v>28.23</v>
      </c>
      <c r="D87" s="35">
        <f t="shared" si="18"/>
        <v>58718.400000000001</v>
      </c>
      <c r="E87" s="43">
        <f>+healthpension!F78</f>
        <v>54</v>
      </c>
      <c r="F87" s="35">
        <f t="shared" si="19"/>
        <v>176155.2</v>
      </c>
      <c r="G87" s="35">
        <f t="shared" si="20"/>
        <v>126155.20000000001</v>
      </c>
      <c r="H87" s="157">
        <f t="shared" si="21"/>
        <v>0.23</v>
      </c>
      <c r="I87" s="158">
        <f t="shared" si="22"/>
        <v>348.18835200000001</v>
      </c>
      <c r="J87" s="161">
        <f t="shared" si="23"/>
        <v>13.391859692307692</v>
      </c>
      <c r="K87" s="92" t="s">
        <v>347</v>
      </c>
      <c r="L87" s="274">
        <f t="shared" si="24"/>
        <v>10</v>
      </c>
      <c r="M87" s="43">
        <v>50</v>
      </c>
      <c r="N87" s="160">
        <f t="shared" si="26"/>
        <v>0.23</v>
      </c>
      <c r="O87" s="159">
        <f t="shared" si="27"/>
        <v>1.0615384615384615</v>
      </c>
      <c r="P87" s="275"/>
      <c r="Q87" s="158">
        <f t="shared" si="29"/>
        <v>0</v>
      </c>
      <c r="R87" s="159">
        <f t="shared" si="30"/>
        <v>0</v>
      </c>
      <c r="S87" s="97">
        <f t="shared" si="25"/>
        <v>14.453398153846154</v>
      </c>
      <c r="T87" s="40">
        <f t="shared" si="28"/>
        <v>375.78835199999997</v>
      </c>
    </row>
    <row r="88" spans="2:20" x14ac:dyDescent="0.25">
      <c r="B88" s="1">
        <f>+fulltime!B76</f>
        <v>414</v>
      </c>
      <c r="C88" s="156">
        <f>+fulltime!C76</f>
        <v>26.79</v>
      </c>
      <c r="D88" s="35">
        <f t="shared" si="18"/>
        <v>55723.199999999997</v>
      </c>
      <c r="E88" s="43">
        <f>+healthpension!F79</f>
        <v>50</v>
      </c>
      <c r="F88" s="35">
        <f t="shared" si="19"/>
        <v>167169.59999999998</v>
      </c>
      <c r="G88" s="35">
        <f t="shared" si="20"/>
        <v>117169.59999999998</v>
      </c>
      <c r="H88" s="157">
        <f t="shared" si="21"/>
        <v>0.23</v>
      </c>
      <c r="I88" s="158">
        <f t="shared" si="22"/>
        <v>323.38809599999996</v>
      </c>
      <c r="J88" s="161">
        <f t="shared" si="23"/>
        <v>12.43800369230769</v>
      </c>
      <c r="K88" s="92" t="s">
        <v>375</v>
      </c>
      <c r="L88" s="274">
        <f t="shared" si="24"/>
        <v>10</v>
      </c>
      <c r="M88" s="43">
        <v>54</v>
      </c>
      <c r="N88" s="160">
        <f t="shared" si="26"/>
        <v>0.23</v>
      </c>
      <c r="O88" s="159">
        <f t="shared" si="27"/>
        <v>1.0615384615384615</v>
      </c>
      <c r="P88" s="275">
        <v>1</v>
      </c>
      <c r="Q88" s="158">
        <f t="shared" si="29"/>
        <v>0.5</v>
      </c>
      <c r="R88" s="159">
        <f t="shared" si="30"/>
        <v>0.23076923076923078</v>
      </c>
      <c r="S88" s="97">
        <f t="shared" si="25"/>
        <v>13.730311384615382</v>
      </c>
      <c r="T88" s="40">
        <f t="shared" si="28"/>
        <v>356.98809599999993</v>
      </c>
    </row>
    <row r="89" spans="2:20" x14ac:dyDescent="0.25">
      <c r="B89" s="1">
        <f>+fulltime!B77</f>
        <v>370</v>
      </c>
      <c r="C89" s="156">
        <f>+fulltime!C77</f>
        <v>25.92</v>
      </c>
      <c r="D89" s="35">
        <f t="shared" si="18"/>
        <v>53913.600000000006</v>
      </c>
      <c r="E89" s="43">
        <f>+healthpension!F80</f>
        <v>50</v>
      </c>
      <c r="F89" s="35">
        <f t="shared" si="19"/>
        <v>161740.80000000002</v>
      </c>
      <c r="G89" s="35">
        <f t="shared" si="20"/>
        <v>111740.80000000002</v>
      </c>
      <c r="H89" s="157">
        <f t="shared" si="21"/>
        <v>0.23</v>
      </c>
      <c r="I89" s="158">
        <f t="shared" si="22"/>
        <v>308.40460800000005</v>
      </c>
      <c r="J89" s="161">
        <f t="shared" si="23"/>
        <v>11.861715692307694</v>
      </c>
      <c r="K89" s="92" t="s">
        <v>376</v>
      </c>
      <c r="L89" s="274">
        <f t="shared" si="24"/>
        <v>10</v>
      </c>
      <c r="M89" s="43">
        <v>51</v>
      </c>
      <c r="N89" s="160">
        <f t="shared" si="26"/>
        <v>0.23</v>
      </c>
      <c r="O89" s="159">
        <f t="shared" si="27"/>
        <v>1.0615384615384615</v>
      </c>
      <c r="P89" s="275">
        <v>2</v>
      </c>
      <c r="Q89" s="158">
        <f t="shared" si="29"/>
        <v>1</v>
      </c>
      <c r="R89" s="159"/>
      <c r="S89" s="97">
        <f t="shared" si="25"/>
        <v>12.923254153846155</v>
      </c>
      <c r="T89" s="40">
        <f t="shared" si="28"/>
        <v>336.00460800000002</v>
      </c>
    </row>
    <row r="90" spans="2:20" x14ac:dyDescent="0.25">
      <c r="B90" s="1">
        <f>+fulltime!B78</f>
        <v>653</v>
      </c>
      <c r="C90" s="156">
        <f>+fulltime!C78</f>
        <v>20.8</v>
      </c>
      <c r="D90" s="35">
        <f t="shared" si="18"/>
        <v>43264</v>
      </c>
      <c r="E90" s="43">
        <f>+healthpension!F81</f>
        <v>54</v>
      </c>
      <c r="F90" s="35">
        <f t="shared" si="19"/>
        <v>129792</v>
      </c>
      <c r="G90" s="35">
        <f t="shared" si="20"/>
        <v>79792</v>
      </c>
      <c r="H90" s="157">
        <f t="shared" si="21"/>
        <v>0.23</v>
      </c>
      <c r="I90" s="158">
        <f t="shared" si="22"/>
        <v>220.22592000000003</v>
      </c>
      <c r="J90" s="161">
        <f t="shared" si="23"/>
        <v>8.4702276923076933</v>
      </c>
      <c r="K90" s="92" t="s">
        <v>377</v>
      </c>
      <c r="L90" s="274">
        <f t="shared" si="24"/>
        <v>10</v>
      </c>
      <c r="M90" s="43">
        <v>56</v>
      </c>
      <c r="N90" s="160">
        <f t="shared" si="26"/>
        <v>0.43</v>
      </c>
      <c r="O90" s="159">
        <f t="shared" si="27"/>
        <v>1.9846153846153844</v>
      </c>
      <c r="P90" s="275">
        <v>3</v>
      </c>
      <c r="Q90" s="158">
        <f t="shared" si="29"/>
        <v>1.5</v>
      </c>
      <c r="R90" s="159">
        <f t="shared" si="30"/>
        <v>0.69230769230769229</v>
      </c>
      <c r="S90" s="97">
        <f t="shared" si="25"/>
        <v>11.14715076923077</v>
      </c>
      <c r="T90" s="40">
        <f t="shared" si="28"/>
        <v>289.82592</v>
      </c>
    </row>
    <row r="91" spans="2:20" x14ac:dyDescent="0.25">
      <c r="B91" s="1">
        <f>+fulltime!B79</f>
        <v>644</v>
      </c>
      <c r="C91" s="156">
        <f>+fulltime!C79</f>
        <v>31.7</v>
      </c>
      <c r="D91" s="35">
        <f t="shared" si="18"/>
        <v>65936</v>
      </c>
      <c r="E91" s="43">
        <f>+healthpension!F82</f>
        <v>56</v>
      </c>
      <c r="F91" s="35">
        <f t="shared" si="19"/>
        <v>197808</v>
      </c>
      <c r="G91" s="35">
        <f t="shared" si="20"/>
        <v>147808</v>
      </c>
      <c r="H91" s="157">
        <f t="shared" si="21"/>
        <v>0.43</v>
      </c>
      <c r="I91" s="158">
        <f t="shared" si="22"/>
        <v>762.68927999999994</v>
      </c>
      <c r="J91" s="161">
        <f t="shared" si="23"/>
        <v>29.334203076923075</v>
      </c>
      <c r="K91" s="92" t="s">
        <v>378</v>
      </c>
      <c r="L91" s="274">
        <f t="shared" si="24"/>
        <v>10</v>
      </c>
      <c r="M91" s="43">
        <v>54</v>
      </c>
      <c r="N91" s="160">
        <f t="shared" si="26"/>
        <v>0.23</v>
      </c>
      <c r="O91" s="159">
        <f t="shared" si="27"/>
        <v>1.0615384615384615</v>
      </c>
      <c r="P91" s="275">
        <v>1</v>
      </c>
      <c r="Q91" s="158">
        <f t="shared" si="29"/>
        <v>0.5</v>
      </c>
      <c r="R91" s="159">
        <f t="shared" si="30"/>
        <v>0.23076923076923078</v>
      </c>
      <c r="S91" s="97">
        <f t="shared" si="25"/>
        <v>30.626510769230766</v>
      </c>
      <c r="T91" s="40">
        <f t="shared" si="28"/>
        <v>796.28927999999996</v>
      </c>
    </row>
    <row r="92" spans="2:20" x14ac:dyDescent="0.25">
      <c r="B92" s="1">
        <f>+fulltime!B80</f>
        <v>371</v>
      </c>
      <c r="C92" s="156">
        <f>+fulltime!C80</f>
        <v>33.61</v>
      </c>
      <c r="D92" s="35">
        <f t="shared" si="18"/>
        <v>69908.800000000003</v>
      </c>
      <c r="E92" s="43">
        <f>+healthpension!F83</f>
        <v>61</v>
      </c>
      <c r="F92" s="35">
        <f t="shared" si="19"/>
        <v>209726.40000000002</v>
      </c>
      <c r="G92" s="35">
        <f t="shared" si="20"/>
        <v>159726.40000000002</v>
      </c>
      <c r="H92" s="157">
        <f t="shared" si="21"/>
        <v>0.66</v>
      </c>
      <c r="I92" s="158">
        <f t="shared" si="22"/>
        <v>1265.0330880000001</v>
      </c>
      <c r="J92" s="161">
        <f t="shared" si="23"/>
        <v>48.655118769230775</v>
      </c>
      <c r="K92" s="92" t="s">
        <v>379</v>
      </c>
      <c r="L92" s="274">
        <f t="shared" si="24"/>
        <v>10</v>
      </c>
      <c r="M92" s="43">
        <v>61</v>
      </c>
      <c r="N92" s="160">
        <f t="shared" si="26"/>
        <v>0.66</v>
      </c>
      <c r="O92" s="159">
        <f t="shared" si="27"/>
        <v>3.0461538461538464</v>
      </c>
      <c r="P92" s="275"/>
      <c r="Q92" s="158">
        <f t="shared" si="29"/>
        <v>0</v>
      </c>
      <c r="R92" s="159">
        <f t="shared" si="30"/>
        <v>0</v>
      </c>
      <c r="S92" s="97">
        <f t="shared" si="25"/>
        <v>51.701272615384624</v>
      </c>
      <c r="T92" s="40">
        <f t="shared" si="28"/>
        <v>1344.2330880000002</v>
      </c>
    </row>
    <row r="93" spans="2:20" x14ac:dyDescent="0.25">
      <c r="B93" s="1">
        <f>+fulltime!B81</f>
        <v>675</v>
      </c>
      <c r="C93" s="156">
        <f>+fulltime!C81</f>
        <v>18.77</v>
      </c>
      <c r="D93" s="35">
        <f t="shared" si="18"/>
        <v>39041.599999999999</v>
      </c>
      <c r="E93" s="43">
        <f>+healthpension!F84</f>
        <v>27</v>
      </c>
      <c r="F93" s="35">
        <f t="shared" si="19"/>
        <v>117124.79999999999</v>
      </c>
      <c r="G93" s="35">
        <f t="shared" si="20"/>
        <v>67124.799999999988</v>
      </c>
      <c r="H93" s="157">
        <f t="shared" si="21"/>
        <v>0.06</v>
      </c>
      <c r="I93" s="158">
        <f t="shared" si="22"/>
        <v>48.329855999999992</v>
      </c>
      <c r="J93" s="161">
        <f t="shared" si="23"/>
        <v>1.8588406153846151</v>
      </c>
      <c r="K93" s="92"/>
      <c r="L93" s="274" t="str">
        <f t="shared" si="24"/>
        <v/>
      </c>
      <c r="M93" s="43"/>
      <c r="N93" s="160" t="str">
        <f t="shared" si="26"/>
        <v/>
      </c>
      <c r="O93" s="159">
        <f t="shared" si="27"/>
        <v>0</v>
      </c>
      <c r="P93" s="275"/>
      <c r="Q93" s="158">
        <f t="shared" si="29"/>
        <v>0</v>
      </c>
      <c r="R93" s="159">
        <f t="shared" si="30"/>
        <v>0</v>
      </c>
      <c r="S93" s="97">
        <f t="shared" si="25"/>
        <v>1.8588406153846151</v>
      </c>
      <c r="T93" s="40">
        <f t="shared" si="28"/>
        <v>48.329855999999992</v>
      </c>
    </row>
    <row r="94" spans="2:20" x14ac:dyDescent="0.25">
      <c r="B94" s="1">
        <f>+fulltime!B82</f>
        <v>667</v>
      </c>
      <c r="C94" s="156">
        <f>+fulltime!C82</f>
        <v>27.19</v>
      </c>
      <c r="D94" s="35">
        <f t="shared" si="18"/>
        <v>56555.200000000004</v>
      </c>
      <c r="E94" s="43">
        <f>+healthpension!F85</f>
        <v>41</v>
      </c>
      <c r="F94" s="35">
        <f t="shared" si="19"/>
        <v>169665.6</v>
      </c>
      <c r="G94" s="35">
        <f t="shared" si="20"/>
        <v>119665.60000000001</v>
      </c>
      <c r="H94" s="157">
        <f t="shared" si="21"/>
        <v>0.1</v>
      </c>
      <c r="I94" s="158">
        <f t="shared" si="22"/>
        <v>143.59872000000001</v>
      </c>
      <c r="J94" s="161">
        <f t="shared" si="23"/>
        <v>5.5230276923076929</v>
      </c>
      <c r="K94" s="92"/>
      <c r="L94" s="274" t="str">
        <f t="shared" si="24"/>
        <v/>
      </c>
      <c r="M94" s="43"/>
      <c r="N94" s="160" t="str">
        <f t="shared" si="26"/>
        <v/>
      </c>
      <c r="O94" s="159">
        <f t="shared" si="27"/>
        <v>0</v>
      </c>
      <c r="P94" s="275">
        <v>1</v>
      </c>
      <c r="Q94" s="158">
        <f t="shared" ref="Q94:Q145" si="31">(((P94*10000)/1000))*0.05</f>
        <v>0.5</v>
      </c>
      <c r="R94" s="159">
        <f t="shared" si="30"/>
        <v>0.23076923076923078</v>
      </c>
      <c r="S94" s="97">
        <f t="shared" si="25"/>
        <v>5.7537969230769237</v>
      </c>
      <c r="T94" s="40">
        <f t="shared" si="28"/>
        <v>149.59872000000001</v>
      </c>
    </row>
    <row r="95" spans="2:20" x14ac:dyDescent="0.25">
      <c r="B95" s="1">
        <f>+fulltime!B83</f>
        <v>668</v>
      </c>
      <c r="C95" s="156">
        <f>+fulltime!C83</f>
        <v>21.01</v>
      </c>
      <c r="D95" s="35">
        <f t="shared" si="18"/>
        <v>43700.800000000003</v>
      </c>
      <c r="E95" s="43">
        <f>+healthpension!F86</f>
        <v>23</v>
      </c>
      <c r="F95" s="35">
        <f t="shared" si="19"/>
        <v>131102.40000000002</v>
      </c>
      <c r="G95" s="35">
        <f t="shared" si="20"/>
        <v>81102.400000000023</v>
      </c>
      <c r="H95" s="157">
        <f t="shared" si="21"/>
        <v>0.05</v>
      </c>
      <c r="I95" s="158">
        <f t="shared" si="22"/>
        <v>48.661440000000013</v>
      </c>
      <c r="J95" s="161">
        <f t="shared" si="23"/>
        <v>1.8715938461538466</v>
      </c>
      <c r="K95" s="92"/>
      <c r="L95" s="274" t="str">
        <f t="shared" si="24"/>
        <v/>
      </c>
      <c r="M95" s="43"/>
      <c r="N95" s="160" t="str">
        <f t="shared" si="26"/>
        <v/>
      </c>
      <c r="O95" s="159">
        <f t="shared" si="27"/>
        <v>0</v>
      </c>
      <c r="P95" s="275"/>
      <c r="Q95" s="158">
        <f t="shared" si="31"/>
        <v>0</v>
      </c>
      <c r="R95" s="159">
        <f t="shared" si="30"/>
        <v>0</v>
      </c>
      <c r="S95" s="97">
        <f t="shared" si="25"/>
        <v>1.8715938461538466</v>
      </c>
      <c r="T95" s="40">
        <f t="shared" si="28"/>
        <v>48.661440000000013</v>
      </c>
    </row>
    <row r="96" spans="2:20" x14ac:dyDescent="0.25">
      <c r="B96" s="1">
        <f>+fulltime!B84</f>
        <v>434</v>
      </c>
      <c r="C96" s="156">
        <f>+fulltime!C84</f>
        <v>27.65</v>
      </c>
      <c r="D96" s="35">
        <f t="shared" si="18"/>
        <v>57512</v>
      </c>
      <c r="E96" s="43">
        <f>+healthpension!F87</f>
        <v>56</v>
      </c>
      <c r="F96" s="35">
        <f t="shared" si="19"/>
        <v>172536</v>
      </c>
      <c r="G96" s="35">
        <f t="shared" si="20"/>
        <v>122536</v>
      </c>
      <c r="H96" s="157">
        <f t="shared" si="21"/>
        <v>0.43</v>
      </c>
      <c r="I96" s="158">
        <f t="shared" si="22"/>
        <v>632.28575999999998</v>
      </c>
      <c r="J96" s="161">
        <f t="shared" si="23"/>
        <v>24.318683076923076</v>
      </c>
      <c r="K96" s="92" t="s">
        <v>380</v>
      </c>
      <c r="L96" s="274">
        <f t="shared" si="24"/>
        <v>10</v>
      </c>
      <c r="M96" s="43">
        <v>56</v>
      </c>
      <c r="N96" s="160">
        <f t="shared" si="26"/>
        <v>0.43</v>
      </c>
      <c r="O96" s="159">
        <f t="shared" si="27"/>
        <v>1.9846153846153844</v>
      </c>
      <c r="P96" s="275"/>
      <c r="Q96" s="158">
        <f t="shared" si="31"/>
        <v>0</v>
      </c>
      <c r="R96" s="159">
        <f t="shared" si="30"/>
        <v>0</v>
      </c>
      <c r="S96" s="97">
        <f t="shared" si="25"/>
        <v>26.303298461538461</v>
      </c>
      <c r="T96" s="40">
        <f t="shared" si="28"/>
        <v>683.88576</v>
      </c>
    </row>
    <row r="97" spans="2:20" x14ac:dyDescent="0.25">
      <c r="B97" s="1">
        <f>+fulltime!B85</f>
        <v>638</v>
      </c>
      <c r="C97" s="156">
        <f>+fulltime!C85</f>
        <v>32.340000000000003</v>
      </c>
      <c r="D97" s="35">
        <f t="shared" si="18"/>
        <v>67267.200000000012</v>
      </c>
      <c r="E97" s="43">
        <f>+healthpension!F88</f>
        <v>33</v>
      </c>
      <c r="F97" s="35">
        <f t="shared" si="19"/>
        <v>201801.60000000003</v>
      </c>
      <c r="G97" s="35">
        <f t="shared" si="20"/>
        <v>151801.60000000003</v>
      </c>
      <c r="H97" s="157">
        <f t="shared" si="21"/>
        <v>0.08</v>
      </c>
      <c r="I97" s="158">
        <f t="shared" si="22"/>
        <v>145.72953600000005</v>
      </c>
      <c r="J97" s="161">
        <f t="shared" si="23"/>
        <v>5.6049821538461559</v>
      </c>
      <c r="K97" s="92" t="s">
        <v>381</v>
      </c>
      <c r="L97" s="274">
        <f t="shared" si="24"/>
        <v>10</v>
      </c>
      <c r="M97" s="43">
        <v>33</v>
      </c>
      <c r="N97" s="160">
        <f t="shared" si="26"/>
        <v>0.08</v>
      </c>
      <c r="O97" s="159">
        <f t="shared" si="27"/>
        <v>0.36923076923076931</v>
      </c>
      <c r="P97" s="275">
        <v>1</v>
      </c>
      <c r="Q97" s="158">
        <f t="shared" si="31"/>
        <v>0.5</v>
      </c>
      <c r="R97" s="159">
        <f t="shared" si="30"/>
        <v>0.23076923076923078</v>
      </c>
      <c r="S97" s="97">
        <f t="shared" si="25"/>
        <v>6.2049821538461565</v>
      </c>
      <c r="T97" s="40">
        <f t="shared" si="28"/>
        <v>161.32953600000008</v>
      </c>
    </row>
    <row r="98" spans="2:20" x14ac:dyDescent="0.25">
      <c r="B98" s="1">
        <f>+fulltime!B86</f>
        <v>476</v>
      </c>
      <c r="C98" s="156">
        <f>+fulltime!C86</f>
        <v>31.93</v>
      </c>
      <c r="D98" s="35">
        <f t="shared" si="18"/>
        <v>66414.399999999994</v>
      </c>
      <c r="E98" s="43">
        <f>+healthpension!F89</f>
        <v>45</v>
      </c>
      <c r="F98" s="35">
        <f t="shared" si="19"/>
        <v>199243.19999999998</v>
      </c>
      <c r="G98" s="35">
        <f t="shared" si="20"/>
        <v>149243.19999999998</v>
      </c>
      <c r="H98" s="157">
        <f t="shared" si="21"/>
        <v>0.15</v>
      </c>
      <c r="I98" s="158">
        <f t="shared" si="22"/>
        <v>268.63775999999996</v>
      </c>
      <c r="J98" s="161">
        <f t="shared" si="23"/>
        <v>10.332221538461537</v>
      </c>
      <c r="K98" s="92" t="s">
        <v>382</v>
      </c>
      <c r="L98" s="274">
        <f t="shared" si="24"/>
        <v>10</v>
      </c>
      <c r="M98" s="43">
        <v>43</v>
      </c>
      <c r="N98" s="160">
        <f t="shared" si="26"/>
        <v>0.1</v>
      </c>
      <c r="O98" s="159">
        <f t="shared" si="27"/>
        <v>0.46153846153846156</v>
      </c>
      <c r="P98" s="275">
        <v>3</v>
      </c>
      <c r="Q98" s="158">
        <f t="shared" si="31"/>
        <v>1.5</v>
      </c>
      <c r="R98" s="159">
        <f t="shared" si="30"/>
        <v>0.69230769230769229</v>
      </c>
      <c r="S98" s="97">
        <f t="shared" si="25"/>
        <v>11.486067692307691</v>
      </c>
      <c r="T98" s="40">
        <f t="shared" si="28"/>
        <v>298.63775999999996</v>
      </c>
    </row>
    <row r="99" spans="2:20" x14ac:dyDescent="0.25">
      <c r="B99" s="1">
        <f>+fulltime!B87</f>
        <v>160</v>
      </c>
      <c r="C99" s="156">
        <f>+fulltime!C87</f>
        <v>37.130000000000003</v>
      </c>
      <c r="D99" s="35">
        <f t="shared" si="18"/>
        <v>77230.400000000009</v>
      </c>
      <c r="E99" s="43">
        <f>+healthpension!F90</f>
        <v>58</v>
      </c>
      <c r="F99" s="35">
        <f t="shared" si="19"/>
        <v>231691.2</v>
      </c>
      <c r="G99" s="35">
        <f t="shared" si="20"/>
        <v>181691.2</v>
      </c>
      <c r="H99" s="157">
        <f t="shared" si="21"/>
        <v>0.43</v>
      </c>
      <c r="I99" s="158">
        <f t="shared" si="22"/>
        <v>937.52659200000005</v>
      </c>
      <c r="J99" s="161">
        <f t="shared" si="23"/>
        <v>36.058715076923079</v>
      </c>
      <c r="K99" s="163"/>
      <c r="L99" s="274" t="str">
        <f t="shared" si="24"/>
        <v/>
      </c>
      <c r="M99" s="43"/>
      <c r="N99" s="160" t="str">
        <f t="shared" si="26"/>
        <v/>
      </c>
      <c r="O99" s="159">
        <f t="shared" si="27"/>
        <v>0</v>
      </c>
      <c r="P99" s="276">
        <v>1</v>
      </c>
      <c r="Q99" s="158">
        <f t="shared" si="31"/>
        <v>0.5</v>
      </c>
      <c r="R99" s="159">
        <f t="shared" si="30"/>
        <v>0.23076923076923078</v>
      </c>
      <c r="S99" s="97">
        <f t="shared" si="25"/>
        <v>36.289484307692312</v>
      </c>
      <c r="T99" s="40">
        <f t="shared" si="28"/>
        <v>943.52659200000016</v>
      </c>
    </row>
    <row r="100" spans="2:20" x14ac:dyDescent="0.25">
      <c r="B100" s="1">
        <f>+fulltime!B88</f>
        <v>539</v>
      </c>
      <c r="C100" s="156">
        <f>+fulltime!C88</f>
        <v>33.369999999999997</v>
      </c>
      <c r="D100" s="35">
        <f t="shared" si="18"/>
        <v>69409.599999999991</v>
      </c>
      <c r="E100" s="43">
        <f>+healthpension!F91</f>
        <v>59</v>
      </c>
      <c r="F100" s="35">
        <f t="shared" si="19"/>
        <v>208228.8</v>
      </c>
      <c r="G100" s="35">
        <f t="shared" si="20"/>
        <v>158228.79999999999</v>
      </c>
      <c r="H100" s="157">
        <f t="shared" si="21"/>
        <v>0.43</v>
      </c>
      <c r="I100" s="158">
        <f t="shared" si="22"/>
        <v>816.46060799999987</v>
      </c>
      <c r="J100" s="161">
        <f t="shared" si="23"/>
        <v>31.402331076923073</v>
      </c>
      <c r="K100" s="92" t="s">
        <v>383</v>
      </c>
      <c r="L100" s="274">
        <f t="shared" si="24"/>
        <v>10</v>
      </c>
      <c r="M100" s="43">
        <v>61</v>
      </c>
      <c r="N100" s="160">
        <f t="shared" si="26"/>
        <v>0.66</v>
      </c>
      <c r="O100" s="159">
        <f t="shared" si="27"/>
        <v>3.0461538461538464</v>
      </c>
      <c r="P100" s="275">
        <v>1</v>
      </c>
      <c r="Q100" s="158">
        <f t="shared" si="31"/>
        <v>0.5</v>
      </c>
      <c r="R100" s="159">
        <f t="shared" si="30"/>
        <v>0.23076923076923078</v>
      </c>
      <c r="S100" s="97">
        <f t="shared" si="25"/>
        <v>34.679254153846152</v>
      </c>
      <c r="T100" s="40">
        <f t="shared" si="28"/>
        <v>901.66060799999991</v>
      </c>
    </row>
    <row r="101" spans="2:20" x14ac:dyDescent="0.25">
      <c r="B101" s="1">
        <f>+fulltime!B89</f>
        <v>646</v>
      </c>
      <c r="C101" s="156">
        <f>+fulltime!C89</f>
        <v>25.26</v>
      </c>
      <c r="D101" s="35">
        <f t="shared" si="18"/>
        <v>52540.800000000003</v>
      </c>
      <c r="E101" s="43">
        <f>+healthpension!F92</f>
        <v>37</v>
      </c>
      <c r="F101" s="35">
        <f t="shared" si="19"/>
        <v>157622.40000000002</v>
      </c>
      <c r="G101" s="35">
        <f t="shared" si="20"/>
        <v>107622.40000000002</v>
      </c>
      <c r="H101" s="157">
        <f t="shared" si="21"/>
        <v>0.09</v>
      </c>
      <c r="I101" s="158">
        <f t="shared" si="22"/>
        <v>116.23219200000003</v>
      </c>
      <c r="J101" s="161">
        <f t="shared" si="23"/>
        <v>4.4704689230769237</v>
      </c>
      <c r="K101" s="92" t="s">
        <v>384</v>
      </c>
      <c r="L101" s="274">
        <f t="shared" si="24"/>
        <v>10</v>
      </c>
      <c r="M101" s="43">
        <v>40</v>
      </c>
      <c r="N101" s="160">
        <f t="shared" si="26"/>
        <v>0.1</v>
      </c>
      <c r="O101" s="159">
        <f t="shared" si="27"/>
        <v>0.46153846153846156</v>
      </c>
      <c r="P101" s="275">
        <v>2</v>
      </c>
      <c r="Q101" s="158">
        <f t="shared" si="31"/>
        <v>1</v>
      </c>
      <c r="R101" s="159">
        <f t="shared" si="30"/>
        <v>0.46153846153846156</v>
      </c>
      <c r="S101" s="97">
        <f t="shared" si="25"/>
        <v>5.393545846153847</v>
      </c>
      <c r="T101" s="40">
        <f t="shared" si="28"/>
        <v>140.23219200000003</v>
      </c>
    </row>
    <row r="102" spans="2:20" x14ac:dyDescent="0.25">
      <c r="B102" s="1">
        <f>+fulltime!B90</f>
        <v>447</v>
      </c>
      <c r="C102" s="156">
        <f>+fulltime!C90</f>
        <v>24.35</v>
      </c>
      <c r="D102" s="35">
        <f t="shared" si="18"/>
        <v>50648</v>
      </c>
      <c r="E102" s="43">
        <f>+healthpension!F93</f>
        <v>39</v>
      </c>
      <c r="F102" s="35">
        <f t="shared" si="19"/>
        <v>151944</v>
      </c>
      <c r="G102" s="35">
        <f t="shared" si="20"/>
        <v>101944</v>
      </c>
      <c r="H102" s="157">
        <f t="shared" si="21"/>
        <v>0.09</v>
      </c>
      <c r="I102" s="158">
        <f t="shared" si="22"/>
        <v>110.09952000000001</v>
      </c>
      <c r="J102" s="161">
        <f t="shared" si="23"/>
        <v>4.2345969230769231</v>
      </c>
      <c r="K102" s="92"/>
      <c r="L102" s="274" t="str">
        <f t="shared" si="24"/>
        <v/>
      </c>
      <c r="M102" s="43"/>
      <c r="N102" s="160" t="str">
        <f t="shared" si="26"/>
        <v/>
      </c>
      <c r="O102" s="159">
        <f t="shared" si="27"/>
        <v>0</v>
      </c>
      <c r="P102" s="275"/>
      <c r="Q102" s="158">
        <f t="shared" si="31"/>
        <v>0</v>
      </c>
      <c r="R102" s="159">
        <f t="shared" si="30"/>
        <v>0</v>
      </c>
      <c r="S102" s="97">
        <f t="shared" si="25"/>
        <v>4.2345969230769231</v>
      </c>
      <c r="T102" s="40">
        <f t="shared" si="28"/>
        <v>110.09952</v>
      </c>
    </row>
    <row r="103" spans="2:20" x14ac:dyDescent="0.25">
      <c r="B103" s="1">
        <f>+fulltime!B91</f>
        <v>201</v>
      </c>
      <c r="C103" s="156">
        <f>+fulltime!C91</f>
        <v>31.93</v>
      </c>
      <c r="D103" s="35">
        <f t="shared" si="18"/>
        <v>66414.399999999994</v>
      </c>
      <c r="E103" s="43">
        <f>+healthpension!F94</f>
        <v>59</v>
      </c>
      <c r="F103" s="35">
        <f t="shared" si="19"/>
        <v>199243.19999999998</v>
      </c>
      <c r="G103" s="35">
        <f t="shared" si="20"/>
        <v>149243.19999999998</v>
      </c>
      <c r="H103" s="157">
        <f t="shared" si="21"/>
        <v>0.43</v>
      </c>
      <c r="I103" s="158">
        <f t="shared" si="22"/>
        <v>770.09491199999979</v>
      </c>
      <c r="J103" s="161">
        <f t="shared" si="23"/>
        <v>29.619035076923069</v>
      </c>
      <c r="K103" s="92" t="s">
        <v>385</v>
      </c>
      <c r="L103" s="274">
        <f t="shared" si="24"/>
        <v>10</v>
      </c>
      <c r="M103" s="43">
        <v>57</v>
      </c>
      <c r="N103" s="160">
        <f t="shared" si="26"/>
        <v>0.43</v>
      </c>
      <c r="O103" s="159">
        <f t="shared" si="27"/>
        <v>1.9846153846153844</v>
      </c>
      <c r="P103" s="275"/>
      <c r="Q103" s="158">
        <f t="shared" si="31"/>
        <v>0</v>
      </c>
      <c r="R103" s="159">
        <f t="shared" si="30"/>
        <v>0</v>
      </c>
      <c r="S103" s="97">
        <f t="shared" si="25"/>
        <v>31.603650461538454</v>
      </c>
      <c r="T103" s="40">
        <f t="shared" si="28"/>
        <v>821.69491199999982</v>
      </c>
    </row>
    <row r="104" spans="2:20" x14ac:dyDescent="0.25">
      <c r="B104" s="1">
        <f>+fulltime!B92</f>
        <v>381</v>
      </c>
      <c r="C104" s="156">
        <f>+fulltime!C92</f>
        <v>31.75</v>
      </c>
      <c r="D104" s="35">
        <f t="shared" si="18"/>
        <v>66040</v>
      </c>
      <c r="E104" s="43">
        <f>+healthpension!F95</f>
        <v>65</v>
      </c>
      <c r="F104" s="35">
        <f t="shared" si="19"/>
        <v>198120</v>
      </c>
      <c r="G104" s="35">
        <f t="shared" si="20"/>
        <v>148120</v>
      </c>
      <c r="H104" s="157">
        <f t="shared" si="21"/>
        <v>1.27</v>
      </c>
      <c r="I104" s="158">
        <f t="shared" si="22"/>
        <v>2257.3488000000002</v>
      </c>
      <c r="J104" s="161">
        <f t="shared" si="23"/>
        <v>86.821107692307706</v>
      </c>
      <c r="K104" s="92" t="s">
        <v>386</v>
      </c>
      <c r="L104" s="274">
        <f t="shared" si="24"/>
        <v>10</v>
      </c>
      <c r="M104" s="43">
        <v>66</v>
      </c>
      <c r="N104" s="160">
        <f t="shared" si="26"/>
        <v>1.27</v>
      </c>
      <c r="O104" s="159">
        <f t="shared" si="27"/>
        <v>5.8615384615384603</v>
      </c>
      <c r="P104" s="275"/>
      <c r="Q104" s="158">
        <f t="shared" si="31"/>
        <v>0</v>
      </c>
      <c r="R104" s="159">
        <f t="shared" si="30"/>
        <v>0</v>
      </c>
      <c r="S104" s="97">
        <f t="shared" si="25"/>
        <v>92.682646153846164</v>
      </c>
      <c r="T104" s="40">
        <f t="shared" si="28"/>
        <v>2409.7488000000003</v>
      </c>
    </row>
    <row r="105" spans="2:20" x14ac:dyDescent="0.25">
      <c r="B105" s="1">
        <f>+fulltime!B93</f>
        <v>320</v>
      </c>
      <c r="C105" s="156">
        <f>+fulltime!C93</f>
        <v>29.24</v>
      </c>
      <c r="D105" s="35">
        <f t="shared" si="18"/>
        <v>60819.199999999997</v>
      </c>
      <c r="E105" s="43">
        <f>+healthpension!F96</f>
        <v>55</v>
      </c>
      <c r="F105" s="35">
        <f t="shared" si="19"/>
        <v>182457.59999999998</v>
      </c>
      <c r="G105" s="35">
        <f t="shared" si="20"/>
        <v>132457.59999999998</v>
      </c>
      <c r="H105" s="157">
        <f t="shared" si="21"/>
        <v>0.43</v>
      </c>
      <c r="I105" s="158">
        <f t="shared" si="22"/>
        <v>683.4812159999999</v>
      </c>
      <c r="J105" s="161">
        <f t="shared" si="23"/>
        <v>26.287739076923074</v>
      </c>
      <c r="K105" s="92" t="s">
        <v>387</v>
      </c>
      <c r="L105" s="274">
        <f t="shared" si="24"/>
        <v>10</v>
      </c>
      <c r="M105" s="43">
        <v>54</v>
      </c>
      <c r="N105" s="160">
        <f t="shared" si="26"/>
        <v>0.23</v>
      </c>
      <c r="O105" s="159">
        <f t="shared" si="27"/>
        <v>1.0615384615384615</v>
      </c>
      <c r="P105" s="275">
        <v>2</v>
      </c>
      <c r="Q105" s="158">
        <f t="shared" si="31"/>
        <v>1</v>
      </c>
      <c r="R105" s="159">
        <f t="shared" si="30"/>
        <v>0.46153846153846156</v>
      </c>
      <c r="S105" s="97">
        <f t="shared" si="25"/>
        <v>27.810815999999996</v>
      </c>
      <c r="T105" s="40">
        <f t="shared" si="28"/>
        <v>723.08121599999993</v>
      </c>
    </row>
    <row r="106" spans="2:20" x14ac:dyDescent="0.25">
      <c r="B106" s="1">
        <f>+fulltime!B94</f>
        <v>679</v>
      </c>
      <c r="C106" s="156">
        <f>+fulltime!C94</f>
        <v>20.440000000000001</v>
      </c>
      <c r="D106" s="35">
        <f t="shared" si="18"/>
        <v>42515.200000000004</v>
      </c>
      <c r="E106" s="43">
        <f>+healthpension!F97</f>
        <v>43</v>
      </c>
      <c r="F106" s="35">
        <f t="shared" si="19"/>
        <v>127545.60000000001</v>
      </c>
      <c r="G106" s="35">
        <f t="shared" si="20"/>
        <v>77545.600000000006</v>
      </c>
      <c r="H106" s="157">
        <f t="shared" si="21"/>
        <v>0.1</v>
      </c>
      <c r="I106" s="158">
        <f t="shared" si="22"/>
        <v>93.054720000000017</v>
      </c>
      <c r="J106" s="161">
        <f t="shared" si="23"/>
        <v>3.5790276923076929</v>
      </c>
      <c r="K106" s="92" t="s">
        <v>388</v>
      </c>
      <c r="L106" s="274">
        <f t="shared" si="24"/>
        <v>10</v>
      </c>
      <c r="M106" s="43">
        <v>49</v>
      </c>
      <c r="N106" s="160">
        <f t="shared" si="26"/>
        <v>0.15</v>
      </c>
      <c r="O106" s="159">
        <f t="shared" si="27"/>
        <v>0.69230769230769229</v>
      </c>
      <c r="P106" s="275">
        <v>1</v>
      </c>
      <c r="Q106" s="158">
        <f t="shared" si="31"/>
        <v>0.5</v>
      </c>
      <c r="R106" s="159">
        <f t="shared" si="30"/>
        <v>0.23076923076923078</v>
      </c>
      <c r="S106" s="97">
        <f t="shared" si="25"/>
        <v>4.5021046153846163</v>
      </c>
      <c r="T106" s="40">
        <f t="shared" si="28"/>
        <v>117.05472000000002</v>
      </c>
    </row>
    <row r="107" spans="2:20" x14ac:dyDescent="0.25">
      <c r="B107" s="1">
        <f>+fulltime!B95</f>
        <v>643</v>
      </c>
      <c r="C107" s="156">
        <f>+fulltime!C95</f>
        <v>32.700000000000003</v>
      </c>
      <c r="D107" s="35">
        <f t="shared" si="18"/>
        <v>68016</v>
      </c>
      <c r="E107" s="43">
        <f>+healthpension!F98</f>
        <v>35</v>
      </c>
      <c r="F107" s="35">
        <f t="shared" si="19"/>
        <v>204048</v>
      </c>
      <c r="G107" s="35">
        <f t="shared" si="20"/>
        <v>154048</v>
      </c>
      <c r="H107" s="157">
        <f t="shared" si="21"/>
        <v>0.09</v>
      </c>
      <c r="I107" s="158">
        <f t="shared" si="22"/>
        <v>166.37183999999999</v>
      </c>
      <c r="J107" s="161">
        <f t="shared" si="23"/>
        <v>6.3989169230769232</v>
      </c>
      <c r="K107" s="92" t="s">
        <v>389</v>
      </c>
      <c r="L107" s="274">
        <f t="shared" si="24"/>
        <v>10</v>
      </c>
      <c r="M107" s="43">
        <v>39</v>
      </c>
      <c r="N107" s="160">
        <f t="shared" si="26"/>
        <v>0.09</v>
      </c>
      <c r="O107" s="159">
        <f t="shared" si="27"/>
        <v>0.41538461538461535</v>
      </c>
      <c r="P107" s="275"/>
      <c r="Q107" s="158">
        <f t="shared" si="31"/>
        <v>0</v>
      </c>
      <c r="R107" s="159">
        <f t="shared" si="30"/>
        <v>0</v>
      </c>
      <c r="S107" s="97">
        <f t="shared" si="25"/>
        <v>6.8143015384615389</v>
      </c>
      <c r="T107" s="40">
        <f t="shared" si="28"/>
        <v>177.17184</v>
      </c>
    </row>
    <row r="108" spans="2:20" x14ac:dyDescent="0.25">
      <c r="B108" s="1">
        <f>+fulltime!B96</f>
        <v>244</v>
      </c>
      <c r="C108" s="156">
        <f>+fulltime!C96</f>
        <v>37.86</v>
      </c>
      <c r="D108" s="35">
        <f t="shared" si="18"/>
        <v>78748.800000000003</v>
      </c>
      <c r="E108" s="43">
        <f>+healthpension!F99</f>
        <v>56</v>
      </c>
      <c r="F108" s="35">
        <f t="shared" si="19"/>
        <v>236246.40000000002</v>
      </c>
      <c r="G108" s="35">
        <f t="shared" si="20"/>
        <v>186246.40000000002</v>
      </c>
      <c r="H108" s="157">
        <f t="shared" si="21"/>
        <v>0.43</v>
      </c>
      <c r="I108" s="158">
        <f t="shared" si="22"/>
        <v>961.03142400000002</v>
      </c>
      <c r="J108" s="161">
        <f t="shared" si="23"/>
        <v>36.96274707692308</v>
      </c>
      <c r="K108" s="92" t="s">
        <v>385</v>
      </c>
      <c r="L108" s="274">
        <f t="shared" si="24"/>
        <v>10</v>
      </c>
      <c r="M108" s="43">
        <v>51</v>
      </c>
      <c r="N108" s="160">
        <f t="shared" si="26"/>
        <v>0.23</v>
      </c>
      <c r="O108" s="159">
        <f t="shared" si="27"/>
        <v>1.0615384615384615</v>
      </c>
      <c r="P108" s="275">
        <v>1</v>
      </c>
      <c r="Q108" s="158">
        <f t="shared" si="31"/>
        <v>0.5</v>
      </c>
      <c r="R108" s="159">
        <f t="shared" si="30"/>
        <v>0.23076923076923078</v>
      </c>
      <c r="S108" s="97">
        <f t="shared" si="25"/>
        <v>38.255054769230775</v>
      </c>
      <c r="T108" s="40">
        <f t="shared" si="28"/>
        <v>994.63142400000015</v>
      </c>
    </row>
    <row r="109" spans="2:20" x14ac:dyDescent="0.25">
      <c r="B109" s="1">
        <f>+fulltime!B97</f>
        <v>427</v>
      </c>
      <c r="C109" s="156">
        <f>+fulltime!C97</f>
        <v>34.619999999999997</v>
      </c>
      <c r="D109" s="35">
        <f t="shared" si="18"/>
        <v>72009.599999999991</v>
      </c>
      <c r="E109" s="43">
        <f>+healthpension!F100</f>
        <v>44</v>
      </c>
      <c r="F109" s="35">
        <f t="shared" si="19"/>
        <v>216028.79999999999</v>
      </c>
      <c r="G109" s="35">
        <f t="shared" si="20"/>
        <v>166028.79999999999</v>
      </c>
      <c r="H109" s="157">
        <f t="shared" si="21"/>
        <v>0.1</v>
      </c>
      <c r="I109" s="158">
        <f t="shared" si="22"/>
        <v>199.23455999999999</v>
      </c>
      <c r="J109" s="161">
        <f t="shared" si="23"/>
        <v>7.6628676923076915</v>
      </c>
      <c r="K109" s="92" t="s">
        <v>368</v>
      </c>
      <c r="L109" s="274">
        <f t="shared" si="24"/>
        <v>10</v>
      </c>
      <c r="M109" s="43">
        <v>45</v>
      </c>
      <c r="N109" s="160">
        <f t="shared" si="26"/>
        <v>0.15</v>
      </c>
      <c r="O109" s="159">
        <f t="shared" si="27"/>
        <v>0.69230769230769229</v>
      </c>
      <c r="P109" s="275">
        <v>2</v>
      </c>
      <c r="Q109" s="158">
        <f t="shared" si="31"/>
        <v>1</v>
      </c>
      <c r="R109" s="159">
        <f t="shared" si="30"/>
        <v>0.46153846153846156</v>
      </c>
      <c r="S109" s="97">
        <f t="shared" si="25"/>
        <v>8.8167138461538457</v>
      </c>
      <c r="T109" s="40">
        <f t="shared" si="28"/>
        <v>229.23455999999999</v>
      </c>
    </row>
    <row r="110" spans="2:20" x14ac:dyDescent="0.25">
      <c r="B110" s="1">
        <f>+fulltime!B98</f>
        <v>156</v>
      </c>
      <c r="C110" s="156">
        <f>+fulltime!C98</f>
        <v>55.47</v>
      </c>
      <c r="D110" s="35">
        <f t="shared" si="18"/>
        <v>115377.59999999999</v>
      </c>
      <c r="E110" s="43">
        <f>+healthpension!F101</f>
        <v>58</v>
      </c>
      <c r="F110" s="35">
        <f t="shared" si="19"/>
        <v>346132.8</v>
      </c>
      <c r="G110" s="35">
        <f t="shared" si="20"/>
        <v>296132.8</v>
      </c>
      <c r="H110" s="157">
        <f t="shared" si="21"/>
        <v>0.43</v>
      </c>
      <c r="I110" s="158">
        <f t="shared" si="22"/>
        <v>1528.0452479999999</v>
      </c>
      <c r="J110" s="161">
        <f t="shared" si="23"/>
        <v>58.770971076923075</v>
      </c>
      <c r="K110" s="92" t="s">
        <v>390</v>
      </c>
      <c r="L110" s="274">
        <f t="shared" si="24"/>
        <v>10</v>
      </c>
      <c r="M110" s="43">
        <v>55</v>
      </c>
      <c r="N110" s="160">
        <f t="shared" si="26"/>
        <v>0.43</v>
      </c>
      <c r="O110" s="159">
        <f t="shared" si="27"/>
        <v>1.9846153846153844</v>
      </c>
      <c r="P110" s="275"/>
      <c r="Q110" s="158">
        <f t="shared" si="31"/>
        <v>0</v>
      </c>
      <c r="R110" s="159">
        <f t="shared" si="30"/>
        <v>0</v>
      </c>
      <c r="S110" s="97">
        <f t="shared" si="25"/>
        <v>60.755586461538456</v>
      </c>
      <c r="T110" s="40">
        <f t="shared" si="28"/>
        <v>1579.6452479999998</v>
      </c>
    </row>
    <row r="111" spans="2:20" x14ac:dyDescent="0.25">
      <c r="B111" s="1">
        <f>+fulltime!B99</f>
        <v>598</v>
      </c>
      <c r="C111" s="156">
        <f>+fulltime!C99</f>
        <v>33.68</v>
      </c>
      <c r="D111" s="35">
        <f t="shared" si="18"/>
        <v>70054.399999999994</v>
      </c>
      <c r="E111" s="43">
        <f>+healthpension!F102</f>
        <v>11</v>
      </c>
      <c r="F111" s="35">
        <f t="shared" si="19"/>
        <v>210163.19999999998</v>
      </c>
      <c r="G111" s="35">
        <f t="shared" ref="G111:G142" si="32">F111-50000</f>
        <v>160163.19999999998</v>
      </c>
      <c r="H111" s="157">
        <f t="shared" ref="H111:H142" si="33">VLOOKUP(E111,A$3:B$13,2)</f>
        <v>0.05</v>
      </c>
      <c r="I111" s="158">
        <f t="shared" si="22"/>
        <v>96.097920000000002</v>
      </c>
      <c r="J111" s="161">
        <f t="shared" si="23"/>
        <v>3.6960738461538463</v>
      </c>
      <c r="K111" s="92" t="s">
        <v>391</v>
      </c>
      <c r="L111" s="274">
        <f t="shared" si="24"/>
        <v>10</v>
      </c>
      <c r="M111" s="43">
        <v>49</v>
      </c>
      <c r="N111" s="160">
        <f t="shared" si="26"/>
        <v>0.15</v>
      </c>
      <c r="O111" s="159">
        <f t="shared" si="27"/>
        <v>0.69230769230769229</v>
      </c>
      <c r="P111" s="275">
        <v>1</v>
      </c>
      <c r="Q111" s="158">
        <f t="shared" si="31"/>
        <v>0.5</v>
      </c>
      <c r="R111" s="159">
        <f t="shared" si="30"/>
        <v>0.23076923076923078</v>
      </c>
      <c r="S111" s="97">
        <f t="shared" ref="S111:S142" si="34">O111+J111+R111</f>
        <v>4.6191507692307692</v>
      </c>
      <c r="T111" s="40">
        <f t="shared" si="28"/>
        <v>120.09792</v>
      </c>
    </row>
    <row r="112" spans="2:20" x14ac:dyDescent="0.25">
      <c r="B112" s="1">
        <f>+fulltime!B100</f>
        <v>617</v>
      </c>
      <c r="C112" s="156">
        <f>+fulltime!C100</f>
        <v>26.65</v>
      </c>
      <c r="D112" s="35">
        <f t="shared" si="18"/>
        <v>55432</v>
      </c>
      <c r="E112" s="43">
        <f>+healthpension!F103</f>
        <v>61</v>
      </c>
      <c r="F112" s="35">
        <f t="shared" si="19"/>
        <v>166296</v>
      </c>
      <c r="G112" s="35">
        <f t="shared" si="32"/>
        <v>116296</v>
      </c>
      <c r="H112" s="157">
        <f t="shared" si="33"/>
        <v>0.66</v>
      </c>
      <c r="I112" s="158">
        <f t="shared" si="22"/>
        <v>921.06432000000018</v>
      </c>
      <c r="J112" s="161">
        <f t="shared" si="23"/>
        <v>35.425550769230775</v>
      </c>
      <c r="K112" s="92" t="s">
        <v>392</v>
      </c>
      <c r="L112" s="274">
        <f t="shared" si="24"/>
        <v>10</v>
      </c>
      <c r="M112" s="43">
        <v>59</v>
      </c>
      <c r="N112" s="160">
        <f t="shared" si="26"/>
        <v>0.43</v>
      </c>
      <c r="O112" s="159">
        <f t="shared" si="27"/>
        <v>1.9846153846153844</v>
      </c>
      <c r="P112" s="275"/>
      <c r="Q112" s="158">
        <f t="shared" si="31"/>
        <v>0</v>
      </c>
      <c r="R112" s="159">
        <f t="shared" si="30"/>
        <v>0</v>
      </c>
      <c r="S112" s="97">
        <f t="shared" si="34"/>
        <v>37.410166153846156</v>
      </c>
      <c r="T112" s="40">
        <f t="shared" si="28"/>
        <v>972.66432000000009</v>
      </c>
    </row>
    <row r="113" spans="2:20" x14ac:dyDescent="0.25">
      <c r="B113" s="1">
        <f>+fulltime!B101</f>
        <v>261</v>
      </c>
      <c r="C113" s="156">
        <f>+fulltime!C101</f>
        <v>30.91</v>
      </c>
      <c r="D113" s="35">
        <f t="shared" si="18"/>
        <v>64292.800000000003</v>
      </c>
      <c r="E113" s="43">
        <f>+healthpension!F104</f>
        <v>54</v>
      </c>
      <c r="F113" s="35">
        <f t="shared" si="19"/>
        <v>192878.40000000002</v>
      </c>
      <c r="G113" s="35">
        <f t="shared" si="32"/>
        <v>142878.40000000002</v>
      </c>
      <c r="H113" s="157">
        <f t="shared" si="33"/>
        <v>0.23</v>
      </c>
      <c r="I113" s="158">
        <f t="shared" si="22"/>
        <v>394.3443840000001</v>
      </c>
      <c r="J113" s="161">
        <f t="shared" si="23"/>
        <v>15.167091692307697</v>
      </c>
      <c r="K113" s="92" t="s">
        <v>393</v>
      </c>
      <c r="L113" s="274">
        <f t="shared" si="24"/>
        <v>10</v>
      </c>
      <c r="M113" s="43">
        <v>62</v>
      </c>
      <c r="N113" s="160">
        <f t="shared" si="26"/>
        <v>0.66</v>
      </c>
      <c r="O113" s="159">
        <f t="shared" si="27"/>
        <v>3.0461538461538464</v>
      </c>
      <c r="P113" s="275">
        <v>1</v>
      </c>
      <c r="Q113" s="158">
        <f t="shared" si="31"/>
        <v>0.5</v>
      </c>
      <c r="R113" s="159">
        <f t="shared" si="30"/>
        <v>0.23076923076923078</v>
      </c>
      <c r="S113" s="97">
        <f t="shared" si="34"/>
        <v>18.444014769230773</v>
      </c>
      <c r="T113" s="40">
        <f t="shared" si="28"/>
        <v>479.54438400000009</v>
      </c>
    </row>
    <row r="114" spans="2:20" x14ac:dyDescent="0.25">
      <c r="B114" s="1">
        <f>+fulltime!B102</f>
        <v>432</v>
      </c>
      <c r="C114" s="156">
        <f>+fulltime!C102</f>
        <v>25.92</v>
      </c>
      <c r="D114" s="35">
        <f t="shared" si="18"/>
        <v>53913.600000000006</v>
      </c>
      <c r="E114" s="43">
        <f>+healthpension!F105</f>
        <v>50</v>
      </c>
      <c r="F114" s="35">
        <f t="shared" si="19"/>
        <v>161740.80000000002</v>
      </c>
      <c r="G114" s="35">
        <f t="shared" si="32"/>
        <v>111740.80000000002</v>
      </c>
      <c r="H114" s="157">
        <f t="shared" si="33"/>
        <v>0.23</v>
      </c>
      <c r="I114" s="158">
        <f t="shared" si="22"/>
        <v>308.40460800000005</v>
      </c>
      <c r="J114" s="161">
        <f t="shared" si="23"/>
        <v>11.861715692307694</v>
      </c>
      <c r="K114" s="92" t="s">
        <v>394</v>
      </c>
      <c r="L114" s="274">
        <f t="shared" si="24"/>
        <v>10</v>
      </c>
      <c r="M114" s="43">
        <v>50</v>
      </c>
      <c r="N114" s="160">
        <f t="shared" si="26"/>
        <v>0.23</v>
      </c>
      <c r="O114" s="159">
        <f t="shared" si="27"/>
        <v>1.0615384615384615</v>
      </c>
      <c r="P114" s="275">
        <v>1</v>
      </c>
      <c r="Q114" s="158">
        <f t="shared" si="31"/>
        <v>0.5</v>
      </c>
      <c r="R114" s="159">
        <f t="shared" si="30"/>
        <v>0.23076923076923078</v>
      </c>
      <c r="S114" s="97">
        <f t="shared" si="34"/>
        <v>13.154023384615385</v>
      </c>
      <c r="T114" s="40">
        <f t="shared" si="28"/>
        <v>342.00460800000002</v>
      </c>
    </row>
    <row r="115" spans="2:20" x14ac:dyDescent="0.25">
      <c r="B115" s="1">
        <f>+fulltime!B103</f>
        <v>491</v>
      </c>
      <c r="C115" s="156">
        <f>+fulltime!C103</f>
        <v>32.340000000000003</v>
      </c>
      <c r="D115" s="35">
        <f t="shared" si="18"/>
        <v>67267.200000000012</v>
      </c>
      <c r="E115" s="43">
        <f>+healthpension!F106</f>
        <v>54</v>
      </c>
      <c r="F115" s="35">
        <f t="shared" si="19"/>
        <v>201801.60000000003</v>
      </c>
      <c r="G115" s="35">
        <f t="shared" si="32"/>
        <v>151801.60000000003</v>
      </c>
      <c r="H115" s="157">
        <f t="shared" si="33"/>
        <v>0.23</v>
      </c>
      <c r="I115" s="158">
        <f t="shared" si="22"/>
        <v>418.97241600000012</v>
      </c>
      <c r="J115" s="161">
        <f t="shared" si="23"/>
        <v>16.114323692307696</v>
      </c>
      <c r="K115" s="92" t="s">
        <v>365</v>
      </c>
      <c r="L115" s="274">
        <f t="shared" si="24"/>
        <v>10</v>
      </c>
      <c r="M115" s="43">
        <v>55</v>
      </c>
      <c r="N115" s="160">
        <f t="shared" si="26"/>
        <v>0.43</v>
      </c>
      <c r="O115" s="159">
        <f t="shared" si="27"/>
        <v>1.9846153846153844</v>
      </c>
      <c r="P115" s="275"/>
      <c r="Q115" s="158">
        <f t="shared" si="31"/>
        <v>0</v>
      </c>
      <c r="R115" s="159">
        <f t="shared" si="30"/>
        <v>0</v>
      </c>
      <c r="S115" s="97">
        <f t="shared" si="34"/>
        <v>18.098939076923081</v>
      </c>
      <c r="T115" s="40">
        <f t="shared" si="28"/>
        <v>470.57241600000009</v>
      </c>
    </row>
    <row r="116" spans="2:20" x14ac:dyDescent="0.25">
      <c r="B116" s="1">
        <f>+fulltime!B104</f>
        <v>600</v>
      </c>
      <c r="C116" s="156">
        <f>+fulltime!C104</f>
        <v>69.959999999999994</v>
      </c>
      <c r="D116" s="35">
        <f t="shared" si="18"/>
        <v>145516.79999999999</v>
      </c>
      <c r="E116" s="43">
        <f>+healthpension!F107</f>
        <v>67</v>
      </c>
      <c r="F116" s="35">
        <f t="shared" si="19"/>
        <v>436550.39999999997</v>
      </c>
      <c r="G116" s="35">
        <f t="shared" si="32"/>
        <v>386550.39999999997</v>
      </c>
      <c r="H116" s="157">
        <f t="shared" si="33"/>
        <v>1.27</v>
      </c>
      <c r="I116" s="158">
        <f t="shared" si="22"/>
        <v>5891.028096</v>
      </c>
      <c r="J116" s="161">
        <f t="shared" si="23"/>
        <v>226.5780036923077</v>
      </c>
      <c r="K116" s="92" t="s">
        <v>395</v>
      </c>
      <c r="L116" s="274">
        <f t="shared" si="24"/>
        <v>10</v>
      </c>
      <c r="M116" s="43">
        <v>68</v>
      </c>
      <c r="N116" s="160">
        <f t="shared" si="26"/>
        <v>1.27</v>
      </c>
      <c r="O116" s="159">
        <f t="shared" si="27"/>
        <v>5.8615384615384603</v>
      </c>
      <c r="P116" s="275"/>
      <c r="Q116" s="158">
        <f t="shared" si="31"/>
        <v>0</v>
      </c>
      <c r="R116" s="159">
        <f t="shared" si="30"/>
        <v>0</v>
      </c>
      <c r="S116" s="97">
        <f t="shared" si="34"/>
        <v>232.43954215384616</v>
      </c>
      <c r="T116" s="40">
        <f t="shared" si="28"/>
        <v>6043.4280960000006</v>
      </c>
    </row>
    <row r="117" spans="2:20" x14ac:dyDescent="0.25">
      <c r="B117" s="1">
        <f>+fulltime!B105</f>
        <v>383</v>
      </c>
      <c r="C117" s="156">
        <f>+fulltime!C105</f>
        <v>32.28</v>
      </c>
      <c r="D117" s="35">
        <f t="shared" si="18"/>
        <v>67142.400000000009</v>
      </c>
      <c r="E117" s="43">
        <f>+healthpension!F108</f>
        <v>55</v>
      </c>
      <c r="F117" s="35">
        <f t="shared" si="19"/>
        <v>201427.20000000001</v>
      </c>
      <c r="G117" s="35">
        <f t="shared" si="32"/>
        <v>151427.20000000001</v>
      </c>
      <c r="H117" s="157">
        <f t="shared" si="33"/>
        <v>0.43</v>
      </c>
      <c r="I117" s="158">
        <f t="shared" si="22"/>
        <v>781.36435200000005</v>
      </c>
      <c r="J117" s="161">
        <f t="shared" si="23"/>
        <v>30.052475076923081</v>
      </c>
      <c r="K117" s="92" t="s">
        <v>391</v>
      </c>
      <c r="L117" s="274">
        <f t="shared" si="24"/>
        <v>10</v>
      </c>
      <c r="M117" s="43">
        <v>51</v>
      </c>
      <c r="N117" s="160">
        <f t="shared" si="26"/>
        <v>0.23</v>
      </c>
      <c r="O117" s="159">
        <f t="shared" si="27"/>
        <v>1.0615384615384615</v>
      </c>
      <c r="P117" s="275">
        <v>1</v>
      </c>
      <c r="Q117" s="158">
        <f t="shared" si="31"/>
        <v>0.5</v>
      </c>
      <c r="R117" s="159">
        <f t="shared" si="30"/>
        <v>0.23076923076923078</v>
      </c>
      <c r="S117" s="97">
        <f t="shared" si="34"/>
        <v>31.344782769230772</v>
      </c>
      <c r="T117" s="40">
        <f t="shared" si="28"/>
        <v>814.96435200000008</v>
      </c>
    </row>
    <row r="118" spans="2:20" x14ac:dyDescent="0.25">
      <c r="B118" s="1">
        <f>+fulltime!B106</f>
        <v>445</v>
      </c>
      <c r="C118" s="156">
        <f>+fulltime!C106</f>
        <v>36.090000000000003</v>
      </c>
      <c r="D118" s="35">
        <f t="shared" si="18"/>
        <v>75067.200000000012</v>
      </c>
      <c r="E118" s="43">
        <f>+healthpension!F109</f>
        <v>44</v>
      </c>
      <c r="F118" s="35">
        <f t="shared" ref="F118:F161" si="35">D118*3</f>
        <v>225201.60000000003</v>
      </c>
      <c r="G118" s="35">
        <f t="shared" si="32"/>
        <v>175201.60000000003</v>
      </c>
      <c r="H118" s="157">
        <f t="shared" si="33"/>
        <v>0.1</v>
      </c>
      <c r="I118" s="158">
        <f t="shared" si="22"/>
        <v>210.24192000000005</v>
      </c>
      <c r="J118" s="161">
        <f t="shared" si="23"/>
        <v>8.0862276923076948</v>
      </c>
      <c r="K118" s="92" t="s">
        <v>396</v>
      </c>
      <c r="L118" s="274">
        <f t="shared" si="24"/>
        <v>10</v>
      </c>
      <c r="M118" s="43">
        <v>39</v>
      </c>
      <c r="N118" s="160">
        <f t="shared" si="26"/>
        <v>0.09</v>
      </c>
      <c r="O118" s="159">
        <f t="shared" si="27"/>
        <v>0.41538461538461535</v>
      </c>
      <c r="P118" s="275">
        <v>4</v>
      </c>
      <c r="Q118" s="158">
        <f t="shared" si="31"/>
        <v>2</v>
      </c>
      <c r="R118" s="159">
        <f t="shared" si="30"/>
        <v>0.92307692307692313</v>
      </c>
      <c r="S118" s="97">
        <f t="shared" si="34"/>
        <v>9.4246892307692338</v>
      </c>
      <c r="T118" s="40">
        <f t="shared" si="28"/>
        <v>245.04192000000009</v>
      </c>
    </row>
    <row r="119" spans="2:20" x14ac:dyDescent="0.25">
      <c r="B119" s="1">
        <f>+fulltime!B107</f>
        <v>684</v>
      </c>
      <c r="C119" s="156">
        <f>+fulltime!C107</f>
        <v>26.58</v>
      </c>
      <c r="D119" s="35">
        <f t="shared" si="18"/>
        <v>55286.399999999994</v>
      </c>
      <c r="E119" s="43">
        <f>+healthpension!F110</f>
        <v>24</v>
      </c>
      <c r="F119" s="35">
        <f t="shared" si="35"/>
        <v>165859.19999999998</v>
      </c>
      <c r="G119" s="35">
        <f t="shared" si="32"/>
        <v>115859.19999999998</v>
      </c>
      <c r="H119" s="157">
        <f t="shared" si="33"/>
        <v>0.05</v>
      </c>
      <c r="I119" s="158">
        <f t="shared" si="22"/>
        <v>69.515519999999995</v>
      </c>
      <c r="J119" s="161">
        <f t="shared" si="23"/>
        <v>2.6736738461538461</v>
      </c>
      <c r="K119" s="92"/>
      <c r="L119" s="274" t="str">
        <f t="shared" si="24"/>
        <v/>
      </c>
      <c r="M119" s="43"/>
      <c r="N119" s="160" t="str">
        <f t="shared" si="26"/>
        <v/>
      </c>
      <c r="O119" s="159">
        <f t="shared" si="27"/>
        <v>0</v>
      </c>
      <c r="P119" s="275"/>
      <c r="Q119" s="158">
        <f t="shared" si="31"/>
        <v>0</v>
      </c>
      <c r="R119" s="159">
        <f t="shared" si="30"/>
        <v>0</v>
      </c>
      <c r="S119" s="97">
        <f t="shared" si="34"/>
        <v>2.6736738461538461</v>
      </c>
      <c r="T119" s="40">
        <f t="shared" si="28"/>
        <v>69.515519999999995</v>
      </c>
    </row>
    <row r="120" spans="2:20" x14ac:dyDescent="0.25">
      <c r="B120" s="1">
        <f>+fulltime!B108</f>
        <v>640</v>
      </c>
      <c r="C120" s="156">
        <f>+fulltime!C108</f>
        <v>33.68</v>
      </c>
      <c r="D120" s="35">
        <f t="shared" si="18"/>
        <v>70054.399999999994</v>
      </c>
      <c r="E120" s="43">
        <f>+healthpension!F111</f>
        <v>30</v>
      </c>
      <c r="F120" s="35">
        <f t="shared" si="35"/>
        <v>210163.19999999998</v>
      </c>
      <c r="G120" s="35">
        <f t="shared" si="32"/>
        <v>160163.19999999998</v>
      </c>
      <c r="H120" s="157">
        <f t="shared" si="33"/>
        <v>0.08</v>
      </c>
      <c r="I120" s="158">
        <f t="shared" si="22"/>
        <v>153.75667199999998</v>
      </c>
      <c r="J120" s="161">
        <f t="shared" si="23"/>
        <v>5.913718153846153</v>
      </c>
      <c r="K120" s="92" t="s">
        <v>397</v>
      </c>
      <c r="L120" s="274">
        <f t="shared" si="24"/>
        <v>10</v>
      </c>
      <c r="M120" s="43">
        <v>30</v>
      </c>
      <c r="N120" s="160">
        <f t="shared" si="26"/>
        <v>0.08</v>
      </c>
      <c r="O120" s="159">
        <f t="shared" si="27"/>
        <v>0.36923076923076931</v>
      </c>
      <c r="P120" s="275">
        <v>3</v>
      </c>
      <c r="Q120" s="158">
        <f t="shared" si="31"/>
        <v>1.5</v>
      </c>
      <c r="R120" s="159">
        <f t="shared" si="30"/>
        <v>0.69230769230769229</v>
      </c>
      <c r="S120" s="97">
        <f t="shared" si="34"/>
        <v>6.9752566153846152</v>
      </c>
      <c r="T120" s="40">
        <f t="shared" si="28"/>
        <v>181.356672</v>
      </c>
    </row>
    <row r="121" spans="2:20" x14ac:dyDescent="0.25">
      <c r="B121" s="1">
        <f>+fulltime!B109</f>
        <v>185</v>
      </c>
      <c r="C121" s="156">
        <f>+fulltime!C109</f>
        <v>49.24</v>
      </c>
      <c r="D121" s="35">
        <f t="shared" si="18"/>
        <v>102419.2</v>
      </c>
      <c r="E121" s="43">
        <f>+healthpension!F112</f>
        <v>57</v>
      </c>
      <c r="F121" s="35">
        <f t="shared" si="35"/>
        <v>307257.59999999998</v>
      </c>
      <c r="G121" s="35">
        <f t="shared" si="32"/>
        <v>257257.59999999998</v>
      </c>
      <c r="H121" s="157">
        <f t="shared" si="33"/>
        <v>0.43</v>
      </c>
      <c r="I121" s="158">
        <f t="shared" si="22"/>
        <v>1327.4492159999998</v>
      </c>
      <c r="J121" s="161">
        <f t="shared" si="23"/>
        <v>51.055739076923068</v>
      </c>
      <c r="K121" s="92" t="s">
        <v>398</v>
      </c>
      <c r="L121" s="274">
        <f t="shared" si="24"/>
        <v>10</v>
      </c>
      <c r="M121" s="43">
        <v>56</v>
      </c>
      <c r="N121" s="160">
        <f t="shared" si="26"/>
        <v>0.43</v>
      </c>
      <c r="O121" s="159">
        <f t="shared" si="27"/>
        <v>1.9846153846153844</v>
      </c>
      <c r="P121" s="275"/>
      <c r="Q121" s="158">
        <f t="shared" si="31"/>
        <v>0</v>
      </c>
      <c r="R121" s="159">
        <f t="shared" si="30"/>
        <v>0</v>
      </c>
      <c r="S121" s="97">
        <f t="shared" si="34"/>
        <v>53.040354461538449</v>
      </c>
      <c r="T121" s="40">
        <f t="shared" si="28"/>
        <v>1379.0492159999997</v>
      </c>
    </row>
    <row r="122" spans="2:20" x14ac:dyDescent="0.25">
      <c r="B122" s="1">
        <f>+fulltime!B110</f>
        <v>409</v>
      </c>
      <c r="C122" s="156">
        <f>+fulltime!C110</f>
        <v>24.01</v>
      </c>
      <c r="D122" s="35">
        <f t="shared" si="18"/>
        <v>49940.800000000003</v>
      </c>
      <c r="E122" s="43">
        <f>+healthpension!F113</f>
        <v>58</v>
      </c>
      <c r="F122" s="35">
        <f t="shared" si="35"/>
        <v>149822.40000000002</v>
      </c>
      <c r="G122" s="35">
        <f t="shared" si="32"/>
        <v>99822.400000000023</v>
      </c>
      <c r="H122" s="157">
        <f t="shared" si="33"/>
        <v>0.43</v>
      </c>
      <c r="I122" s="158">
        <f t="shared" si="22"/>
        <v>515.0835840000002</v>
      </c>
      <c r="J122" s="161">
        <f t="shared" si="23"/>
        <v>19.810907076923083</v>
      </c>
      <c r="K122" s="92" t="s">
        <v>387</v>
      </c>
      <c r="L122" s="274">
        <f t="shared" si="24"/>
        <v>10</v>
      </c>
      <c r="M122" s="43">
        <v>57</v>
      </c>
      <c r="N122" s="160">
        <f t="shared" si="26"/>
        <v>0.43</v>
      </c>
      <c r="O122" s="159">
        <f t="shared" si="27"/>
        <v>1.9846153846153844</v>
      </c>
      <c r="P122" s="275">
        <v>1</v>
      </c>
      <c r="Q122" s="158">
        <f t="shared" si="31"/>
        <v>0.5</v>
      </c>
      <c r="R122" s="159">
        <f t="shared" si="30"/>
        <v>0.23076923076923078</v>
      </c>
      <c r="S122" s="97">
        <f t="shared" si="34"/>
        <v>22.026291692307698</v>
      </c>
      <c r="T122" s="40">
        <f t="shared" si="28"/>
        <v>572.68358400000011</v>
      </c>
    </row>
    <row r="123" spans="2:20" x14ac:dyDescent="0.25">
      <c r="B123" s="1">
        <f>+fulltime!B111</f>
        <v>328</v>
      </c>
      <c r="C123" s="156">
        <f>+fulltime!C111</f>
        <v>26.71</v>
      </c>
      <c r="D123" s="35">
        <f t="shared" si="18"/>
        <v>55556.800000000003</v>
      </c>
      <c r="E123" s="43">
        <f>+healthpension!F114</f>
        <v>55</v>
      </c>
      <c r="F123" s="35">
        <f t="shared" si="35"/>
        <v>166670.40000000002</v>
      </c>
      <c r="G123" s="35">
        <f t="shared" si="32"/>
        <v>116670.40000000002</v>
      </c>
      <c r="H123" s="157">
        <f t="shared" si="33"/>
        <v>0.43</v>
      </c>
      <c r="I123" s="158">
        <f t="shared" si="22"/>
        <v>602.01926400000013</v>
      </c>
      <c r="J123" s="161">
        <f t="shared" si="23"/>
        <v>23.154587076923082</v>
      </c>
      <c r="K123" s="92" t="s">
        <v>399</v>
      </c>
      <c r="L123" s="274">
        <f t="shared" si="24"/>
        <v>10</v>
      </c>
      <c r="M123" s="43">
        <v>51</v>
      </c>
      <c r="N123" s="160">
        <f t="shared" si="26"/>
        <v>0.23</v>
      </c>
      <c r="O123" s="159">
        <f t="shared" si="27"/>
        <v>1.0615384615384615</v>
      </c>
      <c r="P123" s="275">
        <v>1</v>
      </c>
      <c r="Q123" s="158">
        <f t="shared" si="31"/>
        <v>0.5</v>
      </c>
      <c r="R123" s="159">
        <f t="shared" si="30"/>
        <v>0.23076923076923078</v>
      </c>
      <c r="S123" s="97">
        <f t="shared" si="34"/>
        <v>24.446894769230774</v>
      </c>
      <c r="T123" s="40">
        <f t="shared" si="28"/>
        <v>635.61926400000016</v>
      </c>
    </row>
    <row r="124" spans="2:20" x14ac:dyDescent="0.25">
      <c r="B124" s="1">
        <f>+fulltime!B112</f>
        <v>281</v>
      </c>
      <c r="C124" s="156">
        <f>+fulltime!C112</f>
        <v>37.31</v>
      </c>
      <c r="D124" s="35">
        <f t="shared" si="18"/>
        <v>77604.800000000003</v>
      </c>
      <c r="E124" s="43">
        <f>+healthpension!F115</f>
        <v>55</v>
      </c>
      <c r="F124" s="35">
        <f t="shared" si="35"/>
        <v>232814.40000000002</v>
      </c>
      <c r="G124" s="35">
        <f t="shared" si="32"/>
        <v>182814.40000000002</v>
      </c>
      <c r="H124" s="157">
        <f t="shared" si="33"/>
        <v>0.43</v>
      </c>
      <c r="I124" s="158">
        <f t="shared" si="22"/>
        <v>943.32230400000014</v>
      </c>
      <c r="J124" s="161">
        <f t="shared" si="23"/>
        <v>36.28162707692308</v>
      </c>
      <c r="K124" s="92" t="s">
        <v>400</v>
      </c>
      <c r="L124" s="274">
        <f t="shared" si="24"/>
        <v>10</v>
      </c>
      <c r="M124" s="43">
        <v>53</v>
      </c>
      <c r="N124" s="160">
        <f t="shared" si="26"/>
        <v>0.23</v>
      </c>
      <c r="O124" s="159">
        <f t="shared" si="27"/>
        <v>1.0615384615384615</v>
      </c>
      <c r="P124" s="275">
        <v>1</v>
      </c>
      <c r="Q124" s="158">
        <f t="shared" si="31"/>
        <v>0.5</v>
      </c>
      <c r="R124" s="159">
        <f t="shared" si="30"/>
        <v>0.23076923076923078</v>
      </c>
      <c r="S124" s="97">
        <f t="shared" si="34"/>
        <v>37.573934769230775</v>
      </c>
      <c r="T124" s="40">
        <f t="shared" si="28"/>
        <v>976.92230400000017</v>
      </c>
    </row>
    <row r="125" spans="2:20" x14ac:dyDescent="0.25">
      <c r="B125" s="1">
        <f>+fulltime!B113</f>
        <v>473</v>
      </c>
      <c r="C125" s="156">
        <f>+fulltime!C113</f>
        <v>28.58</v>
      </c>
      <c r="D125" s="35">
        <f t="shared" si="18"/>
        <v>59446.399999999994</v>
      </c>
      <c r="E125" s="43">
        <f>+healthpension!F116</f>
        <v>47</v>
      </c>
      <c r="F125" s="35">
        <f t="shared" si="35"/>
        <v>178339.19999999998</v>
      </c>
      <c r="G125" s="35">
        <f t="shared" si="32"/>
        <v>128339.19999999998</v>
      </c>
      <c r="H125" s="157">
        <f t="shared" si="33"/>
        <v>0.15</v>
      </c>
      <c r="I125" s="158">
        <f t="shared" si="22"/>
        <v>231.01055999999994</v>
      </c>
      <c r="J125" s="161">
        <f t="shared" si="23"/>
        <v>8.8850215384615367</v>
      </c>
      <c r="K125" s="92" t="s">
        <v>394</v>
      </c>
      <c r="L125" s="274">
        <f t="shared" si="24"/>
        <v>10</v>
      </c>
      <c r="M125" s="43">
        <v>50</v>
      </c>
      <c r="N125" s="160">
        <f t="shared" si="26"/>
        <v>0.23</v>
      </c>
      <c r="O125" s="159">
        <f t="shared" si="27"/>
        <v>1.0615384615384615</v>
      </c>
      <c r="P125" s="275">
        <v>2</v>
      </c>
      <c r="Q125" s="158">
        <f t="shared" si="31"/>
        <v>1</v>
      </c>
      <c r="R125" s="159">
        <f t="shared" si="30"/>
        <v>0.46153846153846156</v>
      </c>
      <c r="S125" s="97">
        <f t="shared" si="34"/>
        <v>10.40809846153846</v>
      </c>
      <c r="T125" s="40">
        <f t="shared" si="28"/>
        <v>270.61055999999996</v>
      </c>
    </row>
    <row r="126" spans="2:20" x14ac:dyDescent="0.25">
      <c r="B126" s="1">
        <f>+fulltime!B114</f>
        <v>319</v>
      </c>
      <c r="C126" s="156">
        <f>+fulltime!C114</f>
        <v>45.79</v>
      </c>
      <c r="D126" s="35">
        <f t="shared" si="18"/>
        <v>95243.199999999997</v>
      </c>
      <c r="E126" s="43">
        <f>+healthpension!F117</f>
        <v>60</v>
      </c>
      <c r="F126" s="35">
        <f t="shared" si="35"/>
        <v>285729.59999999998</v>
      </c>
      <c r="G126" s="35">
        <f t="shared" si="32"/>
        <v>235729.59999999998</v>
      </c>
      <c r="H126" s="157">
        <f t="shared" si="33"/>
        <v>0.66</v>
      </c>
      <c r="I126" s="158">
        <f t="shared" si="22"/>
        <v>1866.9784319999999</v>
      </c>
      <c r="J126" s="161">
        <f t="shared" si="23"/>
        <v>71.806862769230762</v>
      </c>
      <c r="K126" s="92" t="s">
        <v>401</v>
      </c>
      <c r="L126" s="274">
        <f t="shared" si="24"/>
        <v>10</v>
      </c>
      <c r="M126" s="43">
        <v>58</v>
      </c>
      <c r="N126" s="160">
        <f t="shared" si="26"/>
        <v>0.43</v>
      </c>
      <c r="O126" s="159">
        <f t="shared" si="27"/>
        <v>1.9846153846153844</v>
      </c>
      <c r="P126" s="275"/>
      <c r="Q126" s="158">
        <f t="shared" si="31"/>
        <v>0</v>
      </c>
      <c r="R126" s="159">
        <f t="shared" si="30"/>
        <v>0</v>
      </c>
      <c r="S126" s="97">
        <f t="shared" si="34"/>
        <v>73.791478153846143</v>
      </c>
      <c r="T126" s="40">
        <f t="shared" si="28"/>
        <v>1918.5784319999998</v>
      </c>
    </row>
    <row r="127" spans="2:20" x14ac:dyDescent="0.25">
      <c r="B127" s="1">
        <f>+fulltime!B115</f>
        <v>246</v>
      </c>
      <c r="C127" s="156">
        <f>+fulltime!C115</f>
        <v>23.98</v>
      </c>
      <c r="D127" s="35">
        <f t="shared" si="18"/>
        <v>49878.400000000001</v>
      </c>
      <c r="E127" s="43">
        <f>+healthpension!F118</f>
        <v>62</v>
      </c>
      <c r="F127" s="35">
        <f t="shared" si="35"/>
        <v>149635.20000000001</v>
      </c>
      <c r="G127" s="35">
        <f t="shared" si="32"/>
        <v>99635.200000000012</v>
      </c>
      <c r="H127" s="157">
        <f t="shared" si="33"/>
        <v>0.66</v>
      </c>
      <c r="I127" s="158">
        <f t="shared" si="22"/>
        <v>789.11078400000019</v>
      </c>
      <c r="J127" s="161">
        <f t="shared" si="23"/>
        <v>30.350414769230778</v>
      </c>
      <c r="K127" s="92" t="s">
        <v>399</v>
      </c>
      <c r="L127" s="274">
        <f t="shared" si="24"/>
        <v>10</v>
      </c>
      <c r="M127" s="43">
        <v>61</v>
      </c>
      <c r="N127" s="160">
        <f t="shared" si="26"/>
        <v>0.66</v>
      </c>
      <c r="O127" s="159">
        <f t="shared" si="27"/>
        <v>3.0461538461538464</v>
      </c>
      <c r="P127" s="275"/>
      <c r="Q127" s="158">
        <f t="shared" si="31"/>
        <v>0</v>
      </c>
      <c r="R127" s="159">
        <f t="shared" si="30"/>
        <v>0</v>
      </c>
      <c r="S127" s="97">
        <f t="shared" si="34"/>
        <v>33.396568615384624</v>
      </c>
      <c r="T127" s="40">
        <f t="shared" si="28"/>
        <v>868.31078400000024</v>
      </c>
    </row>
    <row r="128" spans="2:20" x14ac:dyDescent="0.25">
      <c r="B128" s="1">
        <f>+fulltime!B116</f>
        <v>496</v>
      </c>
      <c r="C128" s="156">
        <f>+fulltime!C116</f>
        <v>36.299999999999997</v>
      </c>
      <c r="D128" s="35">
        <f t="shared" si="18"/>
        <v>75504</v>
      </c>
      <c r="E128" s="43">
        <f>+healthpension!F119</f>
        <v>53</v>
      </c>
      <c r="F128" s="35">
        <f t="shared" si="35"/>
        <v>226512</v>
      </c>
      <c r="G128" s="35">
        <f t="shared" si="32"/>
        <v>176512</v>
      </c>
      <c r="H128" s="157">
        <f t="shared" si="33"/>
        <v>0.23</v>
      </c>
      <c r="I128" s="158">
        <f t="shared" si="22"/>
        <v>487.17312000000004</v>
      </c>
      <c r="J128" s="161">
        <f t="shared" si="23"/>
        <v>18.737427692307694</v>
      </c>
      <c r="K128" s="92" t="s">
        <v>387</v>
      </c>
      <c r="L128" s="274">
        <f t="shared" si="24"/>
        <v>10</v>
      </c>
      <c r="M128" s="43">
        <v>51</v>
      </c>
      <c r="N128" s="160">
        <f t="shared" si="26"/>
        <v>0.23</v>
      </c>
      <c r="O128" s="159">
        <f t="shared" si="27"/>
        <v>1.0615384615384615</v>
      </c>
      <c r="P128" s="275">
        <v>1</v>
      </c>
      <c r="Q128" s="158">
        <f t="shared" si="31"/>
        <v>0.5</v>
      </c>
      <c r="R128" s="159">
        <f t="shared" si="30"/>
        <v>0.23076923076923078</v>
      </c>
      <c r="S128" s="97">
        <f t="shared" si="34"/>
        <v>20.029735384615385</v>
      </c>
      <c r="T128" s="40">
        <f t="shared" si="28"/>
        <v>520.77312000000006</v>
      </c>
    </row>
    <row r="129" spans="2:20" x14ac:dyDescent="0.25">
      <c r="B129" s="1">
        <f>+fulltime!B117</f>
        <v>396</v>
      </c>
      <c r="C129" s="156">
        <f>+fulltime!C117</f>
        <v>31.93</v>
      </c>
      <c r="D129" s="35">
        <f t="shared" si="18"/>
        <v>66414.399999999994</v>
      </c>
      <c r="E129" s="43">
        <f>+healthpension!F120</f>
        <v>57</v>
      </c>
      <c r="F129" s="35">
        <f t="shared" si="35"/>
        <v>199243.19999999998</v>
      </c>
      <c r="G129" s="35">
        <f t="shared" si="32"/>
        <v>149243.19999999998</v>
      </c>
      <c r="H129" s="157">
        <f t="shared" si="33"/>
        <v>0.43</v>
      </c>
      <c r="I129" s="158">
        <f t="shared" si="22"/>
        <v>770.09491199999979</v>
      </c>
      <c r="J129" s="161">
        <f t="shared" si="23"/>
        <v>29.619035076923069</v>
      </c>
      <c r="K129" s="92" t="s">
        <v>402</v>
      </c>
      <c r="L129" s="274">
        <f t="shared" si="24"/>
        <v>10</v>
      </c>
      <c r="M129" s="43">
        <v>55</v>
      </c>
      <c r="N129" s="160">
        <f t="shared" si="26"/>
        <v>0.43</v>
      </c>
      <c r="O129" s="159">
        <f t="shared" si="27"/>
        <v>1.9846153846153844</v>
      </c>
      <c r="P129" s="275"/>
      <c r="Q129" s="158">
        <f t="shared" si="31"/>
        <v>0</v>
      </c>
      <c r="R129" s="159">
        <f t="shared" si="30"/>
        <v>0</v>
      </c>
      <c r="S129" s="97">
        <f t="shared" si="34"/>
        <v>31.603650461538454</v>
      </c>
      <c r="T129" s="40">
        <f t="shared" si="28"/>
        <v>821.69491199999982</v>
      </c>
    </row>
    <row r="130" spans="2:20" x14ac:dyDescent="0.25">
      <c r="B130" s="1">
        <f>+fulltime!B118</f>
        <v>352</v>
      </c>
      <c r="C130" s="156">
        <f>+fulltime!C118</f>
        <v>25.7</v>
      </c>
      <c r="D130" s="35">
        <f t="shared" si="18"/>
        <v>53456</v>
      </c>
      <c r="E130" s="43">
        <f>+healthpension!F121</f>
        <v>50</v>
      </c>
      <c r="F130" s="35">
        <f t="shared" si="35"/>
        <v>160368</v>
      </c>
      <c r="G130" s="35">
        <f t="shared" si="32"/>
        <v>110368</v>
      </c>
      <c r="H130" s="157">
        <f t="shared" si="33"/>
        <v>0.23</v>
      </c>
      <c r="I130" s="158">
        <f t="shared" si="22"/>
        <v>304.61568</v>
      </c>
      <c r="J130" s="161">
        <f t="shared" si="23"/>
        <v>11.715987692307692</v>
      </c>
      <c r="K130" s="92" t="s">
        <v>403</v>
      </c>
      <c r="L130" s="274">
        <f t="shared" si="24"/>
        <v>10</v>
      </c>
      <c r="M130" s="43">
        <v>47</v>
      </c>
      <c r="N130" s="160">
        <f t="shared" si="26"/>
        <v>0.15</v>
      </c>
      <c r="O130" s="159">
        <f t="shared" si="27"/>
        <v>0.69230769230769229</v>
      </c>
      <c r="P130" s="275">
        <v>2</v>
      </c>
      <c r="Q130" s="158">
        <f t="shared" si="31"/>
        <v>1</v>
      </c>
      <c r="R130" s="159">
        <f t="shared" si="30"/>
        <v>0.46153846153846156</v>
      </c>
      <c r="S130" s="97">
        <f t="shared" si="34"/>
        <v>12.869833846153846</v>
      </c>
      <c r="T130" s="40">
        <f t="shared" si="28"/>
        <v>334.61568</v>
      </c>
    </row>
    <row r="131" spans="2:20" x14ac:dyDescent="0.25">
      <c r="B131" s="1">
        <f>+fulltime!B119</f>
        <v>498</v>
      </c>
      <c r="C131" s="156">
        <f>+fulltime!C119</f>
        <v>31.93</v>
      </c>
      <c r="D131" s="35">
        <f t="shared" si="18"/>
        <v>66414.399999999994</v>
      </c>
      <c r="E131" s="43">
        <f>+healthpension!F122</f>
        <v>52</v>
      </c>
      <c r="F131" s="35">
        <f t="shared" si="35"/>
        <v>199243.19999999998</v>
      </c>
      <c r="G131" s="35">
        <f t="shared" si="32"/>
        <v>149243.19999999998</v>
      </c>
      <c r="H131" s="157">
        <f t="shared" si="33"/>
        <v>0.23</v>
      </c>
      <c r="I131" s="158">
        <f t="shared" si="22"/>
        <v>411.91123199999998</v>
      </c>
      <c r="J131" s="161">
        <f t="shared" si="23"/>
        <v>15.842739692307692</v>
      </c>
      <c r="K131" s="92" t="s">
        <v>404</v>
      </c>
      <c r="L131" s="274">
        <f t="shared" si="24"/>
        <v>10</v>
      </c>
      <c r="M131" s="43">
        <v>52</v>
      </c>
      <c r="N131" s="160">
        <f t="shared" si="26"/>
        <v>0.23</v>
      </c>
      <c r="O131" s="159">
        <f t="shared" si="27"/>
        <v>1.0615384615384615</v>
      </c>
      <c r="P131" s="275">
        <v>1</v>
      </c>
      <c r="Q131" s="158">
        <f t="shared" si="31"/>
        <v>0.5</v>
      </c>
      <c r="R131" s="159">
        <f t="shared" si="30"/>
        <v>0.23076923076923078</v>
      </c>
      <c r="S131" s="97">
        <f t="shared" si="34"/>
        <v>17.135047384615383</v>
      </c>
      <c r="T131" s="40">
        <f t="shared" si="28"/>
        <v>445.51123199999995</v>
      </c>
    </row>
    <row r="132" spans="2:20" x14ac:dyDescent="0.25">
      <c r="B132" s="1">
        <f>+fulltime!B120</f>
        <v>180</v>
      </c>
      <c r="C132" s="156">
        <f>+fulltime!C120</f>
        <v>32.47</v>
      </c>
      <c r="D132" s="35">
        <f t="shared" si="18"/>
        <v>67537.599999999991</v>
      </c>
      <c r="E132" s="43">
        <f>+healthpension!F123</f>
        <v>62</v>
      </c>
      <c r="F132" s="35">
        <f t="shared" si="35"/>
        <v>202612.8</v>
      </c>
      <c r="G132" s="35">
        <f t="shared" si="32"/>
        <v>152612.79999999999</v>
      </c>
      <c r="H132" s="157">
        <f t="shared" si="33"/>
        <v>0.66</v>
      </c>
      <c r="I132" s="158">
        <f t="shared" si="22"/>
        <v>1208.6933759999999</v>
      </c>
      <c r="J132" s="161">
        <f t="shared" si="23"/>
        <v>46.488206769230764</v>
      </c>
      <c r="K132" s="92" t="s">
        <v>405</v>
      </c>
      <c r="L132" s="274">
        <f t="shared" si="24"/>
        <v>10</v>
      </c>
      <c r="M132" s="43">
        <v>62</v>
      </c>
      <c r="N132" s="160">
        <f t="shared" si="26"/>
        <v>0.66</v>
      </c>
      <c r="O132" s="159">
        <f t="shared" si="27"/>
        <v>3.0461538461538464</v>
      </c>
      <c r="P132" s="275"/>
      <c r="Q132" s="158">
        <f t="shared" si="31"/>
        <v>0</v>
      </c>
      <c r="R132" s="159">
        <f t="shared" si="30"/>
        <v>0</v>
      </c>
      <c r="S132" s="97">
        <f t="shared" si="34"/>
        <v>49.534360615384614</v>
      </c>
      <c r="T132" s="40">
        <f t="shared" si="28"/>
        <v>1287.893376</v>
      </c>
    </row>
    <row r="133" spans="2:20" x14ac:dyDescent="0.25">
      <c r="B133" s="1">
        <f>+fulltime!B121</f>
        <v>422</v>
      </c>
      <c r="C133" s="156">
        <f>+fulltime!C121</f>
        <v>26.43</v>
      </c>
      <c r="D133" s="35">
        <f t="shared" si="18"/>
        <v>54974.400000000001</v>
      </c>
      <c r="E133" s="43">
        <f>+healthpension!F124</f>
        <v>53</v>
      </c>
      <c r="F133" s="35">
        <f t="shared" si="35"/>
        <v>164923.20000000001</v>
      </c>
      <c r="G133" s="35">
        <f t="shared" si="32"/>
        <v>114923.20000000001</v>
      </c>
      <c r="H133" s="157">
        <f t="shared" si="33"/>
        <v>0.23</v>
      </c>
      <c r="I133" s="158">
        <f t="shared" si="22"/>
        <v>317.18803200000002</v>
      </c>
      <c r="J133" s="161">
        <f t="shared" si="23"/>
        <v>12.199539692307694</v>
      </c>
      <c r="K133" s="92"/>
      <c r="L133" s="274" t="str">
        <f t="shared" si="24"/>
        <v/>
      </c>
      <c r="M133" s="43"/>
      <c r="N133" s="160" t="str">
        <f t="shared" si="26"/>
        <v/>
      </c>
      <c r="O133" s="159">
        <f t="shared" si="27"/>
        <v>0</v>
      </c>
      <c r="P133" s="275">
        <v>2</v>
      </c>
      <c r="Q133" s="158">
        <f t="shared" si="31"/>
        <v>1</v>
      </c>
      <c r="R133" s="159">
        <f t="shared" si="30"/>
        <v>0.46153846153846156</v>
      </c>
      <c r="S133" s="97">
        <f t="shared" si="34"/>
        <v>12.661078153846155</v>
      </c>
      <c r="T133" s="40">
        <f t="shared" si="28"/>
        <v>329.18803200000002</v>
      </c>
    </row>
    <row r="134" spans="2:20" x14ac:dyDescent="0.25">
      <c r="B134" s="1">
        <f>+fulltime!B122</f>
        <v>657</v>
      </c>
      <c r="C134" s="156">
        <f>+fulltime!C122</f>
        <v>58.9</v>
      </c>
      <c r="D134" s="35">
        <f t="shared" si="18"/>
        <v>122512</v>
      </c>
      <c r="E134" s="43">
        <f>+healthpension!F125</f>
        <v>35</v>
      </c>
      <c r="F134" s="35">
        <f t="shared" si="35"/>
        <v>367536</v>
      </c>
      <c r="G134" s="35">
        <f t="shared" si="32"/>
        <v>317536</v>
      </c>
      <c r="H134" s="157">
        <f t="shared" si="33"/>
        <v>0.09</v>
      </c>
      <c r="I134" s="158">
        <f t="shared" si="22"/>
        <v>342.93887999999998</v>
      </c>
      <c r="J134" s="161">
        <f t="shared" si="23"/>
        <v>13.189956923076922</v>
      </c>
      <c r="K134" s="92" t="s">
        <v>406</v>
      </c>
      <c r="L134" s="274">
        <f t="shared" si="24"/>
        <v>10</v>
      </c>
      <c r="M134" s="43">
        <v>33</v>
      </c>
      <c r="N134" s="160">
        <f t="shared" si="26"/>
        <v>0.08</v>
      </c>
      <c r="O134" s="159">
        <f t="shared" si="27"/>
        <v>0.36923076923076931</v>
      </c>
      <c r="P134" s="275">
        <v>2</v>
      </c>
      <c r="Q134" s="158">
        <f t="shared" si="31"/>
        <v>1</v>
      </c>
      <c r="R134" s="159">
        <f t="shared" si="30"/>
        <v>0.46153846153846156</v>
      </c>
      <c r="S134" s="97">
        <f t="shared" si="34"/>
        <v>14.020726153846153</v>
      </c>
      <c r="T134" s="40">
        <f t="shared" si="28"/>
        <v>364.53888000000001</v>
      </c>
    </row>
    <row r="135" spans="2:20" x14ac:dyDescent="0.25">
      <c r="B135" s="1">
        <f>+fulltime!B123</f>
        <v>318</v>
      </c>
      <c r="C135" s="156">
        <f>+fulltime!C123</f>
        <v>37.130000000000003</v>
      </c>
      <c r="D135" s="35">
        <f t="shared" si="18"/>
        <v>77230.400000000009</v>
      </c>
      <c r="E135" s="43">
        <f>+healthpension!F126</f>
        <v>56</v>
      </c>
      <c r="F135" s="35">
        <f t="shared" si="35"/>
        <v>231691.2</v>
      </c>
      <c r="G135" s="35">
        <f t="shared" si="32"/>
        <v>181691.2</v>
      </c>
      <c r="H135" s="157">
        <f t="shared" si="33"/>
        <v>0.43</v>
      </c>
      <c r="I135" s="158">
        <f t="shared" si="22"/>
        <v>937.52659200000005</v>
      </c>
      <c r="J135" s="161">
        <f t="shared" si="23"/>
        <v>36.058715076923079</v>
      </c>
      <c r="K135" s="92" t="s">
        <v>407</v>
      </c>
      <c r="L135" s="274">
        <f t="shared" si="24"/>
        <v>10</v>
      </c>
      <c r="M135" s="43">
        <v>52</v>
      </c>
      <c r="N135" s="160">
        <f t="shared" si="26"/>
        <v>0.23</v>
      </c>
      <c r="O135" s="159">
        <f t="shared" si="27"/>
        <v>1.0615384615384615</v>
      </c>
      <c r="P135" s="275"/>
      <c r="Q135" s="158">
        <f t="shared" si="31"/>
        <v>0</v>
      </c>
      <c r="R135" s="159">
        <f t="shared" si="30"/>
        <v>0</v>
      </c>
      <c r="S135" s="97">
        <f t="shared" si="34"/>
        <v>37.12025353846154</v>
      </c>
      <c r="T135" s="40">
        <f t="shared" si="28"/>
        <v>965.12659200000007</v>
      </c>
    </row>
    <row r="136" spans="2:20" x14ac:dyDescent="0.25">
      <c r="B136" s="1">
        <f>+fulltime!B124</f>
        <v>417</v>
      </c>
      <c r="C136" s="156">
        <f>+fulltime!C124</f>
        <v>31.7</v>
      </c>
      <c r="D136" s="35">
        <f t="shared" si="18"/>
        <v>65936</v>
      </c>
      <c r="E136" s="43">
        <f>+healthpension!F127</f>
        <v>60</v>
      </c>
      <c r="F136" s="35">
        <f t="shared" si="35"/>
        <v>197808</v>
      </c>
      <c r="G136" s="35">
        <f t="shared" si="32"/>
        <v>147808</v>
      </c>
      <c r="H136" s="157">
        <f t="shared" si="33"/>
        <v>0.66</v>
      </c>
      <c r="I136" s="158">
        <f t="shared" si="22"/>
        <v>1170.6393600000001</v>
      </c>
      <c r="J136" s="161">
        <f t="shared" si="23"/>
        <v>45.024590769230777</v>
      </c>
      <c r="K136" s="92" t="s">
        <v>408</v>
      </c>
      <c r="L136" s="274">
        <f t="shared" si="24"/>
        <v>10</v>
      </c>
      <c r="M136" s="43">
        <v>54</v>
      </c>
      <c r="N136" s="160">
        <f t="shared" si="26"/>
        <v>0.23</v>
      </c>
      <c r="O136" s="159">
        <f t="shared" si="27"/>
        <v>1.0615384615384615</v>
      </c>
      <c r="P136" s="275"/>
      <c r="Q136" s="158">
        <f t="shared" si="31"/>
        <v>0</v>
      </c>
      <c r="R136" s="159">
        <f t="shared" si="30"/>
        <v>0</v>
      </c>
      <c r="S136" s="97">
        <f t="shared" si="34"/>
        <v>46.086129230769238</v>
      </c>
      <c r="T136" s="40">
        <f t="shared" si="28"/>
        <v>1198.2393600000003</v>
      </c>
    </row>
    <row r="137" spans="2:20" x14ac:dyDescent="0.25">
      <c r="B137" s="1">
        <f>+fulltime!B125</f>
        <v>656</v>
      </c>
      <c r="C137" s="156">
        <f>+fulltime!C125</f>
        <v>132.21</v>
      </c>
      <c r="D137" s="35">
        <f t="shared" si="18"/>
        <v>274996.8</v>
      </c>
      <c r="E137" s="43">
        <f>+healthpension!F128</f>
        <v>53</v>
      </c>
      <c r="F137" s="35">
        <f t="shared" si="35"/>
        <v>824990.39999999991</v>
      </c>
      <c r="G137" s="35">
        <f t="shared" si="32"/>
        <v>774990.39999999991</v>
      </c>
      <c r="H137" s="157">
        <f t="shared" si="33"/>
        <v>0.23</v>
      </c>
      <c r="I137" s="158">
        <f t="shared" si="22"/>
        <v>2138.9735039999996</v>
      </c>
      <c r="J137" s="161">
        <f t="shared" si="23"/>
        <v>82.268211692307673</v>
      </c>
      <c r="K137" s="92" t="s">
        <v>409</v>
      </c>
      <c r="L137" s="274">
        <f t="shared" si="24"/>
        <v>10</v>
      </c>
      <c r="M137" s="43">
        <v>53</v>
      </c>
      <c r="N137" s="160">
        <f t="shared" si="26"/>
        <v>0.23</v>
      </c>
      <c r="O137" s="159">
        <f t="shared" si="27"/>
        <v>1.0615384615384615</v>
      </c>
      <c r="P137" s="275">
        <v>4</v>
      </c>
      <c r="Q137" s="158">
        <f t="shared" si="31"/>
        <v>2</v>
      </c>
      <c r="R137" s="159">
        <f t="shared" si="30"/>
        <v>0.92307692307692313</v>
      </c>
      <c r="S137" s="97">
        <f t="shared" si="34"/>
        <v>84.252827076923055</v>
      </c>
      <c r="T137" s="40">
        <f t="shared" si="28"/>
        <v>2190.5735039999995</v>
      </c>
    </row>
    <row r="138" spans="2:20" x14ac:dyDescent="0.25">
      <c r="B138" s="1">
        <f>+fulltime!B126</f>
        <v>388</v>
      </c>
      <c r="C138" s="156">
        <f>+fulltime!C126</f>
        <v>26.65</v>
      </c>
      <c r="D138" s="35">
        <f t="shared" si="18"/>
        <v>55432</v>
      </c>
      <c r="E138" s="43">
        <f>+healthpension!F129</f>
        <v>53</v>
      </c>
      <c r="F138" s="35">
        <f t="shared" si="35"/>
        <v>166296</v>
      </c>
      <c r="G138" s="35">
        <f t="shared" si="32"/>
        <v>116296</v>
      </c>
      <c r="H138" s="157">
        <f t="shared" si="33"/>
        <v>0.23</v>
      </c>
      <c r="I138" s="158">
        <f t="shared" si="22"/>
        <v>320.97696000000002</v>
      </c>
      <c r="J138" s="161">
        <f t="shared" si="23"/>
        <v>12.345267692307694</v>
      </c>
      <c r="K138" s="92" t="s">
        <v>402</v>
      </c>
      <c r="L138" s="274">
        <f t="shared" si="24"/>
        <v>10</v>
      </c>
      <c r="M138" s="43">
        <v>52</v>
      </c>
      <c r="N138" s="160">
        <f t="shared" si="26"/>
        <v>0.23</v>
      </c>
      <c r="O138" s="159">
        <f t="shared" si="27"/>
        <v>1.0615384615384615</v>
      </c>
      <c r="P138" s="275">
        <v>0</v>
      </c>
      <c r="Q138" s="158">
        <f t="shared" si="31"/>
        <v>0</v>
      </c>
      <c r="R138" s="159">
        <f t="shared" si="30"/>
        <v>0</v>
      </c>
      <c r="S138" s="97">
        <f t="shared" si="34"/>
        <v>13.406806153846155</v>
      </c>
      <c r="T138" s="40">
        <f t="shared" si="28"/>
        <v>348.57696000000004</v>
      </c>
    </row>
    <row r="139" spans="2:20" x14ac:dyDescent="0.25">
      <c r="B139" s="1">
        <f>+fulltime!B127</f>
        <v>337</v>
      </c>
      <c r="C139" s="156">
        <f>+fulltime!C127</f>
        <v>31.93</v>
      </c>
      <c r="D139" s="35">
        <f t="shared" si="18"/>
        <v>66414.399999999994</v>
      </c>
      <c r="E139" s="43">
        <f>+healthpension!F130</f>
        <v>52</v>
      </c>
      <c r="F139" s="35">
        <f t="shared" si="35"/>
        <v>199243.19999999998</v>
      </c>
      <c r="G139" s="35">
        <f t="shared" si="32"/>
        <v>149243.19999999998</v>
      </c>
      <c r="H139" s="157">
        <f t="shared" si="33"/>
        <v>0.23</v>
      </c>
      <c r="I139" s="158">
        <f t="shared" si="22"/>
        <v>411.91123199999998</v>
      </c>
      <c r="J139" s="161">
        <f t="shared" si="23"/>
        <v>15.842739692307692</v>
      </c>
      <c r="K139" s="92" t="s">
        <v>410</v>
      </c>
      <c r="L139" s="274">
        <f t="shared" si="24"/>
        <v>10</v>
      </c>
      <c r="M139" s="43">
        <v>51</v>
      </c>
      <c r="N139" s="160">
        <f t="shared" si="26"/>
        <v>0.23</v>
      </c>
      <c r="O139" s="159">
        <f t="shared" si="27"/>
        <v>1.0615384615384615</v>
      </c>
      <c r="P139" s="275">
        <v>1</v>
      </c>
      <c r="Q139" s="158">
        <f t="shared" si="31"/>
        <v>0.5</v>
      </c>
      <c r="R139" s="159">
        <f t="shared" si="30"/>
        <v>0.23076923076923078</v>
      </c>
      <c r="S139" s="97">
        <f t="shared" si="34"/>
        <v>17.135047384615383</v>
      </c>
      <c r="T139" s="40">
        <f t="shared" si="28"/>
        <v>445.51123199999995</v>
      </c>
    </row>
    <row r="140" spans="2:20" x14ac:dyDescent="0.25">
      <c r="B140" s="1">
        <f>+fulltime!B128</f>
        <v>665</v>
      </c>
      <c r="C140" s="156">
        <f>+fulltime!C128</f>
        <v>26.28</v>
      </c>
      <c r="D140" s="35">
        <f t="shared" si="18"/>
        <v>54662.400000000001</v>
      </c>
      <c r="E140" s="43">
        <f>+healthpension!F131</f>
        <v>38</v>
      </c>
      <c r="F140" s="35">
        <f t="shared" si="35"/>
        <v>163987.20000000001</v>
      </c>
      <c r="G140" s="35">
        <f t="shared" si="32"/>
        <v>113987.20000000001</v>
      </c>
      <c r="H140" s="157">
        <f t="shared" si="33"/>
        <v>0.09</v>
      </c>
      <c r="I140" s="158">
        <f t="shared" si="22"/>
        <v>123.106176</v>
      </c>
      <c r="J140" s="161">
        <f t="shared" si="23"/>
        <v>4.7348529230769234</v>
      </c>
      <c r="K140" s="92" t="s">
        <v>411</v>
      </c>
      <c r="L140" s="274">
        <f t="shared" si="24"/>
        <v>10</v>
      </c>
      <c r="M140" s="43">
        <v>38</v>
      </c>
      <c r="N140" s="160">
        <f t="shared" si="26"/>
        <v>0.09</v>
      </c>
      <c r="O140" s="159">
        <f t="shared" si="27"/>
        <v>0.41538461538461535</v>
      </c>
      <c r="P140" s="275">
        <v>2</v>
      </c>
      <c r="Q140" s="158">
        <f t="shared" si="31"/>
        <v>1</v>
      </c>
      <c r="R140" s="159">
        <f t="shared" si="30"/>
        <v>0.46153846153846156</v>
      </c>
      <c r="S140" s="97">
        <f t="shared" si="34"/>
        <v>5.6117760000000008</v>
      </c>
      <c r="T140" s="40">
        <f t="shared" si="28"/>
        <v>145.90617600000002</v>
      </c>
    </row>
    <row r="141" spans="2:20" x14ac:dyDescent="0.25">
      <c r="B141" s="1">
        <f>+fulltime!B129</f>
        <v>677</v>
      </c>
      <c r="C141" s="156">
        <f>+fulltime!C129</f>
        <v>19.420000000000002</v>
      </c>
      <c r="D141" s="35">
        <f t="shared" si="18"/>
        <v>40393.600000000006</v>
      </c>
      <c r="E141" s="43">
        <f>+healthpension!F132</f>
        <v>27</v>
      </c>
      <c r="F141" s="35">
        <f t="shared" si="35"/>
        <v>121180.80000000002</v>
      </c>
      <c r="G141" s="35">
        <f t="shared" si="32"/>
        <v>71180.800000000017</v>
      </c>
      <c r="H141" s="157">
        <f t="shared" si="33"/>
        <v>0.06</v>
      </c>
      <c r="I141" s="158">
        <f t="shared" si="22"/>
        <v>51.25017600000001</v>
      </c>
      <c r="J141" s="161">
        <f t="shared" si="23"/>
        <v>1.9711606153846157</v>
      </c>
      <c r="K141" s="92" t="s">
        <v>412</v>
      </c>
      <c r="L141" s="274">
        <f t="shared" si="24"/>
        <v>10</v>
      </c>
      <c r="M141" s="43">
        <v>29</v>
      </c>
      <c r="N141" s="160">
        <f t="shared" si="26"/>
        <v>0.06</v>
      </c>
      <c r="O141" s="159">
        <f t="shared" si="27"/>
        <v>0.27692307692307688</v>
      </c>
      <c r="P141" s="275"/>
      <c r="Q141" s="158">
        <f t="shared" si="31"/>
        <v>0</v>
      </c>
      <c r="R141" s="159">
        <f t="shared" si="30"/>
        <v>0</v>
      </c>
      <c r="S141" s="97">
        <f t="shared" si="34"/>
        <v>2.2480836923076928</v>
      </c>
      <c r="T141" s="40">
        <f t="shared" si="28"/>
        <v>58.450176000000013</v>
      </c>
    </row>
    <row r="142" spans="2:20" x14ac:dyDescent="0.25">
      <c r="B142" s="1">
        <f>+fulltime!B130</f>
        <v>216</v>
      </c>
      <c r="C142" s="156">
        <f>+fulltime!C130</f>
        <v>71.680000000000007</v>
      </c>
      <c r="D142" s="35">
        <f t="shared" si="18"/>
        <v>149094.40000000002</v>
      </c>
      <c r="E142" s="43">
        <f>+healthpension!F133</f>
        <v>45</v>
      </c>
      <c r="F142" s="35">
        <f t="shared" si="35"/>
        <v>447283.20000000007</v>
      </c>
      <c r="G142" s="35">
        <f t="shared" si="32"/>
        <v>397283.20000000007</v>
      </c>
      <c r="H142" s="157">
        <f t="shared" si="33"/>
        <v>0.15</v>
      </c>
      <c r="I142" s="158">
        <f t="shared" si="22"/>
        <v>715.10976000000005</v>
      </c>
      <c r="J142" s="161">
        <f t="shared" si="23"/>
        <v>27.50422153846154</v>
      </c>
      <c r="K142" s="92"/>
      <c r="L142" s="274" t="str">
        <f t="shared" si="24"/>
        <v/>
      </c>
      <c r="M142" s="43"/>
      <c r="N142" s="160" t="str">
        <f t="shared" si="26"/>
        <v/>
      </c>
      <c r="O142" s="159">
        <f t="shared" si="27"/>
        <v>0</v>
      </c>
      <c r="P142" s="275">
        <v>3</v>
      </c>
      <c r="Q142" s="158">
        <f t="shared" si="31"/>
        <v>1.5</v>
      </c>
      <c r="R142" s="159">
        <f t="shared" si="30"/>
        <v>0.69230769230769229</v>
      </c>
      <c r="S142" s="97">
        <f t="shared" si="34"/>
        <v>28.196529230769233</v>
      </c>
      <c r="T142" s="40">
        <f t="shared" si="28"/>
        <v>733.10976000000005</v>
      </c>
    </row>
    <row r="143" spans="2:20" x14ac:dyDescent="0.25">
      <c r="B143" s="1">
        <f>+fulltime!B131</f>
        <v>618</v>
      </c>
      <c r="C143" s="156">
        <f>+fulltime!C131</f>
        <v>51.93</v>
      </c>
      <c r="D143" s="35">
        <f t="shared" ref="D143:D160" si="36">C143*2080</f>
        <v>108014.39999999999</v>
      </c>
      <c r="E143" s="43">
        <f>+healthpension!F134</f>
        <v>52</v>
      </c>
      <c r="F143" s="35">
        <f t="shared" si="35"/>
        <v>324043.19999999995</v>
      </c>
      <c r="G143" s="35">
        <f t="shared" ref="G143:G161" si="37">F143-50000</f>
        <v>274043.19999999995</v>
      </c>
      <c r="H143" s="157">
        <f t="shared" ref="H143:H161" si="38">VLOOKUP(E143,A$3:B$13,2)</f>
        <v>0.23</v>
      </c>
      <c r="I143" s="158">
        <f t="shared" ref="I143:I160" si="39">G143/1000*H143*12</f>
        <v>756.35923199999991</v>
      </c>
      <c r="J143" s="161">
        <f t="shared" ref="J143:J160" si="40">I143/26</f>
        <v>29.09073969230769</v>
      </c>
      <c r="K143" s="92" t="s">
        <v>413</v>
      </c>
      <c r="L143" s="274">
        <f t="shared" ref="L143:L163" si="41">+IF(K143&lt;&gt;0,10,"")</f>
        <v>10</v>
      </c>
      <c r="M143" s="43">
        <v>50</v>
      </c>
      <c r="N143" s="160">
        <f t="shared" si="26"/>
        <v>0.23</v>
      </c>
      <c r="O143" s="159">
        <f t="shared" si="27"/>
        <v>1.0615384615384615</v>
      </c>
      <c r="P143" s="275">
        <v>2</v>
      </c>
      <c r="Q143" s="158">
        <f t="shared" si="31"/>
        <v>1</v>
      </c>
      <c r="R143" s="159">
        <f t="shared" si="30"/>
        <v>0.46153846153846156</v>
      </c>
      <c r="S143" s="97">
        <f t="shared" ref="S143:S161" si="42">O143+J143+R143</f>
        <v>30.613816615384611</v>
      </c>
      <c r="T143" s="40">
        <f t="shared" si="28"/>
        <v>795.95923199999993</v>
      </c>
    </row>
    <row r="144" spans="2:20" x14ac:dyDescent="0.25">
      <c r="B144" s="1">
        <f>+fulltime!B132</f>
        <v>659</v>
      </c>
      <c r="C144" s="156">
        <f>+fulltime!C132</f>
        <v>21.01</v>
      </c>
      <c r="D144" s="35">
        <f t="shared" si="36"/>
        <v>43700.800000000003</v>
      </c>
      <c r="E144" s="43">
        <f>+healthpension!F135</f>
        <v>21</v>
      </c>
      <c r="F144" s="35">
        <f t="shared" si="35"/>
        <v>131102.40000000002</v>
      </c>
      <c r="G144" s="35">
        <f t="shared" si="37"/>
        <v>81102.400000000023</v>
      </c>
      <c r="H144" s="157">
        <f t="shared" si="38"/>
        <v>0.05</v>
      </c>
      <c r="I144" s="158">
        <f t="shared" si="39"/>
        <v>48.661440000000013</v>
      </c>
      <c r="J144" s="161">
        <f t="shared" si="40"/>
        <v>1.8715938461538466</v>
      </c>
      <c r="K144" s="92"/>
      <c r="L144" s="274" t="str">
        <f t="shared" si="41"/>
        <v/>
      </c>
      <c r="M144" s="43"/>
      <c r="N144" s="160" t="str">
        <f t="shared" ref="N144:N164" si="43">IF(M144&gt;0,VLOOKUP(M144,A$3:B$13,2),"")</f>
        <v/>
      </c>
      <c r="O144" s="159">
        <f t="shared" ref="O144:O164" si="44">IF(M144&gt;0,((N144*L144)*12)/26,0)</f>
        <v>0</v>
      </c>
      <c r="P144" s="275"/>
      <c r="Q144" s="158">
        <f t="shared" si="31"/>
        <v>0</v>
      </c>
      <c r="R144" s="159">
        <f t="shared" si="30"/>
        <v>0</v>
      </c>
      <c r="S144" s="97">
        <f t="shared" si="42"/>
        <v>1.8715938461538466</v>
      </c>
      <c r="T144" s="40">
        <f t="shared" ref="T144:T160" si="45">S144*26</f>
        <v>48.661440000000013</v>
      </c>
    </row>
    <row r="145" spans="2:20" x14ac:dyDescent="0.25">
      <c r="B145" s="1">
        <f>+fulltime!B133</f>
        <v>259</v>
      </c>
      <c r="C145" s="156">
        <f>+fulltime!C133</f>
        <v>36.619999999999997</v>
      </c>
      <c r="D145" s="35">
        <f t="shared" si="36"/>
        <v>76169.599999999991</v>
      </c>
      <c r="E145" s="43">
        <f>+healthpension!F136</f>
        <v>55</v>
      </c>
      <c r="F145" s="35">
        <f t="shared" si="35"/>
        <v>228508.79999999999</v>
      </c>
      <c r="G145" s="35">
        <f t="shared" si="37"/>
        <v>178508.79999999999</v>
      </c>
      <c r="H145" s="157">
        <f t="shared" si="38"/>
        <v>0.43</v>
      </c>
      <c r="I145" s="158">
        <f t="shared" si="39"/>
        <v>921.1054079999999</v>
      </c>
      <c r="J145" s="161">
        <f t="shared" si="40"/>
        <v>35.427131076923075</v>
      </c>
      <c r="K145" s="92" t="s">
        <v>342</v>
      </c>
      <c r="L145" s="274">
        <f t="shared" si="41"/>
        <v>10</v>
      </c>
      <c r="M145" s="43">
        <v>56</v>
      </c>
      <c r="N145" s="160">
        <f t="shared" si="43"/>
        <v>0.43</v>
      </c>
      <c r="O145" s="159">
        <f t="shared" si="44"/>
        <v>1.9846153846153844</v>
      </c>
      <c r="P145" s="275">
        <v>1</v>
      </c>
      <c r="Q145" s="158">
        <f t="shared" si="31"/>
        <v>0.5</v>
      </c>
      <c r="R145" s="159">
        <f t="shared" si="30"/>
        <v>0.23076923076923078</v>
      </c>
      <c r="S145" s="97">
        <f t="shared" si="42"/>
        <v>37.64251569230769</v>
      </c>
      <c r="T145" s="40">
        <f t="shared" si="45"/>
        <v>978.70540799999992</v>
      </c>
    </row>
    <row r="146" spans="2:20" x14ac:dyDescent="0.25">
      <c r="B146" s="1">
        <f>+fulltime!B134</f>
        <v>661</v>
      </c>
      <c r="C146" s="156">
        <f>+fulltime!C134</f>
        <v>31.92</v>
      </c>
      <c r="D146" s="35">
        <f t="shared" si="36"/>
        <v>66393.600000000006</v>
      </c>
      <c r="E146" s="43">
        <f>+healthpension!F137</f>
        <v>31</v>
      </c>
      <c r="F146" s="35">
        <f t="shared" si="35"/>
        <v>199180.80000000002</v>
      </c>
      <c r="G146" s="35">
        <f t="shared" si="37"/>
        <v>149180.80000000002</v>
      </c>
      <c r="H146" s="157">
        <f t="shared" si="38"/>
        <v>0.08</v>
      </c>
      <c r="I146" s="158">
        <f t="shared" si="39"/>
        <v>143.21356800000001</v>
      </c>
      <c r="J146" s="161">
        <f t="shared" si="40"/>
        <v>5.5082141538461542</v>
      </c>
      <c r="K146" s="92" t="s">
        <v>414</v>
      </c>
      <c r="L146" s="274">
        <f t="shared" si="41"/>
        <v>10</v>
      </c>
      <c r="M146" s="43">
        <v>29</v>
      </c>
      <c r="N146" s="160">
        <f t="shared" si="43"/>
        <v>0.06</v>
      </c>
      <c r="O146" s="159">
        <f t="shared" si="44"/>
        <v>0.27692307692307688</v>
      </c>
      <c r="P146" s="275">
        <v>3</v>
      </c>
      <c r="Q146" s="158">
        <f t="shared" ref="Q146:Q161" si="46">(((P146*10000)/1000))*0.05</f>
        <v>1.5</v>
      </c>
      <c r="R146" s="159">
        <f t="shared" ref="R146:R161" si="47">(Q146*12)/26</f>
        <v>0.69230769230769229</v>
      </c>
      <c r="S146" s="97">
        <f t="shared" si="42"/>
        <v>6.4774449230769235</v>
      </c>
      <c r="T146" s="40">
        <f t="shared" si="45"/>
        <v>168.413568</v>
      </c>
    </row>
    <row r="147" spans="2:20" x14ac:dyDescent="0.25">
      <c r="B147" s="1">
        <f>+fulltime!B135</f>
        <v>218</v>
      </c>
      <c r="C147" s="156">
        <f>+fulltime!C135</f>
        <v>39.01</v>
      </c>
      <c r="D147" s="35">
        <f t="shared" si="36"/>
        <v>81140.800000000003</v>
      </c>
      <c r="E147" s="43">
        <f>+healthpension!F138</f>
        <v>60</v>
      </c>
      <c r="F147" s="35">
        <f t="shared" si="35"/>
        <v>243422.40000000002</v>
      </c>
      <c r="G147" s="35">
        <f t="shared" si="37"/>
        <v>193422.40000000002</v>
      </c>
      <c r="H147" s="157">
        <f t="shared" si="38"/>
        <v>0.66</v>
      </c>
      <c r="I147" s="158">
        <f t="shared" si="39"/>
        <v>1531.9054080000001</v>
      </c>
      <c r="J147" s="161">
        <f t="shared" si="40"/>
        <v>58.919438769230773</v>
      </c>
      <c r="K147" s="92" t="s">
        <v>365</v>
      </c>
      <c r="L147" s="274">
        <f t="shared" si="41"/>
        <v>10</v>
      </c>
      <c r="M147" s="43">
        <v>61</v>
      </c>
      <c r="N147" s="160">
        <f t="shared" si="43"/>
        <v>0.66</v>
      </c>
      <c r="O147" s="159">
        <f t="shared" si="44"/>
        <v>3.0461538461538464</v>
      </c>
      <c r="P147" s="275"/>
      <c r="Q147" s="158">
        <f t="shared" si="46"/>
        <v>0</v>
      </c>
      <c r="R147" s="159">
        <f t="shared" si="47"/>
        <v>0</v>
      </c>
      <c r="S147" s="97">
        <f t="shared" si="42"/>
        <v>61.965592615384622</v>
      </c>
      <c r="T147" s="40">
        <f t="shared" si="45"/>
        <v>1611.1054080000001</v>
      </c>
    </row>
    <row r="148" spans="2:20" x14ac:dyDescent="0.25">
      <c r="B148" s="1">
        <f>+fulltime!B136</f>
        <v>509</v>
      </c>
      <c r="C148" s="156">
        <f>+fulltime!C136</f>
        <v>31.93</v>
      </c>
      <c r="D148" s="35">
        <f t="shared" si="36"/>
        <v>66414.399999999994</v>
      </c>
      <c r="E148" s="43">
        <f>+healthpension!F139</f>
        <v>58</v>
      </c>
      <c r="F148" s="35">
        <f t="shared" si="35"/>
        <v>199243.19999999998</v>
      </c>
      <c r="G148" s="35">
        <f t="shared" si="37"/>
        <v>149243.19999999998</v>
      </c>
      <c r="H148" s="157">
        <f t="shared" si="38"/>
        <v>0.43</v>
      </c>
      <c r="I148" s="158">
        <f t="shared" si="39"/>
        <v>770.09491199999979</v>
      </c>
      <c r="J148" s="161">
        <f t="shared" si="40"/>
        <v>29.619035076923069</v>
      </c>
      <c r="K148" s="92" t="s">
        <v>335</v>
      </c>
      <c r="L148" s="274">
        <f t="shared" si="41"/>
        <v>10</v>
      </c>
      <c r="M148" s="43">
        <v>55</v>
      </c>
      <c r="N148" s="160">
        <f t="shared" si="43"/>
        <v>0.43</v>
      </c>
      <c r="O148" s="159">
        <f t="shared" si="44"/>
        <v>1.9846153846153844</v>
      </c>
      <c r="P148" s="275">
        <v>0</v>
      </c>
      <c r="Q148" s="158">
        <f t="shared" si="46"/>
        <v>0</v>
      </c>
      <c r="R148" s="159">
        <f t="shared" si="47"/>
        <v>0</v>
      </c>
      <c r="S148" s="97">
        <f t="shared" si="42"/>
        <v>31.603650461538454</v>
      </c>
      <c r="T148" s="40">
        <f t="shared" si="45"/>
        <v>821.69491199999982</v>
      </c>
    </row>
    <row r="149" spans="2:20" x14ac:dyDescent="0.25">
      <c r="B149" s="1">
        <f>+fulltime!B137</f>
        <v>178</v>
      </c>
      <c r="C149" s="156">
        <f>+fulltime!C137</f>
        <v>71.540000000000006</v>
      </c>
      <c r="D149" s="35">
        <f t="shared" si="36"/>
        <v>148803.20000000001</v>
      </c>
      <c r="E149" s="43">
        <f>+healthpension!F140</f>
        <v>63</v>
      </c>
      <c r="F149" s="35">
        <f t="shared" si="35"/>
        <v>446409.60000000003</v>
      </c>
      <c r="G149" s="35">
        <f t="shared" si="37"/>
        <v>396409.60000000003</v>
      </c>
      <c r="H149" s="157">
        <f t="shared" si="38"/>
        <v>0.66</v>
      </c>
      <c r="I149" s="158">
        <f t="shared" si="39"/>
        <v>3139.5640320000002</v>
      </c>
      <c r="J149" s="161">
        <f t="shared" si="40"/>
        <v>120.75246276923077</v>
      </c>
      <c r="K149" s="92" t="s">
        <v>415</v>
      </c>
      <c r="L149" s="274">
        <f t="shared" si="41"/>
        <v>10</v>
      </c>
      <c r="M149" s="43">
        <v>63</v>
      </c>
      <c r="N149" s="160">
        <f t="shared" si="43"/>
        <v>0.66</v>
      </c>
      <c r="O149" s="159">
        <f t="shared" si="44"/>
        <v>3.0461538461538464</v>
      </c>
      <c r="P149" s="275"/>
      <c r="Q149" s="158">
        <f t="shared" si="46"/>
        <v>0</v>
      </c>
      <c r="R149" s="159">
        <f t="shared" si="47"/>
        <v>0</v>
      </c>
      <c r="S149" s="97">
        <f t="shared" si="42"/>
        <v>123.79861661538462</v>
      </c>
      <c r="T149" s="40">
        <f t="shared" si="45"/>
        <v>3218.764032</v>
      </c>
    </row>
    <row r="150" spans="2:20" x14ac:dyDescent="0.25">
      <c r="B150" s="1">
        <f>+fulltime!B138</f>
        <v>421</v>
      </c>
      <c r="C150" s="156">
        <f>+fulltime!C138</f>
        <v>32.549999999999997</v>
      </c>
      <c r="D150" s="35">
        <f t="shared" si="36"/>
        <v>67704</v>
      </c>
      <c r="E150" s="43">
        <f>+healthpension!F141</f>
        <v>59</v>
      </c>
      <c r="F150" s="35">
        <f t="shared" si="35"/>
        <v>203112</v>
      </c>
      <c r="G150" s="35">
        <f t="shared" si="37"/>
        <v>153112</v>
      </c>
      <c r="H150" s="157">
        <f t="shared" si="38"/>
        <v>0.43</v>
      </c>
      <c r="I150" s="158">
        <f t="shared" si="39"/>
        <v>790.05791999999997</v>
      </c>
      <c r="J150" s="161">
        <f t="shared" si="40"/>
        <v>30.386843076923075</v>
      </c>
      <c r="K150" s="92" t="s">
        <v>416</v>
      </c>
      <c r="L150" s="274">
        <f t="shared" si="41"/>
        <v>10</v>
      </c>
      <c r="M150" s="43">
        <v>57</v>
      </c>
      <c r="N150" s="160">
        <f t="shared" si="43"/>
        <v>0.43</v>
      </c>
      <c r="O150" s="159">
        <f t="shared" si="44"/>
        <v>1.9846153846153844</v>
      </c>
      <c r="P150" s="275"/>
      <c r="Q150" s="158">
        <f t="shared" si="46"/>
        <v>0</v>
      </c>
      <c r="R150" s="159">
        <f t="shared" si="47"/>
        <v>0</v>
      </c>
      <c r="S150" s="97">
        <f t="shared" si="42"/>
        <v>32.37145846153846</v>
      </c>
      <c r="T150" s="40">
        <f t="shared" si="45"/>
        <v>841.65791999999999</v>
      </c>
    </row>
    <row r="151" spans="2:20" x14ac:dyDescent="0.25">
      <c r="B151" s="1">
        <f>+fulltime!B139</f>
        <v>612</v>
      </c>
      <c r="C151" s="156">
        <f>+fulltime!C139</f>
        <v>33.25</v>
      </c>
      <c r="D151" s="35">
        <f t="shared" si="36"/>
        <v>69160</v>
      </c>
      <c r="E151" s="43">
        <f>+healthpension!F142</f>
        <v>63</v>
      </c>
      <c r="F151" s="35">
        <f t="shared" si="35"/>
        <v>207480</v>
      </c>
      <c r="G151" s="35">
        <f t="shared" si="37"/>
        <v>157480</v>
      </c>
      <c r="H151" s="157">
        <f t="shared" si="38"/>
        <v>0.66</v>
      </c>
      <c r="I151" s="158">
        <f>G151/1000*H151*12</f>
        <v>1247.2416000000001</v>
      </c>
      <c r="J151" s="161">
        <f t="shared" si="40"/>
        <v>47.970830769230773</v>
      </c>
      <c r="K151" s="92" t="s">
        <v>417</v>
      </c>
      <c r="L151" s="274">
        <f t="shared" si="41"/>
        <v>10</v>
      </c>
      <c r="M151" s="43">
        <v>54</v>
      </c>
      <c r="N151" s="160">
        <f t="shared" si="43"/>
        <v>0.23</v>
      </c>
      <c r="O151" s="159">
        <f t="shared" si="44"/>
        <v>1.0615384615384615</v>
      </c>
      <c r="P151" s="275">
        <v>1</v>
      </c>
      <c r="Q151" s="158">
        <f t="shared" si="46"/>
        <v>0.5</v>
      </c>
      <c r="R151" s="159">
        <f t="shared" si="47"/>
        <v>0.23076923076923078</v>
      </c>
      <c r="S151" s="97">
        <f t="shared" si="42"/>
        <v>49.263138461538468</v>
      </c>
      <c r="T151" s="40">
        <f t="shared" si="45"/>
        <v>1280.8416000000002</v>
      </c>
    </row>
    <row r="152" spans="2:20" x14ac:dyDescent="0.25">
      <c r="B152" s="1">
        <f>+fulltime!B140</f>
        <v>642</v>
      </c>
      <c r="C152" s="156">
        <f>+fulltime!C140</f>
        <v>20.86</v>
      </c>
      <c r="D152" s="35">
        <f t="shared" si="36"/>
        <v>43388.799999999996</v>
      </c>
      <c r="E152" s="43">
        <f>+healthpension!F143</f>
        <v>46</v>
      </c>
      <c r="F152" s="35">
        <f t="shared" si="35"/>
        <v>130166.39999999999</v>
      </c>
      <c r="G152" s="35">
        <f t="shared" si="37"/>
        <v>80166.399999999994</v>
      </c>
      <c r="H152" s="157">
        <f t="shared" si="38"/>
        <v>0.15</v>
      </c>
      <c r="I152" s="158">
        <f>G152/1000*H152*12</f>
        <v>144.29951999999997</v>
      </c>
      <c r="J152" s="161">
        <f t="shared" si="40"/>
        <v>5.5499815384615374</v>
      </c>
      <c r="K152" s="92" t="s">
        <v>376</v>
      </c>
      <c r="L152" s="274">
        <f t="shared" si="41"/>
        <v>10</v>
      </c>
      <c r="M152" s="43">
        <v>47</v>
      </c>
      <c r="N152" s="160">
        <f t="shared" si="43"/>
        <v>0.15</v>
      </c>
      <c r="O152" s="159">
        <f t="shared" si="44"/>
        <v>0.69230769230769229</v>
      </c>
      <c r="P152" s="275">
        <v>2</v>
      </c>
      <c r="Q152" s="158">
        <f t="shared" si="46"/>
        <v>1</v>
      </c>
      <c r="R152" s="159">
        <f t="shared" si="47"/>
        <v>0.46153846153846156</v>
      </c>
      <c r="S152" s="97">
        <f t="shared" si="42"/>
        <v>6.7038276923076916</v>
      </c>
      <c r="T152" s="40">
        <f t="shared" si="45"/>
        <v>174.29951999999997</v>
      </c>
    </row>
    <row r="153" spans="2:20" x14ac:dyDescent="0.25">
      <c r="B153" s="1">
        <f>+fulltime!B141</f>
        <v>120</v>
      </c>
      <c r="C153" s="156">
        <f>+fulltime!C141</f>
        <v>26.16</v>
      </c>
      <c r="D153" s="35">
        <f t="shared" si="36"/>
        <v>54412.800000000003</v>
      </c>
      <c r="E153" s="43">
        <f>+healthpension!F144</f>
        <v>60</v>
      </c>
      <c r="F153" s="35">
        <f t="shared" si="35"/>
        <v>163238.40000000002</v>
      </c>
      <c r="G153" s="35">
        <f t="shared" si="37"/>
        <v>113238.40000000002</v>
      </c>
      <c r="H153" s="157">
        <f t="shared" si="38"/>
        <v>0.66</v>
      </c>
      <c r="I153" s="158">
        <f t="shared" si="39"/>
        <v>896.84812800000032</v>
      </c>
      <c r="J153" s="161">
        <f t="shared" si="40"/>
        <v>34.494158769230779</v>
      </c>
      <c r="K153" s="92" t="s">
        <v>418</v>
      </c>
      <c r="L153" s="274">
        <f t="shared" si="41"/>
        <v>10</v>
      </c>
      <c r="M153" s="43">
        <v>56</v>
      </c>
      <c r="N153" s="160">
        <f t="shared" si="43"/>
        <v>0.43</v>
      </c>
      <c r="O153" s="159">
        <f t="shared" si="44"/>
        <v>1.9846153846153844</v>
      </c>
      <c r="P153" s="275"/>
      <c r="Q153" s="158">
        <f>(((P153*10000)/1000))*0.05</f>
        <v>0</v>
      </c>
      <c r="R153" s="159">
        <f>(Q153*12)/26</f>
        <v>0</v>
      </c>
      <c r="S153" s="97">
        <f t="shared" si="42"/>
        <v>36.47877415384616</v>
      </c>
      <c r="T153" s="40">
        <f t="shared" si="45"/>
        <v>948.44812800000022</v>
      </c>
    </row>
    <row r="154" spans="2:20" x14ac:dyDescent="0.25">
      <c r="B154" s="1">
        <f>+fulltime!B142</f>
        <v>663</v>
      </c>
      <c r="C154" s="156">
        <f>+fulltime!C142</f>
        <v>21.01</v>
      </c>
      <c r="D154" s="35">
        <f t="shared" si="36"/>
        <v>43700.800000000003</v>
      </c>
      <c r="E154" s="43">
        <f>+healthpension!F145</f>
        <v>27</v>
      </c>
      <c r="F154" s="35">
        <f t="shared" si="35"/>
        <v>131102.40000000002</v>
      </c>
      <c r="G154" s="35">
        <f t="shared" si="37"/>
        <v>81102.400000000023</v>
      </c>
      <c r="H154" s="157">
        <f t="shared" si="38"/>
        <v>0.06</v>
      </c>
      <c r="I154" s="158">
        <f t="shared" si="39"/>
        <v>58.39372800000001</v>
      </c>
      <c r="J154" s="161">
        <f t="shared" si="40"/>
        <v>2.2459126153846158</v>
      </c>
      <c r="K154" s="92" t="s">
        <v>419</v>
      </c>
      <c r="L154" s="274">
        <f t="shared" si="41"/>
        <v>10</v>
      </c>
      <c r="M154" s="43">
        <v>27</v>
      </c>
      <c r="N154" s="160">
        <f t="shared" si="43"/>
        <v>0.06</v>
      </c>
      <c r="O154" s="159">
        <f t="shared" si="44"/>
        <v>0.27692307692307688</v>
      </c>
      <c r="P154" s="275">
        <v>2</v>
      </c>
      <c r="Q154" s="158">
        <f>(((P154*10000)/1000))*0.05</f>
        <v>1</v>
      </c>
      <c r="R154" s="159">
        <f>(Q154*12)/26</f>
        <v>0.46153846153846156</v>
      </c>
      <c r="S154" s="97">
        <f t="shared" si="42"/>
        <v>2.9843741538461543</v>
      </c>
      <c r="T154" s="40">
        <f>S154*26</f>
        <v>77.593728000000013</v>
      </c>
    </row>
    <row r="155" spans="2:20" x14ac:dyDescent="0.25">
      <c r="B155" s="1">
        <f>+fulltime!B143</f>
        <v>379</v>
      </c>
      <c r="C155" s="156">
        <f>+fulltime!C143</f>
        <v>27.96</v>
      </c>
      <c r="D155" s="35">
        <f t="shared" si="36"/>
        <v>58156.800000000003</v>
      </c>
      <c r="E155" s="43">
        <f>+healthpension!F146</f>
        <v>62</v>
      </c>
      <c r="F155" s="35">
        <f t="shared" si="35"/>
        <v>174470.40000000002</v>
      </c>
      <c r="G155" s="35">
        <f t="shared" si="37"/>
        <v>124470.40000000002</v>
      </c>
      <c r="H155" s="157">
        <f t="shared" si="38"/>
        <v>0.66</v>
      </c>
      <c r="I155" s="158">
        <f t="shared" si="39"/>
        <v>985.80556800000033</v>
      </c>
      <c r="J155" s="161">
        <f t="shared" si="40"/>
        <v>37.915598769230783</v>
      </c>
      <c r="K155" s="92"/>
      <c r="L155" s="274" t="str">
        <f t="shared" si="41"/>
        <v/>
      </c>
      <c r="M155" s="43"/>
      <c r="N155" s="160" t="str">
        <f t="shared" si="43"/>
        <v/>
      </c>
      <c r="O155" s="159">
        <f t="shared" si="44"/>
        <v>0</v>
      </c>
      <c r="P155" s="275"/>
      <c r="Q155" s="158">
        <f t="shared" si="46"/>
        <v>0</v>
      </c>
      <c r="R155" s="159">
        <f t="shared" si="47"/>
        <v>0</v>
      </c>
      <c r="S155" s="97">
        <f t="shared" si="42"/>
        <v>37.915598769230783</v>
      </c>
      <c r="T155" s="40">
        <f t="shared" si="45"/>
        <v>985.80556800000033</v>
      </c>
    </row>
    <row r="156" spans="2:20" x14ac:dyDescent="0.25">
      <c r="B156" s="1">
        <f>+fulltime!B144</f>
        <v>348</v>
      </c>
      <c r="C156" s="156">
        <f>+fulltime!C144</f>
        <v>33.049999999999997</v>
      </c>
      <c r="D156" s="35">
        <f t="shared" si="36"/>
        <v>68744</v>
      </c>
      <c r="E156" s="43">
        <f>+healthpension!F147</f>
        <v>59</v>
      </c>
      <c r="F156" s="35">
        <f t="shared" si="35"/>
        <v>206232</v>
      </c>
      <c r="G156" s="35">
        <f t="shared" si="37"/>
        <v>156232</v>
      </c>
      <c r="H156" s="157">
        <f t="shared" si="38"/>
        <v>0.43</v>
      </c>
      <c r="I156" s="158">
        <f t="shared" si="39"/>
        <v>806.15712000000008</v>
      </c>
      <c r="J156" s="161">
        <f t="shared" si="40"/>
        <v>31.006043076923081</v>
      </c>
      <c r="K156" s="92" t="s">
        <v>364</v>
      </c>
      <c r="L156" s="274">
        <f t="shared" si="41"/>
        <v>10</v>
      </c>
      <c r="M156" s="43">
        <v>61</v>
      </c>
      <c r="N156" s="160">
        <f t="shared" si="43"/>
        <v>0.66</v>
      </c>
      <c r="O156" s="159">
        <f t="shared" si="44"/>
        <v>3.0461538461538464</v>
      </c>
      <c r="P156" s="275">
        <v>1</v>
      </c>
      <c r="Q156" s="158">
        <f t="shared" si="46"/>
        <v>0.5</v>
      </c>
      <c r="R156" s="159">
        <f t="shared" si="47"/>
        <v>0.23076923076923078</v>
      </c>
      <c r="S156" s="97">
        <f t="shared" si="42"/>
        <v>34.282966153846161</v>
      </c>
      <c r="T156" s="40">
        <f t="shared" si="45"/>
        <v>891.35712000000012</v>
      </c>
    </row>
    <row r="157" spans="2:20" x14ac:dyDescent="0.25">
      <c r="B157" s="1">
        <f>+fulltime!B145</f>
        <v>654</v>
      </c>
      <c r="C157" s="156">
        <f>+fulltime!C145</f>
        <v>26.95</v>
      </c>
      <c r="D157" s="35">
        <f t="shared" si="36"/>
        <v>56056</v>
      </c>
      <c r="E157" s="43">
        <f>+healthpension!F148</f>
        <v>22</v>
      </c>
      <c r="F157" s="35">
        <f t="shared" si="35"/>
        <v>168168</v>
      </c>
      <c r="G157" s="35">
        <f t="shared" si="37"/>
        <v>118168</v>
      </c>
      <c r="H157" s="157">
        <f t="shared" si="38"/>
        <v>0.05</v>
      </c>
      <c r="I157" s="158">
        <f t="shared" si="39"/>
        <v>70.900800000000004</v>
      </c>
      <c r="J157" s="161">
        <f t="shared" si="40"/>
        <v>2.7269538461538465</v>
      </c>
      <c r="K157" s="92"/>
      <c r="L157" s="274" t="str">
        <f t="shared" si="41"/>
        <v/>
      </c>
      <c r="M157" s="43"/>
      <c r="N157" s="160" t="str">
        <f t="shared" si="43"/>
        <v/>
      </c>
      <c r="O157" s="159">
        <f t="shared" si="44"/>
        <v>0</v>
      </c>
      <c r="P157" s="275"/>
      <c r="Q157" s="158">
        <f t="shared" si="46"/>
        <v>0</v>
      </c>
      <c r="R157" s="159">
        <f t="shared" si="47"/>
        <v>0</v>
      </c>
      <c r="S157" s="97">
        <f t="shared" si="42"/>
        <v>2.7269538461538465</v>
      </c>
      <c r="T157" s="40">
        <f t="shared" si="45"/>
        <v>70.900800000000004</v>
      </c>
    </row>
    <row r="158" spans="2:20" x14ac:dyDescent="0.25">
      <c r="B158" s="1">
        <f>+fulltime!B146</f>
        <v>146</v>
      </c>
      <c r="C158" s="156">
        <f>+fulltime!C146</f>
        <v>25.44</v>
      </c>
      <c r="D158" s="35">
        <f t="shared" si="36"/>
        <v>52915.200000000004</v>
      </c>
      <c r="E158" s="43">
        <f>+healthpension!F149</f>
        <v>61</v>
      </c>
      <c r="F158" s="35">
        <f t="shared" si="35"/>
        <v>158745.60000000001</v>
      </c>
      <c r="G158" s="35">
        <f t="shared" si="37"/>
        <v>108745.60000000001</v>
      </c>
      <c r="H158" s="157">
        <f t="shared" si="38"/>
        <v>0.66</v>
      </c>
      <c r="I158" s="158">
        <f>G158/1000*H158*12</f>
        <v>861.26515200000006</v>
      </c>
      <c r="J158" s="161">
        <f t="shared" si="40"/>
        <v>33.125582769230775</v>
      </c>
      <c r="K158" s="92" t="s">
        <v>420</v>
      </c>
      <c r="L158" s="274">
        <f t="shared" si="41"/>
        <v>10</v>
      </c>
      <c r="M158" s="43">
        <v>61</v>
      </c>
      <c r="N158" s="160">
        <f t="shared" si="43"/>
        <v>0.66</v>
      </c>
      <c r="O158" s="159">
        <f t="shared" si="44"/>
        <v>3.0461538461538464</v>
      </c>
      <c r="P158" s="275">
        <v>0</v>
      </c>
      <c r="Q158" s="158">
        <f t="shared" si="46"/>
        <v>0</v>
      </c>
      <c r="R158" s="159">
        <f t="shared" si="47"/>
        <v>0</v>
      </c>
      <c r="S158" s="97">
        <f t="shared" si="42"/>
        <v>36.171736615384624</v>
      </c>
      <c r="T158" s="40">
        <f>S158*26</f>
        <v>940.46515200000022</v>
      </c>
    </row>
    <row r="159" spans="2:20" x14ac:dyDescent="0.25">
      <c r="B159" s="1">
        <f>+fulltime!B147</f>
        <v>580</v>
      </c>
      <c r="C159" s="156">
        <f>+fulltime!C147</f>
        <v>25.92</v>
      </c>
      <c r="D159" s="35">
        <f t="shared" si="36"/>
        <v>53913.600000000006</v>
      </c>
      <c r="E159" s="43">
        <f>+healthpension!F150</f>
        <v>39</v>
      </c>
      <c r="F159" s="35">
        <f t="shared" si="35"/>
        <v>161740.80000000002</v>
      </c>
      <c r="G159" s="35">
        <f t="shared" si="37"/>
        <v>111740.80000000002</v>
      </c>
      <c r="H159" s="157">
        <f t="shared" si="38"/>
        <v>0.09</v>
      </c>
      <c r="I159" s="158">
        <f t="shared" si="39"/>
        <v>120.68006400000002</v>
      </c>
      <c r="J159" s="161">
        <f t="shared" si="40"/>
        <v>4.6415409230769233</v>
      </c>
      <c r="K159" s="92" t="s">
        <v>421</v>
      </c>
      <c r="L159" s="274">
        <f t="shared" si="41"/>
        <v>10</v>
      </c>
      <c r="M159" s="43">
        <v>48</v>
      </c>
      <c r="N159" s="160">
        <f t="shared" si="43"/>
        <v>0.15</v>
      </c>
      <c r="O159" s="159">
        <f t="shared" si="44"/>
        <v>0.69230769230769229</v>
      </c>
      <c r="P159" s="275">
        <v>2</v>
      </c>
      <c r="Q159" s="158">
        <f t="shared" si="46"/>
        <v>1</v>
      </c>
      <c r="R159" s="159">
        <f t="shared" si="47"/>
        <v>0.46153846153846156</v>
      </c>
      <c r="S159" s="97">
        <f t="shared" si="42"/>
        <v>5.7953870769230775</v>
      </c>
      <c r="T159" s="40">
        <f t="shared" si="45"/>
        <v>150.68006400000002</v>
      </c>
    </row>
    <row r="160" spans="2:20" x14ac:dyDescent="0.25">
      <c r="B160" s="1">
        <f>+fulltime!B148</f>
        <v>678</v>
      </c>
      <c r="C160" s="156">
        <f>+fulltime!C148</f>
        <v>20.440000000000001</v>
      </c>
      <c r="D160" s="35">
        <f t="shared" si="36"/>
        <v>42515.200000000004</v>
      </c>
      <c r="E160" s="43">
        <f>+healthpension!F151</f>
        <v>26</v>
      </c>
      <c r="F160" s="35">
        <f t="shared" si="35"/>
        <v>127545.60000000001</v>
      </c>
      <c r="G160" s="35">
        <f t="shared" si="37"/>
        <v>77545.600000000006</v>
      </c>
      <c r="H160" s="157">
        <f t="shared" si="38"/>
        <v>0.06</v>
      </c>
      <c r="I160" s="158">
        <f t="shared" si="39"/>
        <v>55.832831999999996</v>
      </c>
      <c r="J160" s="161">
        <f t="shared" si="40"/>
        <v>2.147416615384615</v>
      </c>
      <c r="K160" s="92" t="s">
        <v>416</v>
      </c>
      <c r="L160" s="274">
        <f t="shared" si="41"/>
        <v>10</v>
      </c>
      <c r="M160" s="43">
        <v>25</v>
      </c>
      <c r="N160" s="160">
        <f t="shared" si="43"/>
        <v>0.06</v>
      </c>
      <c r="O160" s="159">
        <f t="shared" si="44"/>
        <v>0.27692307692307688</v>
      </c>
      <c r="P160" s="275">
        <v>1</v>
      </c>
      <c r="Q160" s="158">
        <f t="shared" si="46"/>
        <v>0.5</v>
      </c>
      <c r="R160" s="159">
        <f t="shared" si="47"/>
        <v>0.23076923076923078</v>
      </c>
      <c r="S160" s="97">
        <f t="shared" si="42"/>
        <v>2.6551089230769227</v>
      </c>
      <c r="T160" s="40">
        <f t="shared" si="45"/>
        <v>69.032831999999985</v>
      </c>
    </row>
    <row r="161" spans="1:20" x14ac:dyDescent="0.25">
      <c r="B161" s="1">
        <f>+fulltime!B149</f>
        <v>227</v>
      </c>
      <c r="C161" s="156">
        <f>+fulltime!C149</f>
        <v>33.590000000000003</v>
      </c>
      <c r="D161" s="35">
        <f>C161*2080</f>
        <v>69867.200000000012</v>
      </c>
      <c r="E161" s="43">
        <f>+healthpension!F152</f>
        <v>59</v>
      </c>
      <c r="F161" s="35">
        <f t="shared" si="35"/>
        <v>209601.60000000003</v>
      </c>
      <c r="G161" s="35">
        <f t="shared" si="37"/>
        <v>159601.60000000003</v>
      </c>
      <c r="H161" s="157">
        <f t="shared" si="38"/>
        <v>0.43</v>
      </c>
      <c r="I161" s="158">
        <f>G161/1000*H161*12</f>
        <v>823.54425600000036</v>
      </c>
      <c r="J161" s="161">
        <f>I161/26</f>
        <v>31.674779076923091</v>
      </c>
      <c r="K161" s="92" t="s">
        <v>422</v>
      </c>
      <c r="L161" s="274">
        <f t="shared" si="41"/>
        <v>10</v>
      </c>
      <c r="M161" s="43">
        <v>55</v>
      </c>
      <c r="N161" s="160">
        <f t="shared" si="43"/>
        <v>0.43</v>
      </c>
      <c r="O161" s="159">
        <f t="shared" si="44"/>
        <v>1.9846153846153844</v>
      </c>
      <c r="P161" s="275"/>
      <c r="Q161" s="158">
        <f t="shared" si="46"/>
        <v>0</v>
      </c>
      <c r="R161" s="159">
        <f t="shared" si="47"/>
        <v>0</v>
      </c>
      <c r="S161" s="97">
        <f t="shared" si="42"/>
        <v>33.659394461538476</v>
      </c>
      <c r="T161" s="40">
        <f>S161*26</f>
        <v>875.14425600000038</v>
      </c>
    </row>
    <row r="162" spans="1:20" x14ac:dyDescent="0.25">
      <c r="B162" s="1">
        <f>+fulltime!B150</f>
        <v>662</v>
      </c>
      <c r="C162" s="156">
        <f>+fulltime!C150</f>
        <v>31.92</v>
      </c>
      <c r="D162" s="35">
        <f t="shared" ref="D162:D163" si="48">C162*2080</f>
        <v>66393.600000000006</v>
      </c>
      <c r="E162" s="43">
        <f>+healthpension!F153</f>
        <v>33</v>
      </c>
      <c r="F162" s="35">
        <f t="shared" ref="F162:F164" si="49">D162*3</f>
        <v>199180.80000000002</v>
      </c>
      <c r="G162" s="35">
        <f t="shared" ref="G162:G164" si="50">F162-50000</f>
        <v>149180.80000000002</v>
      </c>
      <c r="H162" s="157">
        <f t="shared" ref="H162:H164" si="51">VLOOKUP(E162,A$3:B$13,2)</f>
        <v>0.08</v>
      </c>
      <c r="I162" s="158">
        <f t="shared" ref="I162:I164" si="52">G162/1000*H162*12</f>
        <v>143.21356800000001</v>
      </c>
      <c r="J162" s="161">
        <f t="shared" ref="J162:J164" si="53">I162/26</f>
        <v>5.5082141538461542</v>
      </c>
      <c r="K162" s="92" t="s">
        <v>423</v>
      </c>
      <c r="L162" s="274">
        <f t="shared" si="41"/>
        <v>10</v>
      </c>
      <c r="M162" s="43">
        <v>31</v>
      </c>
      <c r="N162" s="160">
        <f t="shared" si="43"/>
        <v>0.08</v>
      </c>
      <c r="O162" s="159">
        <f t="shared" si="44"/>
        <v>0.36923076923076931</v>
      </c>
      <c r="P162" s="275">
        <v>2</v>
      </c>
      <c r="Q162" s="158">
        <f t="shared" ref="Q162:Q164" si="54">(((P162*10000)/1000))*0.05</f>
        <v>1</v>
      </c>
      <c r="R162" s="159">
        <f t="shared" ref="R162:R164" si="55">(Q162*12)/26</f>
        <v>0.46153846153846156</v>
      </c>
      <c r="S162" s="97">
        <f t="shared" ref="S162:S163" si="56">O162+J162+R162</f>
        <v>6.3389833846153856</v>
      </c>
      <c r="T162" s="40">
        <f t="shared" ref="T162:T163" si="57">S162*26</f>
        <v>164.81356800000003</v>
      </c>
    </row>
    <row r="163" spans="1:20" x14ac:dyDescent="0.25">
      <c r="B163" s="1">
        <f>+fulltime!B151</f>
        <v>587</v>
      </c>
      <c r="C163" s="156">
        <f>+fulltime!C151</f>
        <v>32.82</v>
      </c>
      <c r="D163" s="35">
        <f t="shared" si="48"/>
        <v>68265.600000000006</v>
      </c>
      <c r="E163" s="43">
        <f>+healthpension!F154</f>
        <v>54</v>
      </c>
      <c r="F163" s="35">
        <f t="shared" si="49"/>
        <v>204796.80000000002</v>
      </c>
      <c r="G163" s="35">
        <f t="shared" si="50"/>
        <v>154796.80000000002</v>
      </c>
      <c r="H163" s="157">
        <f t="shared" si="51"/>
        <v>0.23</v>
      </c>
      <c r="I163" s="158">
        <f t="shared" si="52"/>
        <v>427.23916800000006</v>
      </c>
      <c r="J163" s="161">
        <f t="shared" si="53"/>
        <v>16.432275692307694</v>
      </c>
      <c r="K163" s="92"/>
      <c r="L163" s="274" t="str">
        <f t="shared" si="41"/>
        <v/>
      </c>
      <c r="M163" s="43"/>
      <c r="N163" s="160" t="str">
        <f t="shared" si="43"/>
        <v/>
      </c>
      <c r="O163" s="159">
        <f t="shared" si="44"/>
        <v>0</v>
      </c>
      <c r="P163" s="275"/>
      <c r="Q163" s="158">
        <f t="shared" si="54"/>
        <v>0</v>
      </c>
      <c r="R163" s="159">
        <f t="shared" si="55"/>
        <v>0</v>
      </c>
      <c r="S163" s="97">
        <f t="shared" si="56"/>
        <v>16.432275692307694</v>
      </c>
      <c r="T163" s="40">
        <f t="shared" si="57"/>
        <v>427.23916800000006</v>
      </c>
    </row>
    <row r="164" spans="1:20" x14ac:dyDescent="0.25">
      <c r="B164" s="1">
        <f>+fulltime!B152</f>
        <v>680</v>
      </c>
      <c r="C164" s="156">
        <f>+fulltime!C152</f>
        <v>27.5</v>
      </c>
      <c r="D164" s="35">
        <f>C164*2080</f>
        <v>57200</v>
      </c>
      <c r="E164" s="43">
        <f>+healthpension!F155</f>
        <v>30</v>
      </c>
      <c r="F164" s="35">
        <f t="shared" si="49"/>
        <v>171600</v>
      </c>
      <c r="G164" s="35">
        <f t="shared" si="50"/>
        <v>121600</v>
      </c>
      <c r="H164" s="157">
        <f t="shared" si="51"/>
        <v>0.08</v>
      </c>
      <c r="I164" s="158">
        <f t="shared" si="52"/>
        <v>116.73599999999999</v>
      </c>
      <c r="J164" s="161">
        <f t="shared" si="53"/>
        <v>4.4898461538461536</v>
      </c>
      <c r="K164" s="92" t="s">
        <v>424</v>
      </c>
      <c r="L164" s="274">
        <f>+IF(K164&lt;&gt;0,10,"")</f>
        <v>10</v>
      </c>
      <c r="M164" s="43">
        <v>34</v>
      </c>
      <c r="N164" s="160">
        <f t="shared" si="43"/>
        <v>0.08</v>
      </c>
      <c r="O164" s="159">
        <f t="shared" si="44"/>
        <v>0.36923076923076931</v>
      </c>
      <c r="P164" s="275">
        <v>4</v>
      </c>
      <c r="Q164" s="158">
        <f t="shared" si="54"/>
        <v>2</v>
      </c>
      <c r="R164" s="159">
        <f t="shared" si="55"/>
        <v>0.92307692307692313</v>
      </c>
      <c r="S164" s="97">
        <f>O164+J164+R164</f>
        <v>5.7821538461538466</v>
      </c>
      <c r="T164" s="40">
        <f>S164*26</f>
        <v>150.33600000000001</v>
      </c>
    </row>
    <row r="165" spans="1:20" x14ac:dyDescent="0.25">
      <c r="A165" s="40"/>
      <c r="B165" s="98"/>
      <c r="C165" s="156"/>
      <c r="D165" s="35"/>
      <c r="E165" s="272"/>
      <c r="F165" s="35"/>
      <c r="G165" s="35"/>
      <c r="H165" s="157"/>
      <c r="I165" s="158"/>
      <c r="J165" s="161"/>
      <c r="K165" s="92"/>
      <c r="L165" s="43"/>
      <c r="M165" s="43"/>
      <c r="N165" s="160"/>
      <c r="O165" s="159"/>
      <c r="P165" s="284"/>
      <c r="Q165" s="158"/>
      <c r="R165" s="159"/>
      <c r="S165" s="97"/>
    </row>
    <row r="166" spans="1:20" x14ac:dyDescent="0.25">
      <c r="B166" s="1"/>
      <c r="C166" s="81"/>
      <c r="D166" s="7"/>
      <c r="E166" s="7"/>
      <c r="F166" s="35"/>
      <c r="G166" s="35"/>
      <c r="H166" s="157"/>
      <c r="I166" s="7"/>
      <c r="J166" s="161"/>
      <c r="K166" s="81"/>
      <c r="L166" s="7"/>
      <c r="M166" s="7"/>
      <c r="N166" s="7"/>
      <c r="O166" s="159"/>
      <c r="P166" s="7"/>
      <c r="Q166" s="7"/>
      <c r="R166" s="159"/>
      <c r="S166" s="97"/>
    </row>
    <row r="167" spans="1:20" x14ac:dyDescent="0.25">
      <c r="B167" s="1"/>
      <c r="C167" s="82"/>
      <c r="D167" s="145">
        <f>SUM(D15:D166)</f>
        <v>10515315.200000001</v>
      </c>
      <c r="E167" s="83"/>
      <c r="F167" s="145">
        <f>SUM(F15:F166)</f>
        <v>31545945.599999998</v>
      </c>
      <c r="G167" s="145">
        <f>SUM(G15:G166)</f>
        <v>24045945.599999994</v>
      </c>
      <c r="H167" s="83"/>
      <c r="I167" s="151">
        <f>SUM(I15:I166)</f>
        <v>87063.754368000038</v>
      </c>
      <c r="J167" s="152">
        <f>SUM(J15:J166)</f>
        <v>3348.6059372307677</v>
      </c>
      <c r="K167" s="82"/>
      <c r="L167" s="23"/>
      <c r="M167" s="23"/>
      <c r="N167" s="273">
        <f t="shared" ref="N167:T167" si="58">SUM(N15:N166)</f>
        <v>38.369999999999983</v>
      </c>
      <c r="O167" s="164">
        <f t="shared" si="58"/>
        <v>177.09230769230783</v>
      </c>
      <c r="P167" s="62">
        <f t="shared" si="58"/>
        <v>171</v>
      </c>
      <c r="Q167" s="273">
        <f t="shared" si="58"/>
        <v>85.5</v>
      </c>
      <c r="R167" s="164">
        <f t="shared" si="58"/>
        <v>38.999999999999964</v>
      </c>
      <c r="S167" s="155">
        <f t="shared" si="58"/>
        <v>3564.6982449230763</v>
      </c>
      <c r="T167" s="278">
        <f t="shared" si="58"/>
        <v>92682.154368000061</v>
      </c>
    </row>
    <row r="168" spans="1:20" x14ac:dyDescent="0.25">
      <c r="B168" s="1"/>
      <c r="D168" s="30"/>
      <c r="L168" s="1"/>
      <c r="M168" s="1"/>
      <c r="N168" s="1"/>
      <c r="S168" s="97"/>
    </row>
    <row r="169" spans="1:20" x14ac:dyDescent="0.25">
      <c r="B169" s="1"/>
      <c r="D169" s="30"/>
      <c r="H169" s="37"/>
      <c r="I169" s="67"/>
      <c r="M169" s="1"/>
      <c r="T169" s="40">
        <f>+T167</f>
        <v>92682.154368000061</v>
      </c>
    </row>
    <row r="170" spans="1:20" x14ac:dyDescent="0.25">
      <c r="E170" s="1"/>
      <c r="S170" s="37" t="s">
        <v>253</v>
      </c>
      <c r="T170" s="279">
        <v>7.6499999999999999E-2</v>
      </c>
    </row>
    <row r="171" spans="1:20" x14ac:dyDescent="0.25">
      <c r="E171" s="1"/>
      <c r="S171" s="69" t="s">
        <v>131</v>
      </c>
      <c r="T171" s="40">
        <f>ROUND(T170*T169,0)</f>
        <v>7090</v>
      </c>
    </row>
    <row r="172" spans="1:20" x14ac:dyDescent="0.25">
      <c r="Q172" s="34"/>
    </row>
    <row r="173" spans="1:20" x14ac:dyDescent="0.25">
      <c r="D173" s="1"/>
      <c r="R173" s="154" t="s">
        <v>111</v>
      </c>
      <c r="S173" s="148">
        <f>+'OH adj'!C24</f>
        <v>0.35256211563635143</v>
      </c>
      <c r="T173" s="147">
        <f>ROUND(S173*$T$171,0)</f>
        <v>2500</v>
      </c>
    </row>
    <row r="174" spans="1:20" x14ac:dyDescent="0.25">
      <c r="R174" s="154" t="s">
        <v>126</v>
      </c>
      <c r="S174" s="148">
        <f>+'OH adj'!C25</f>
        <v>4.9959985427531356E-4</v>
      </c>
      <c r="T174" s="147">
        <f>ROUND(S174*$T$171,0)</f>
        <v>4</v>
      </c>
    </row>
    <row r="175" spans="1:20" x14ac:dyDescent="0.25">
      <c r="R175" s="154" t="s">
        <v>130</v>
      </c>
      <c r="S175" s="148">
        <f>+'OH adj'!C26</f>
        <v>6.3620120540336546E-5</v>
      </c>
      <c r="T175" s="147">
        <f>ROUND(S175*$T$171,0)</f>
        <v>0</v>
      </c>
    </row>
    <row r="176" spans="1:20" x14ac:dyDescent="0.25">
      <c r="R176" s="154" t="s">
        <v>128</v>
      </c>
      <c r="S176" s="149">
        <f>+'OH adj'!C27</f>
        <v>0.6468746643888329</v>
      </c>
      <c r="T176" s="80">
        <f>ROUND(S176*$T$171,0)</f>
        <v>4586</v>
      </c>
    </row>
    <row r="177" spans="8:20" x14ac:dyDescent="0.25">
      <c r="Q177" s="7"/>
      <c r="R177" s="154"/>
      <c r="S177" s="150">
        <f>SUM(S173:S176)</f>
        <v>1</v>
      </c>
      <c r="T177" s="147">
        <f>SUM(T173:T176)</f>
        <v>7090</v>
      </c>
    </row>
    <row r="182" spans="8:20" x14ac:dyDescent="0.25">
      <c r="H182" s="8"/>
      <c r="I182" s="146"/>
      <c r="J182" s="153"/>
    </row>
    <row r="183" spans="8:20" x14ac:dyDescent="0.25">
      <c r="H183" s="7"/>
    </row>
    <row r="184" spans="8:20" x14ac:dyDescent="0.25">
      <c r="H184" s="7"/>
    </row>
  </sheetData>
  <mergeCells count="1">
    <mergeCell ref="A1:B1"/>
  </mergeCells>
  <phoneticPr fontId="5" type="noConversion"/>
  <pageMargins left="0.28999999999999998" right="0.31" top="0.53" bottom="0.54" header="0.5" footer="0.5"/>
  <pageSetup paperSize="5" scale="98" fitToHeight="0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workbookViewId="0">
      <selection activeCell="G38" sqref="G38"/>
    </sheetView>
  </sheetViews>
  <sheetFormatPr defaultRowHeight="13.2" x14ac:dyDescent="0.25"/>
  <cols>
    <col min="1" max="1" width="9" bestFit="1" customWidth="1"/>
    <col min="2" max="2" width="23" bestFit="1" customWidth="1"/>
    <col min="3" max="3" width="24.88671875" customWidth="1"/>
    <col min="4" max="4" width="14" customWidth="1"/>
    <col min="5" max="5" width="17.44140625" customWidth="1"/>
    <col min="6" max="6" width="8.33203125" customWidth="1"/>
    <col min="7" max="7" width="13.109375" customWidth="1"/>
    <col min="8" max="8" width="4.6640625" customWidth="1"/>
    <col min="9" max="9" width="12.5546875" customWidth="1"/>
    <col min="10" max="10" width="9.6640625" bestFit="1" customWidth="1"/>
    <col min="11" max="11" width="17.88671875" bestFit="1" customWidth="1"/>
    <col min="12" max="13" width="12.88671875" bestFit="1" customWidth="1"/>
    <col min="14" max="14" width="10.88671875" bestFit="1" customWidth="1"/>
  </cols>
  <sheetData>
    <row r="1" spans="1:13" ht="17.399999999999999" customHeight="1" x14ac:dyDescent="0.3">
      <c r="A1" s="352" t="s">
        <v>7</v>
      </c>
      <c r="B1" s="352"/>
      <c r="C1" s="352"/>
      <c r="D1" s="352"/>
      <c r="E1" s="352"/>
      <c r="F1" s="352"/>
      <c r="G1" s="352"/>
      <c r="H1" s="352"/>
      <c r="I1" s="352"/>
      <c r="J1" s="356"/>
    </row>
    <row r="2" spans="1:13" ht="17.399999999999999" customHeight="1" x14ac:dyDescent="0.3">
      <c r="A2" s="352" t="s">
        <v>509</v>
      </c>
      <c r="B2" s="352"/>
      <c r="C2" s="352"/>
      <c r="D2" s="352"/>
      <c r="E2" s="352"/>
      <c r="F2" s="352"/>
      <c r="G2" s="352"/>
      <c r="H2" s="352"/>
      <c r="I2" s="352"/>
      <c r="J2" s="356"/>
    </row>
    <row r="3" spans="1:13" ht="17.399999999999999" customHeight="1" x14ac:dyDescent="0.3">
      <c r="A3" s="352" t="s">
        <v>147</v>
      </c>
      <c r="B3" s="352"/>
      <c r="C3" s="352"/>
      <c r="D3" s="352"/>
      <c r="E3" s="352"/>
      <c r="F3" s="352"/>
      <c r="G3" s="352"/>
      <c r="H3" s="352"/>
      <c r="I3" s="352"/>
      <c r="J3" s="356"/>
    </row>
    <row r="4" spans="1:13" ht="15" x14ac:dyDescent="0.25">
      <c r="A4" s="356"/>
      <c r="B4" s="356"/>
      <c r="C4" s="356"/>
      <c r="D4" s="356"/>
      <c r="E4" s="356"/>
      <c r="F4" s="356"/>
      <c r="G4" s="356"/>
      <c r="H4" s="356"/>
      <c r="I4" s="358"/>
      <c r="J4" s="358"/>
    </row>
    <row r="5" spans="1:13" ht="15" x14ac:dyDescent="0.25">
      <c r="A5" s="382" t="s">
        <v>10</v>
      </c>
      <c r="B5" s="382" t="s">
        <v>11</v>
      </c>
      <c r="C5" s="382" t="s">
        <v>12</v>
      </c>
      <c r="D5" s="382" t="s">
        <v>13</v>
      </c>
      <c r="E5" s="382" t="s">
        <v>14</v>
      </c>
      <c r="F5" s="382"/>
      <c r="G5" s="382" t="s">
        <v>15</v>
      </c>
      <c r="H5" s="382"/>
      <c r="I5" s="382" t="s">
        <v>16</v>
      </c>
      <c r="J5" s="358"/>
    </row>
    <row r="6" spans="1:13" ht="15" x14ac:dyDescent="0.25">
      <c r="A6" s="356" t="s">
        <v>9</v>
      </c>
      <c r="B6" s="212" t="s">
        <v>71</v>
      </c>
      <c r="C6" s="212"/>
      <c r="D6" s="212" t="s">
        <v>69</v>
      </c>
      <c r="E6" s="212" t="s">
        <v>17</v>
      </c>
      <c r="F6" s="212"/>
      <c r="G6" s="212" t="s">
        <v>79</v>
      </c>
      <c r="H6" s="212"/>
      <c r="I6" s="212" t="s">
        <v>72</v>
      </c>
      <c r="J6" s="358"/>
      <c r="K6" s="1"/>
    </row>
    <row r="7" spans="1:13" ht="15" x14ac:dyDescent="0.25">
      <c r="A7" s="356"/>
      <c r="B7" s="382"/>
      <c r="C7" s="382"/>
      <c r="D7" s="382"/>
      <c r="E7" s="382"/>
      <c r="F7" s="382"/>
      <c r="G7" s="382"/>
      <c r="H7" s="382"/>
      <c r="I7" s="382"/>
      <c r="J7" s="358"/>
    </row>
    <row r="8" spans="1:13" ht="15" x14ac:dyDescent="0.25">
      <c r="A8" s="382">
        <v>1</v>
      </c>
      <c r="B8" s="358" t="s">
        <v>170</v>
      </c>
      <c r="C8" s="358"/>
      <c r="D8" s="436">
        <f>+'OH JE detail'!E39</f>
        <v>1991171.0099999998</v>
      </c>
      <c r="E8" s="438">
        <f>ROUND(+healthpension!Q163,0)</f>
        <v>1833828</v>
      </c>
      <c r="F8" s="485" t="s">
        <v>138</v>
      </c>
      <c r="G8" s="438">
        <f>E8-D8</f>
        <v>-157343.00999999978</v>
      </c>
      <c r="H8" s="438"/>
      <c r="I8" s="486">
        <f>G8/D8</f>
        <v>-7.902033989536629E-2</v>
      </c>
      <c r="J8" s="358"/>
      <c r="K8" s="40"/>
      <c r="L8" s="40"/>
      <c r="M8" s="40"/>
    </row>
    <row r="9" spans="1:13" ht="15" x14ac:dyDescent="0.25">
      <c r="A9" s="382">
        <f>A8+1</f>
        <v>2</v>
      </c>
      <c r="B9" s="358" t="s">
        <v>171</v>
      </c>
      <c r="C9" s="358"/>
      <c r="D9" s="436">
        <f>+'OH JE detail'!E40</f>
        <v>111686</v>
      </c>
      <c r="E9" s="438">
        <f>ROUND(+healthpension!W163,0)</f>
        <v>114413</v>
      </c>
      <c r="F9" s="485" t="s">
        <v>138</v>
      </c>
      <c r="G9" s="438">
        <f t="shared" ref="G9:G16" si="0">E9-D9</f>
        <v>2727</v>
      </c>
      <c r="H9" s="438"/>
      <c r="I9" s="486">
        <f t="shared" ref="I9:I17" si="1">G9/D9</f>
        <v>2.4416668158945616E-2</v>
      </c>
      <c r="J9" s="358"/>
      <c r="K9" s="40"/>
      <c r="L9" s="40"/>
      <c r="M9" s="40"/>
    </row>
    <row r="10" spans="1:13" ht="15" x14ac:dyDescent="0.25">
      <c r="A10" s="382">
        <f t="shared" ref="A10:A38" si="2">A9+1</f>
        <v>3</v>
      </c>
      <c r="B10" s="358" t="s">
        <v>172</v>
      </c>
      <c r="C10" s="358"/>
      <c r="D10" s="436">
        <f>+'OH JE detail'!E41</f>
        <v>19268.89</v>
      </c>
      <c r="E10" s="436">
        <f>ROUND(+healthpension!AA163,0)</f>
        <v>20340</v>
      </c>
      <c r="F10" s="485" t="s">
        <v>138</v>
      </c>
      <c r="G10" s="438">
        <f t="shared" si="0"/>
        <v>1071.1100000000006</v>
      </c>
      <c r="H10" s="438"/>
      <c r="I10" s="486">
        <f t="shared" si="1"/>
        <v>5.5587529951128506E-2</v>
      </c>
      <c r="J10" s="358"/>
      <c r="K10" s="40"/>
      <c r="L10" s="40"/>
      <c r="M10" s="40"/>
    </row>
    <row r="11" spans="1:13" ht="15" x14ac:dyDescent="0.25">
      <c r="A11" s="382">
        <f t="shared" si="2"/>
        <v>4</v>
      </c>
      <c r="B11" s="358" t="s">
        <v>173</v>
      </c>
      <c r="C11" s="358"/>
      <c r="D11" s="436">
        <f>+'OH JE detail'!E42</f>
        <v>66561.36</v>
      </c>
      <c r="E11" s="436">
        <f>ROUND(+healthpension!AB163,0)</f>
        <v>70266</v>
      </c>
      <c r="F11" s="485" t="s">
        <v>138</v>
      </c>
      <c r="G11" s="438">
        <f t="shared" si="0"/>
        <v>3704.6399999999994</v>
      </c>
      <c r="H11" s="438"/>
      <c r="I11" s="486">
        <f t="shared" si="1"/>
        <v>5.5657516613242267E-2</v>
      </c>
      <c r="J11" s="358"/>
      <c r="K11" s="40"/>
      <c r="L11" s="40"/>
      <c r="M11" s="40"/>
    </row>
    <row r="12" spans="1:13" ht="15" x14ac:dyDescent="0.25">
      <c r="A12" s="382">
        <f t="shared" si="2"/>
        <v>5</v>
      </c>
      <c r="B12" s="358" t="s">
        <v>169</v>
      </c>
      <c r="C12" s="358"/>
      <c r="D12" s="454">
        <f>+'OH JE detail'!E43</f>
        <v>70454.349999999991</v>
      </c>
      <c r="E12" s="436">
        <f>ROUND(+healthpension!AE163,0)</f>
        <v>82272</v>
      </c>
      <c r="F12" s="485" t="s">
        <v>138</v>
      </c>
      <c r="G12" s="438">
        <f t="shared" si="0"/>
        <v>11817.650000000009</v>
      </c>
      <c r="H12" s="438"/>
      <c r="I12" s="486">
        <f t="shared" si="1"/>
        <v>0.16773485242571978</v>
      </c>
      <c r="J12" s="358"/>
      <c r="K12" s="40"/>
      <c r="L12" s="40"/>
      <c r="M12" s="40"/>
    </row>
    <row r="13" spans="1:13" s="7" customFormat="1" ht="15" x14ac:dyDescent="0.25">
      <c r="A13" s="382">
        <f t="shared" si="2"/>
        <v>6</v>
      </c>
      <c r="B13" s="487" t="s">
        <v>229</v>
      </c>
      <c r="C13" s="487"/>
      <c r="D13" s="453">
        <f>+'OH JE detail'!D37</f>
        <v>2250704.04</v>
      </c>
      <c r="E13" s="454">
        <f>ROUND(+healthpension!AF163,0)</f>
        <v>2468519</v>
      </c>
      <c r="F13" s="485" t="s">
        <v>138</v>
      </c>
      <c r="G13" s="438">
        <f t="shared" si="0"/>
        <v>217814.95999999996</v>
      </c>
      <c r="H13" s="485" t="s">
        <v>140</v>
      </c>
      <c r="I13" s="486">
        <f>G13/D13</f>
        <v>9.6776366918504289E-2</v>
      </c>
      <c r="J13" s="488"/>
      <c r="K13" s="86"/>
      <c r="L13" s="86"/>
      <c r="M13" s="40"/>
    </row>
    <row r="14" spans="1:13" ht="15" x14ac:dyDescent="0.25">
      <c r="A14" s="382">
        <f t="shared" si="2"/>
        <v>7</v>
      </c>
      <c r="B14" s="358" t="s">
        <v>73</v>
      </c>
      <c r="C14" s="358"/>
      <c r="D14" s="454">
        <f>SUM('OH by acct detail'!AC105:AD105)+'OH by acct detail'!Z105</f>
        <v>870700.51999999979</v>
      </c>
      <c r="E14" s="436">
        <f>ROUND(fica!H166+unemp!E13,0)</f>
        <v>887629</v>
      </c>
      <c r="F14" s="485" t="s">
        <v>138</v>
      </c>
      <c r="G14" s="438">
        <f t="shared" si="0"/>
        <v>16928.480000000214</v>
      </c>
      <c r="H14" s="438"/>
      <c r="I14" s="486">
        <f t="shared" si="1"/>
        <v>1.9442368083115672E-2</v>
      </c>
      <c r="J14" s="358"/>
      <c r="K14" s="40"/>
      <c r="L14" s="175"/>
      <c r="M14" s="40"/>
    </row>
    <row r="15" spans="1:13" ht="15" x14ac:dyDescent="0.25">
      <c r="A15" s="382">
        <f t="shared" si="2"/>
        <v>8</v>
      </c>
      <c r="B15" s="358" t="s">
        <v>168</v>
      </c>
      <c r="C15" s="358"/>
      <c r="D15" s="454">
        <f>+'OH by acct detail'!X105</f>
        <v>273109.63</v>
      </c>
      <c r="E15" s="454">
        <f>ROUND(wkcp!J181,0)</f>
        <v>371086</v>
      </c>
      <c r="F15" s="485" t="s">
        <v>138</v>
      </c>
      <c r="G15" s="453">
        <f t="shared" si="0"/>
        <v>97976.37</v>
      </c>
      <c r="H15" s="453"/>
      <c r="I15" s="486">
        <f t="shared" si="1"/>
        <v>0.35874373964770118</v>
      </c>
      <c r="J15" s="358"/>
      <c r="K15" s="40"/>
      <c r="L15" s="175"/>
      <c r="M15" s="40"/>
    </row>
    <row r="16" spans="1:13" ht="15" x14ac:dyDescent="0.25">
      <c r="A16" s="382">
        <f t="shared" si="2"/>
        <v>9</v>
      </c>
      <c r="B16" s="358" t="s">
        <v>525</v>
      </c>
      <c r="C16" s="358"/>
      <c r="D16" s="436">
        <f>SUM('OH by acct detail'!AA105:AB105)</f>
        <v>214291.66999999998</v>
      </c>
      <c r="E16" s="454">
        <f>ROUND(plpdexcess!B7,0)</f>
        <v>196702</v>
      </c>
      <c r="F16" s="485" t="s">
        <v>138</v>
      </c>
      <c r="G16" s="438">
        <f t="shared" si="0"/>
        <v>-17589.669999999984</v>
      </c>
      <c r="H16" s="438"/>
      <c r="I16" s="486">
        <f t="shared" si="1"/>
        <v>-8.2082845310785926E-2</v>
      </c>
      <c r="J16" s="358"/>
      <c r="K16" s="40"/>
      <c r="L16" s="175"/>
      <c r="M16" s="40"/>
    </row>
    <row r="17" spans="1:14" ht="15" x14ac:dyDescent="0.25">
      <c r="A17" s="382">
        <f t="shared" si="2"/>
        <v>10</v>
      </c>
      <c r="B17" s="358" t="s">
        <v>425</v>
      </c>
      <c r="C17" s="358"/>
      <c r="D17" s="436">
        <f>+'OH by acct detail'!AE105</f>
        <v>3151.14</v>
      </c>
      <c r="E17" s="454">
        <f>+EAP!E5</f>
        <v>3384</v>
      </c>
      <c r="F17" s="485" t="s">
        <v>138</v>
      </c>
      <c r="G17" s="438">
        <f>E17-D17</f>
        <v>232.86000000000013</v>
      </c>
      <c r="H17" s="438"/>
      <c r="I17" s="486">
        <f t="shared" si="1"/>
        <v>7.389706582379714E-2</v>
      </c>
      <c r="J17" s="358"/>
      <c r="K17" s="40"/>
      <c r="L17" s="175"/>
      <c r="M17" s="40"/>
    </row>
    <row r="18" spans="1:14" ht="15.6" thickBot="1" x14ac:dyDescent="0.3">
      <c r="A18" s="382">
        <f t="shared" si="2"/>
        <v>11</v>
      </c>
      <c r="B18" s="358"/>
      <c r="C18" s="358"/>
      <c r="D18" s="459">
        <f>SUM(D8:D17)</f>
        <v>5871098.6099999994</v>
      </c>
      <c r="E18" s="459">
        <f>SUM(E8:E17)</f>
        <v>6048439</v>
      </c>
      <c r="F18" s="459"/>
      <c r="G18" s="459">
        <f t="shared" ref="G18" si="3">SUM(G8:G17)</f>
        <v>177340.39000000042</v>
      </c>
      <c r="H18" s="453"/>
      <c r="I18" s="486">
        <f>G18/D18</f>
        <v>3.020565685916838E-2</v>
      </c>
      <c r="J18" s="358"/>
      <c r="K18" s="40"/>
      <c r="L18" s="40"/>
      <c r="M18" s="40"/>
    </row>
    <row r="19" spans="1:14" ht="15.6" thickTop="1" x14ac:dyDescent="0.25">
      <c r="A19" s="382">
        <f t="shared" si="2"/>
        <v>12</v>
      </c>
      <c r="B19" s="358"/>
      <c r="C19" s="358"/>
      <c r="D19" s="358"/>
      <c r="E19" s="358"/>
      <c r="F19" s="358"/>
      <c r="G19" s="358"/>
      <c r="H19" s="358"/>
      <c r="I19" s="358"/>
      <c r="J19" s="358"/>
      <c r="K19" s="40"/>
      <c r="L19" s="40"/>
      <c r="M19" s="40"/>
    </row>
    <row r="20" spans="1:14" ht="15" x14ac:dyDescent="0.25">
      <c r="A20" s="382">
        <f t="shared" si="2"/>
        <v>13</v>
      </c>
      <c r="B20" s="358"/>
      <c r="C20" s="358"/>
      <c r="D20" s="438"/>
      <c r="E20" s="438"/>
      <c r="F20" s="358"/>
      <c r="G20" s="438"/>
      <c r="H20" s="438"/>
      <c r="I20" s="358"/>
      <c r="J20" s="358"/>
      <c r="K20" s="176"/>
      <c r="L20" s="40"/>
      <c r="M20" s="40"/>
    </row>
    <row r="21" spans="1:14" ht="15" x14ac:dyDescent="0.25">
      <c r="A21" s="382">
        <f t="shared" si="2"/>
        <v>14</v>
      </c>
      <c r="B21" s="358"/>
      <c r="C21" s="356" t="s">
        <v>136</v>
      </c>
      <c r="D21" s="356"/>
      <c r="E21" s="382" t="s">
        <v>137</v>
      </c>
      <c r="F21" s="382"/>
      <c r="G21" s="356" t="s">
        <v>142</v>
      </c>
      <c r="H21" s="356"/>
      <c r="I21" s="358"/>
      <c r="J21" s="358"/>
      <c r="K21" s="176"/>
      <c r="L21" s="40"/>
      <c r="M21" s="40"/>
    </row>
    <row r="22" spans="1:14" ht="15" x14ac:dyDescent="0.25">
      <c r="A22" s="382">
        <f t="shared" si="2"/>
        <v>15</v>
      </c>
      <c r="B22" s="358"/>
      <c r="C22" s="489" t="s">
        <v>271</v>
      </c>
      <c r="D22" s="490" t="s">
        <v>139</v>
      </c>
      <c r="E22" s="429" t="s">
        <v>269</v>
      </c>
      <c r="F22" s="358"/>
      <c r="G22" s="490" t="s">
        <v>167</v>
      </c>
      <c r="H22" s="490"/>
      <c r="I22" s="358"/>
      <c r="J22" s="358"/>
      <c r="K22" s="176"/>
      <c r="L22" s="40"/>
      <c r="M22" s="40"/>
    </row>
    <row r="23" spans="1:14" ht="15" x14ac:dyDescent="0.25">
      <c r="A23" s="382">
        <f t="shared" si="2"/>
        <v>16</v>
      </c>
      <c r="B23" s="358"/>
      <c r="C23" s="490"/>
      <c r="D23" s="490"/>
      <c r="E23" s="382" t="s">
        <v>270</v>
      </c>
      <c r="F23" s="358"/>
      <c r="G23" s="490"/>
      <c r="H23" s="490"/>
      <c r="I23" s="358"/>
      <c r="J23" s="358"/>
      <c r="K23" s="176"/>
      <c r="L23" s="40"/>
      <c r="M23" s="40"/>
    </row>
    <row r="24" spans="1:14" ht="15" x14ac:dyDescent="0.25">
      <c r="A24" s="382">
        <f t="shared" si="2"/>
        <v>17</v>
      </c>
      <c r="B24" s="381" t="str">
        <f>'labor adj'!C32</f>
        <v>Capitalized</v>
      </c>
      <c r="C24" s="491">
        <f>D24/$D$28</f>
        <v>0.35256211563635143</v>
      </c>
      <c r="D24" s="438">
        <f>+'OH by acct detail'!AF109</f>
        <v>2069926.9400000004</v>
      </c>
      <c r="E24" s="438">
        <f>ROUND(C24*$E$18,4)</f>
        <v>2132450.4501</v>
      </c>
      <c r="F24" s="438"/>
      <c r="G24" s="438">
        <f>E24-D24</f>
        <v>62523.510099999607</v>
      </c>
      <c r="H24" s="438"/>
      <c r="I24" s="358"/>
      <c r="J24" s="358"/>
      <c r="K24" s="176"/>
      <c r="L24" s="40"/>
      <c r="M24" s="40"/>
      <c r="N24" s="84"/>
    </row>
    <row r="25" spans="1:14" ht="15" x14ac:dyDescent="0.25">
      <c r="A25" s="382">
        <f t="shared" si="2"/>
        <v>18</v>
      </c>
      <c r="B25" s="381" t="str">
        <f>'labor adj'!C33</f>
        <v>Accounts Receivable</v>
      </c>
      <c r="C25" s="491">
        <f>D25/$D$28</f>
        <v>4.9959985427531356E-4</v>
      </c>
      <c r="D25" s="438">
        <f>+'OH by acct detail'!AF110</f>
        <v>2933.2</v>
      </c>
      <c r="E25" s="438">
        <f>ROUND(C25*$E$18,4)</f>
        <v>3021.7991999999999</v>
      </c>
      <c r="F25" s="438"/>
      <c r="G25" s="438">
        <f>E25-D25+0.3</f>
        <v>88.899200000000107</v>
      </c>
      <c r="H25" s="438"/>
      <c r="I25" s="358"/>
      <c r="J25" s="358"/>
      <c r="K25" s="176"/>
      <c r="L25" s="40"/>
      <c r="M25" s="40"/>
      <c r="N25" s="84"/>
    </row>
    <row r="26" spans="1:14" ht="15" x14ac:dyDescent="0.25">
      <c r="A26" s="382">
        <f t="shared" si="2"/>
        <v>19</v>
      </c>
      <c r="B26" s="381" t="str">
        <f>'labor adj'!C34</f>
        <v>Non-Operating</v>
      </c>
      <c r="C26" s="491">
        <f>D26/$D$28</f>
        <v>6.3620120540336546E-5</v>
      </c>
      <c r="D26" s="438">
        <f>+'OH by acct detail'!AF112</f>
        <v>373.52000000000004</v>
      </c>
      <c r="E26" s="438">
        <f>ROUND(C26*$E$18,4)</f>
        <v>384.80239999999998</v>
      </c>
      <c r="F26" s="438"/>
      <c r="G26" s="438">
        <f>E26-D26</f>
        <v>11.282399999999939</v>
      </c>
      <c r="H26" s="438"/>
      <c r="I26" s="358"/>
      <c r="J26" s="358"/>
      <c r="K26" s="40"/>
      <c r="L26" s="40"/>
      <c r="M26" s="40"/>
      <c r="N26" s="84"/>
    </row>
    <row r="27" spans="1:14" ht="15" x14ac:dyDescent="0.25">
      <c r="A27" s="382">
        <f t="shared" si="2"/>
        <v>20</v>
      </c>
      <c r="B27" s="381" t="str">
        <f>'labor adj'!C35</f>
        <v>Electric-Expensed</v>
      </c>
      <c r="C27" s="491">
        <f>D27/$D$28</f>
        <v>0.6468746643888329</v>
      </c>
      <c r="D27" s="438">
        <f>+'OH by acct detail'!AF113</f>
        <v>3797864.9300000011</v>
      </c>
      <c r="E27" s="438">
        <f>ROUND(C27*$E$18,4)</f>
        <v>3912581.9482</v>
      </c>
      <c r="F27" s="438"/>
      <c r="G27" s="438">
        <f>E27-D27-1</f>
        <v>114716.01819999889</v>
      </c>
      <c r="H27" s="485" t="s">
        <v>141</v>
      </c>
      <c r="I27" s="358"/>
      <c r="J27" s="358"/>
      <c r="K27" s="40"/>
      <c r="L27" s="40"/>
      <c r="M27" s="40"/>
      <c r="N27" s="84"/>
    </row>
    <row r="28" spans="1:14" ht="15.6" thickBot="1" x14ac:dyDescent="0.3">
      <c r="A28" s="382">
        <f t="shared" si="2"/>
        <v>21</v>
      </c>
      <c r="B28" s="358"/>
      <c r="C28" s="492">
        <f>SUM(C24:C27)</f>
        <v>1</v>
      </c>
      <c r="D28" s="459">
        <f>SUM(D24:D27)</f>
        <v>5871098.5900000017</v>
      </c>
      <c r="E28" s="459">
        <f>SUM(E24:E27)</f>
        <v>6048438.9999000002</v>
      </c>
      <c r="F28" s="459"/>
      <c r="G28" s="459">
        <f>SUM(G24:G27)</f>
        <v>177339.7098999985</v>
      </c>
      <c r="H28" s="453"/>
      <c r="I28" s="358"/>
      <c r="J28" s="358"/>
      <c r="K28" s="40"/>
      <c r="L28" s="40"/>
      <c r="M28" s="40"/>
      <c r="N28" s="40"/>
    </row>
    <row r="29" spans="1:14" ht="15.6" thickTop="1" x14ac:dyDescent="0.25">
      <c r="A29" s="382">
        <f t="shared" si="2"/>
        <v>22</v>
      </c>
      <c r="B29" s="358" t="s">
        <v>68</v>
      </c>
      <c r="C29" s="358"/>
      <c r="D29" s="358"/>
      <c r="E29" s="358"/>
      <c r="F29" s="358"/>
      <c r="G29" s="358"/>
      <c r="H29" s="358"/>
      <c r="I29" s="358"/>
      <c r="J29" s="358"/>
    </row>
    <row r="30" spans="1:14" ht="15" x14ac:dyDescent="0.25">
      <c r="A30" s="382">
        <f t="shared" si="2"/>
        <v>23</v>
      </c>
      <c r="B30" s="434" t="s">
        <v>521</v>
      </c>
      <c r="C30" s="358"/>
      <c r="D30" s="358"/>
      <c r="E30" s="358"/>
      <c r="F30" s="358"/>
      <c r="G30" s="395" t="s">
        <v>548</v>
      </c>
      <c r="H30" s="395"/>
      <c r="I30" s="395"/>
      <c r="J30" s="395"/>
    </row>
    <row r="31" spans="1:14" ht="15" x14ac:dyDescent="0.25">
      <c r="A31" s="382">
        <f t="shared" si="2"/>
        <v>24</v>
      </c>
      <c r="B31" s="434" t="s">
        <v>522</v>
      </c>
      <c r="C31" s="358"/>
      <c r="D31" s="358"/>
      <c r="E31" s="358"/>
      <c r="F31" s="358"/>
      <c r="G31" s="493">
        <f>+ROUND($G$27*J31,0)</f>
        <v>22194</v>
      </c>
      <c r="H31" s="493"/>
      <c r="I31" s="382" t="s">
        <v>112</v>
      </c>
      <c r="J31" s="494">
        <f>+'OH by acct detail'!AL108</f>
        <v>0.19346859903381641</v>
      </c>
    </row>
    <row r="32" spans="1:14" ht="15" x14ac:dyDescent="0.25">
      <c r="A32" s="382">
        <f t="shared" si="2"/>
        <v>25</v>
      </c>
      <c r="B32" s="434" t="s">
        <v>513</v>
      </c>
      <c r="C32" s="358"/>
      <c r="D32" s="358"/>
      <c r="E32" s="358"/>
      <c r="F32" s="358"/>
      <c r="G32" s="493">
        <f t="shared" ref="G32:G36" si="4">+ROUND($G$27*J32,0)</f>
        <v>30192</v>
      </c>
      <c r="H32" s="493"/>
      <c r="I32" s="382" t="s">
        <v>113</v>
      </c>
      <c r="J32" s="494">
        <f>+'OH by acct detail'!AL109</f>
        <v>0.26318531400966183</v>
      </c>
    </row>
    <row r="33" spans="1:10" ht="15" x14ac:dyDescent="0.25">
      <c r="A33" s="382">
        <f t="shared" si="2"/>
        <v>26</v>
      </c>
      <c r="B33" s="358" t="s">
        <v>526</v>
      </c>
      <c r="C33" s="356"/>
      <c r="D33" s="356"/>
      <c r="E33" s="356"/>
      <c r="F33" s="356"/>
      <c r="G33" s="493">
        <f t="shared" si="4"/>
        <v>34273</v>
      </c>
      <c r="H33" s="493"/>
      <c r="I33" s="382" t="s">
        <v>179</v>
      </c>
      <c r="J33" s="494">
        <f>+'OH by acct detail'!AL110</f>
        <v>0.29876096618357489</v>
      </c>
    </row>
    <row r="34" spans="1:10" ht="15" x14ac:dyDescent="0.25">
      <c r="A34" s="382">
        <f t="shared" si="2"/>
        <v>27</v>
      </c>
      <c r="B34" s="358" t="s">
        <v>512</v>
      </c>
      <c r="C34" s="358"/>
      <c r="D34" s="358"/>
      <c r="E34" s="358"/>
      <c r="F34" s="358"/>
      <c r="G34" s="493">
        <f t="shared" si="4"/>
        <v>1700</v>
      </c>
      <c r="H34" s="493"/>
      <c r="I34" s="382" t="s">
        <v>177</v>
      </c>
      <c r="J34" s="494">
        <f>+'OH by acct detail'!AL111</f>
        <v>1.4818937198067634E-2</v>
      </c>
    </row>
    <row r="35" spans="1:10" ht="15" x14ac:dyDescent="0.25">
      <c r="A35" s="382">
        <f t="shared" si="2"/>
        <v>28</v>
      </c>
      <c r="B35" s="358"/>
      <c r="C35" s="358"/>
      <c r="D35" s="358"/>
      <c r="E35" s="358"/>
      <c r="F35" s="358"/>
      <c r="G35" s="493">
        <f t="shared" si="4"/>
        <v>856</v>
      </c>
      <c r="H35" s="493"/>
      <c r="I35" s="382" t="s">
        <v>178</v>
      </c>
      <c r="J35" s="494">
        <f>+'OH by acct detail'!AL112</f>
        <v>7.4635748792270529E-3</v>
      </c>
    </row>
    <row r="36" spans="1:10" ht="15" x14ac:dyDescent="0.25">
      <c r="A36" s="382">
        <f t="shared" si="2"/>
        <v>29</v>
      </c>
      <c r="B36" s="358"/>
      <c r="C36" s="358"/>
      <c r="D36" s="358"/>
      <c r="E36" s="358"/>
      <c r="F36" s="358"/>
      <c r="G36" s="493">
        <f t="shared" si="4"/>
        <v>25502</v>
      </c>
      <c r="H36" s="493"/>
      <c r="I36" s="382" t="s">
        <v>114</v>
      </c>
      <c r="J36" s="494">
        <f>+'OH by acct detail'!AL113</f>
        <v>0.22230260869565213</v>
      </c>
    </row>
    <row r="37" spans="1:10" ht="15.6" thickBot="1" x14ac:dyDescent="0.3">
      <c r="A37" s="382">
        <f t="shared" si="2"/>
        <v>30</v>
      </c>
      <c r="B37" s="358"/>
      <c r="C37" s="358"/>
      <c r="D37" s="358"/>
      <c r="E37" s="358"/>
      <c r="F37" s="358"/>
      <c r="G37" s="467">
        <f>SUM(G31:G36)</f>
        <v>114717</v>
      </c>
      <c r="H37" s="495"/>
      <c r="I37" s="358"/>
      <c r="J37" s="496">
        <f>SUM(J31:J36)</f>
        <v>1</v>
      </c>
    </row>
    <row r="38" spans="1:10" ht="15.6" thickTop="1" x14ac:dyDescent="0.25">
      <c r="A38" s="382">
        <f t="shared" si="2"/>
        <v>31</v>
      </c>
      <c r="B38" s="358"/>
      <c r="C38" s="358"/>
      <c r="D38" s="358"/>
      <c r="E38" s="358"/>
      <c r="F38" s="358"/>
      <c r="G38" s="506" t="s">
        <v>141</v>
      </c>
      <c r="H38" s="497"/>
      <c r="I38" s="358"/>
      <c r="J38" s="358"/>
    </row>
    <row r="39" spans="1:10" ht="15" x14ac:dyDescent="0.25">
      <c r="A39" s="382"/>
      <c r="B39" s="358"/>
      <c r="C39" s="358"/>
      <c r="D39" s="358"/>
      <c r="E39" s="358"/>
      <c r="F39" s="358"/>
      <c r="G39" s="497"/>
      <c r="H39" s="497"/>
      <c r="I39" s="358"/>
      <c r="J39" s="358"/>
    </row>
    <row r="40" spans="1:10" ht="15" x14ac:dyDescent="0.25">
      <c r="A40" s="382"/>
      <c r="B40" s="358"/>
      <c r="C40" s="358"/>
      <c r="D40" s="358"/>
      <c r="E40" s="358"/>
      <c r="F40" s="358"/>
      <c r="G40" s="497"/>
      <c r="H40" s="497"/>
      <c r="I40" s="358"/>
      <c r="J40" s="358"/>
    </row>
    <row r="41" spans="1:10" ht="15" x14ac:dyDescent="0.25">
      <c r="A41" s="382"/>
      <c r="B41" s="358"/>
      <c r="C41" s="358"/>
      <c r="D41" s="358"/>
      <c r="E41" s="358"/>
      <c r="F41" s="358"/>
      <c r="G41" s="497"/>
      <c r="H41" s="497"/>
      <c r="I41" s="358"/>
      <c r="J41" s="358"/>
    </row>
    <row r="42" spans="1:10" ht="15" x14ac:dyDescent="0.25">
      <c r="A42" s="356" t="s">
        <v>520</v>
      </c>
      <c r="B42" s="356"/>
      <c r="C42" s="356"/>
      <c r="D42" s="356"/>
      <c r="E42" s="356"/>
      <c r="F42" s="356"/>
      <c r="G42" s="356"/>
      <c r="H42" s="356"/>
      <c r="I42" s="356"/>
      <c r="J42" s="356"/>
    </row>
    <row r="43" spans="1:10" x14ac:dyDescent="0.25">
      <c r="A43" s="1"/>
    </row>
    <row r="44" spans="1:10" x14ac:dyDescent="0.25">
      <c r="A44" s="1"/>
      <c r="B44" s="22"/>
    </row>
    <row r="45" spans="1:10" x14ac:dyDescent="0.25">
      <c r="B45" s="12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"/>
    </row>
    <row r="47" spans="1:10" x14ac:dyDescent="0.25">
      <c r="A47" s="1"/>
    </row>
    <row r="48" spans="1:10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</sheetData>
  <phoneticPr fontId="8" type="noConversion"/>
  <pageMargins left="0.75" right="0.75" top="0.47" bottom="0.4" header="0.5" footer="0.5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Z127"/>
  <sheetViews>
    <sheetView zoomScale="70" zoomScaleNormal="70" workbookViewId="0">
      <pane xSplit="1" ySplit="6" topLeftCell="B51" activePane="bottomRight" state="frozen"/>
      <selection activeCell="F8" sqref="F8"/>
      <selection pane="topRight" activeCell="F8" sqref="F8"/>
      <selection pane="bottomLeft" activeCell="F8" sqref="F8"/>
      <selection pane="bottomRight" activeCell="A83" sqref="A83:XFD86"/>
    </sheetView>
  </sheetViews>
  <sheetFormatPr defaultColWidth="18.109375" defaultRowHeight="15" x14ac:dyDescent="0.25"/>
  <cols>
    <col min="1" max="1" width="9" style="358" bestFit="1" customWidth="1"/>
    <col min="2" max="2" width="17.5546875" style="360" bestFit="1" customWidth="1"/>
    <col min="3" max="3" width="15" style="360" bestFit="1" customWidth="1"/>
    <col min="4" max="4" width="13.88671875" style="360" bestFit="1" customWidth="1"/>
    <col min="5" max="5" width="18.5546875" style="360" bestFit="1" customWidth="1"/>
    <col min="6" max="6" width="14" style="360" bestFit="1" customWidth="1"/>
    <col min="7" max="7" width="17.5546875" style="360" bestFit="1" customWidth="1"/>
    <col min="8" max="8" width="16" style="358" bestFit="1" customWidth="1"/>
    <col min="9" max="10" width="12.6640625" style="358" hidden="1" customWidth="1"/>
    <col min="11" max="12" width="13" style="358" hidden="1" customWidth="1"/>
    <col min="13" max="13" width="18.33203125" style="358" bestFit="1" customWidth="1"/>
    <col min="14" max="14" width="17.5546875" style="383" bestFit="1" customWidth="1"/>
    <col min="15" max="15" width="14.5546875" style="358" customWidth="1"/>
    <col min="16" max="16" width="13.44140625" style="358" customWidth="1"/>
    <col min="17" max="17" width="16" style="358" customWidth="1"/>
    <col min="18" max="18" width="18.33203125" style="383" customWidth="1"/>
    <col min="19" max="20" width="18.109375" style="358" customWidth="1"/>
    <col min="21" max="21" width="16.109375" style="358" customWidth="1"/>
    <col min="22" max="22" width="9.6640625" style="358" customWidth="1"/>
    <col min="23" max="23" width="10.33203125" style="358" customWidth="1"/>
    <col min="24" max="24" width="2.88671875" style="358" customWidth="1"/>
    <col min="25" max="25" width="20" style="358" bestFit="1" customWidth="1"/>
    <col min="26" max="26" width="18.109375" style="383"/>
    <col min="27" max="16384" width="18.109375" style="358"/>
  </cols>
  <sheetData>
    <row r="2" spans="1:26" ht="15.6" x14ac:dyDescent="0.3">
      <c r="A2" s="352" t="s">
        <v>276</v>
      </c>
      <c r="B2" s="353"/>
      <c r="C2" s="353"/>
      <c r="D2" s="353"/>
      <c r="E2" s="353"/>
      <c r="F2" s="353"/>
      <c r="G2" s="353"/>
      <c r="H2" s="348"/>
      <c r="I2" s="345"/>
      <c r="J2" s="345"/>
      <c r="K2" s="345"/>
      <c r="L2" s="354"/>
      <c r="M2" s="354"/>
      <c r="N2" s="355"/>
      <c r="O2" s="356"/>
      <c r="P2" s="356"/>
      <c r="Q2" s="356"/>
      <c r="R2" s="357"/>
    </row>
    <row r="3" spans="1:26" ht="15.6" x14ac:dyDescent="0.3">
      <c r="A3" s="359"/>
      <c r="B3" s="353"/>
      <c r="C3" s="353"/>
      <c r="D3" s="353"/>
      <c r="H3" s="347"/>
      <c r="I3" s="361"/>
      <c r="J3" s="361"/>
      <c r="K3" s="361"/>
      <c r="L3" s="362"/>
      <c r="M3" s="362"/>
      <c r="N3" s="363"/>
      <c r="R3" s="358"/>
    </row>
    <row r="4" spans="1:26" ht="15.6" x14ac:dyDescent="0.3">
      <c r="B4" s="365" t="s">
        <v>183</v>
      </c>
      <c r="C4" s="366"/>
      <c r="D4" s="366"/>
      <c r="E4" s="366"/>
      <c r="F4" s="366"/>
      <c r="G4" s="367"/>
      <c r="I4" s="368" t="s">
        <v>86</v>
      </c>
      <c r="J4" s="368" t="s">
        <v>87</v>
      </c>
      <c r="K4" s="368" t="s">
        <v>86</v>
      </c>
      <c r="L4" s="368" t="s">
        <v>87</v>
      </c>
      <c r="M4" s="368" t="s">
        <v>88</v>
      </c>
      <c r="N4" s="364" t="s">
        <v>85</v>
      </c>
      <c r="O4" s="369" t="s">
        <v>90</v>
      </c>
      <c r="P4" s="369"/>
      <c r="Q4" s="369" t="s">
        <v>90</v>
      </c>
      <c r="R4" s="364" t="s">
        <v>85</v>
      </c>
      <c r="S4" s="391" t="s">
        <v>214</v>
      </c>
      <c r="T4" s="358" t="s">
        <v>83</v>
      </c>
    </row>
    <row r="5" spans="1:26" s="370" customFormat="1" ht="15.6" x14ac:dyDescent="0.3">
      <c r="B5" s="371"/>
      <c r="C5" s="372" t="s">
        <v>87</v>
      </c>
      <c r="D5" s="372" t="s">
        <v>87</v>
      </c>
      <c r="E5" s="372" t="s">
        <v>87</v>
      </c>
      <c r="F5" s="372" t="s">
        <v>277</v>
      </c>
      <c r="G5" s="373" t="s">
        <v>92</v>
      </c>
      <c r="I5" s="374">
        <v>41244</v>
      </c>
      <c r="J5" s="374">
        <v>41609</v>
      </c>
      <c r="K5" s="374">
        <v>41244</v>
      </c>
      <c r="L5" s="374">
        <v>41609</v>
      </c>
      <c r="M5" s="368" t="s">
        <v>93</v>
      </c>
      <c r="N5" s="364" t="s">
        <v>91</v>
      </c>
      <c r="O5" s="369" t="s">
        <v>94</v>
      </c>
      <c r="P5" s="369" t="s">
        <v>84</v>
      </c>
      <c r="Q5" s="369" t="s">
        <v>94</v>
      </c>
      <c r="R5" s="364" t="s">
        <v>91</v>
      </c>
      <c r="S5" s="391" t="s">
        <v>212</v>
      </c>
      <c r="T5" s="370" t="s">
        <v>83</v>
      </c>
      <c r="Z5" s="346"/>
    </row>
    <row r="6" spans="1:26" s="368" customFormat="1" ht="16.2" thickBot="1" x14ac:dyDescent="0.35">
      <c r="A6" s="375" t="s">
        <v>184</v>
      </c>
      <c r="B6" s="376" t="s">
        <v>96</v>
      </c>
      <c r="C6" s="377" t="s">
        <v>278</v>
      </c>
      <c r="D6" s="377" t="s">
        <v>500</v>
      </c>
      <c r="E6" s="377" t="s">
        <v>97</v>
      </c>
      <c r="F6" s="377" t="s">
        <v>279</v>
      </c>
      <c r="G6" s="378" t="s">
        <v>98</v>
      </c>
      <c r="H6" s="375" t="s">
        <v>99</v>
      </c>
      <c r="I6" s="375" t="s">
        <v>100</v>
      </c>
      <c r="J6" s="375" t="s">
        <v>100</v>
      </c>
      <c r="K6" s="375" t="s">
        <v>101</v>
      </c>
      <c r="L6" s="375" t="s">
        <v>101</v>
      </c>
      <c r="M6" s="375" t="s">
        <v>102</v>
      </c>
      <c r="N6" s="379" t="s">
        <v>103</v>
      </c>
      <c r="O6" s="380">
        <v>184.1</v>
      </c>
      <c r="P6" s="380" t="s">
        <v>89</v>
      </c>
      <c r="Q6" s="380">
        <v>163</v>
      </c>
      <c r="R6" s="364" t="s">
        <v>95</v>
      </c>
      <c r="S6" s="391" t="s">
        <v>213</v>
      </c>
      <c r="Z6" s="364"/>
    </row>
    <row r="7" spans="1:26" x14ac:dyDescent="0.25">
      <c r="A7" s="381"/>
      <c r="B7" s="358"/>
      <c r="C7" s="358"/>
      <c r="D7" s="358"/>
      <c r="E7" s="358"/>
      <c r="F7" s="358"/>
      <c r="K7" s="356" t="s">
        <v>185</v>
      </c>
      <c r="L7" s="356"/>
      <c r="M7" s="382"/>
      <c r="S7" s="392"/>
    </row>
    <row r="8" spans="1:26" x14ac:dyDescent="0.25">
      <c r="A8" s="381">
        <v>107100</v>
      </c>
      <c r="B8" s="384">
        <v>32975.35</v>
      </c>
      <c r="C8" s="384">
        <v>1393.9</v>
      </c>
      <c r="D8" s="384">
        <v>136.68</v>
      </c>
      <c r="E8" s="384">
        <v>3634.1</v>
      </c>
      <c r="F8" s="384">
        <v>0</v>
      </c>
      <c r="G8" s="383">
        <f>+B8+C8+D8+E8+F8</f>
        <v>38140.03</v>
      </c>
      <c r="H8" s="384">
        <v>13523.31</v>
      </c>
      <c r="I8" s="384">
        <v>0</v>
      </c>
      <c r="J8" s="384">
        <v>0</v>
      </c>
      <c r="K8" s="384">
        <v>0</v>
      </c>
      <c r="L8" s="384">
        <v>0</v>
      </c>
      <c r="M8" s="384">
        <v>201.67</v>
      </c>
      <c r="N8" s="383">
        <f>+G8-I8+J8-K8+L8+M8+H8</f>
        <v>51865.009999999995</v>
      </c>
      <c r="O8" s="384">
        <v>40.807018457993856</v>
      </c>
      <c r="P8" s="384">
        <v>0</v>
      </c>
      <c r="Q8" s="384">
        <v>100765.8472533836</v>
      </c>
      <c r="R8" s="383">
        <f>+N8+P8+Q8+O8</f>
        <v>152671.66427184161</v>
      </c>
      <c r="S8" s="392"/>
      <c r="T8" s="384">
        <f>+R8+S8</f>
        <v>152671.66427184161</v>
      </c>
    </row>
    <row r="9" spans="1:26" x14ac:dyDescent="0.25">
      <c r="A9" s="381">
        <v>107200</v>
      </c>
      <c r="B9" s="384">
        <v>2329828.5599999996</v>
      </c>
      <c r="C9" s="384">
        <v>73096.489999999991</v>
      </c>
      <c r="D9" s="384">
        <v>13179.32</v>
      </c>
      <c r="E9" s="384">
        <v>195599.63</v>
      </c>
      <c r="F9" s="384">
        <v>1150.6599999999999</v>
      </c>
      <c r="G9" s="383">
        <f t="shared" ref="G9:G72" si="0">+B9+C9+D9+E9+F9</f>
        <v>2612854.6599999997</v>
      </c>
      <c r="H9" s="384">
        <v>-5161.0900000000011</v>
      </c>
      <c r="I9" s="384">
        <v>0</v>
      </c>
      <c r="J9" s="384">
        <v>0</v>
      </c>
      <c r="K9" s="384">
        <v>0</v>
      </c>
      <c r="L9" s="384">
        <v>0</v>
      </c>
      <c r="M9" s="384">
        <v>7893.52</v>
      </c>
      <c r="N9" s="383">
        <f t="shared" ref="N9:N72" si="1">+G9-I9+J9-K9+L9+M9+H9</f>
        <v>2615587.09</v>
      </c>
      <c r="O9" s="384">
        <v>6768.0033992216931</v>
      </c>
      <c r="P9" s="384">
        <v>0</v>
      </c>
      <c r="Q9" s="384">
        <v>386218.84771385574</v>
      </c>
      <c r="R9" s="383">
        <f t="shared" ref="R9:R72" si="2">+N9+P9+Q9+O9</f>
        <v>3008573.9411130771</v>
      </c>
      <c r="S9" s="392"/>
      <c r="T9" s="384">
        <f t="shared" ref="T9:T72" si="3">+R9+S9</f>
        <v>3008573.9411130771</v>
      </c>
    </row>
    <row r="10" spans="1:26" hidden="1" x14ac:dyDescent="0.25">
      <c r="A10" s="381">
        <v>107210</v>
      </c>
      <c r="B10" s="384">
        <v>0</v>
      </c>
      <c r="C10" s="384">
        <v>0</v>
      </c>
      <c r="D10" s="384">
        <v>0</v>
      </c>
      <c r="E10" s="384">
        <v>0</v>
      </c>
      <c r="F10" s="384">
        <v>0</v>
      </c>
      <c r="G10" s="383">
        <f t="shared" si="0"/>
        <v>0</v>
      </c>
      <c r="H10" s="384">
        <v>0</v>
      </c>
      <c r="I10" s="384">
        <v>0</v>
      </c>
      <c r="J10" s="384">
        <v>0</v>
      </c>
      <c r="K10" s="384">
        <v>0</v>
      </c>
      <c r="L10" s="384">
        <v>0</v>
      </c>
      <c r="M10" s="384">
        <v>0</v>
      </c>
      <c r="N10" s="383">
        <f t="shared" si="1"/>
        <v>0</v>
      </c>
      <c r="O10" s="384">
        <v>0</v>
      </c>
      <c r="P10" s="384">
        <v>0</v>
      </c>
      <c r="Q10" s="384">
        <v>0</v>
      </c>
      <c r="R10" s="383">
        <f t="shared" si="2"/>
        <v>0</v>
      </c>
      <c r="S10" s="392"/>
      <c r="T10" s="384">
        <f t="shared" si="3"/>
        <v>0</v>
      </c>
    </row>
    <row r="11" spans="1:26" hidden="1" x14ac:dyDescent="0.25">
      <c r="A11" s="381">
        <v>107215</v>
      </c>
      <c r="B11" s="384">
        <v>0</v>
      </c>
      <c r="C11" s="384">
        <v>0</v>
      </c>
      <c r="D11" s="384">
        <v>0</v>
      </c>
      <c r="E11" s="384">
        <v>0</v>
      </c>
      <c r="F11" s="384">
        <v>0</v>
      </c>
      <c r="G11" s="383">
        <f t="shared" si="0"/>
        <v>0</v>
      </c>
      <c r="H11" s="384">
        <v>0</v>
      </c>
      <c r="I11" s="384">
        <v>0</v>
      </c>
      <c r="J11" s="384">
        <v>0</v>
      </c>
      <c r="K11" s="384">
        <v>0</v>
      </c>
      <c r="L11" s="384">
        <v>0</v>
      </c>
      <c r="M11" s="384">
        <v>0</v>
      </c>
      <c r="N11" s="383">
        <f t="shared" si="1"/>
        <v>0</v>
      </c>
      <c r="O11" s="384">
        <v>0</v>
      </c>
      <c r="P11" s="384">
        <v>0</v>
      </c>
      <c r="Q11" s="384">
        <v>0</v>
      </c>
      <c r="R11" s="383">
        <f t="shared" si="2"/>
        <v>0</v>
      </c>
      <c r="S11" s="392"/>
      <c r="T11" s="384">
        <f t="shared" si="3"/>
        <v>0</v>
      </c>
    </row>
    <row r="12" spans="1:26" x14ac:dyDescent="0.25">
      <c r="A12" s="381">
        <v>107218</v>
      </c>
      <c r="B12" s="384">
        <v>463.63</v>
      </c>
      <c r="C12" s="384">
        <v>21.95</v>
      </c>
      <c r="D12" s="384">
        <v>0</v>
      </c>
      <c r="E12" s="384">
        <v>42.2</v>
      </c>
      <c r="F12" s="384">
        <v>0</v>
      </c>
      <c r="G12" s="383">
        <f t="shared" si="0"/>
        <v>527.78</v>
      </c>
      <c r="H12" s="384">
        <v>0</v>
      </c>
      <c r="I12" s="384">
        <v>0</v>
      </c>
      <c r="J12" s="384">
        <v>0</v>
      </c>
      <c r="K12" s="384">
        <v>0</v>
      </c>
      <c r="L12" s="384">
        <v>0</v>
      </c>
      <c r="M12" s="384">
        <v>0</v>
      </c>
      <c r="N12" s="383">
        <f t="shared" si="1"/>
        <v>527.78</v>
      </c>
      <c r="O12" s="384">
        <v>0</v>
      </c>
      <c r="P12" s="384">
        <v>0</v>
      </c>
      <c r="Q12" s="384">
        <v>0</v>
      </c>
      <c r="R12" s="383">
        <f t="shared" si="2"/>
        <v>527.78</v>
      </c>
      <c r="S12" s="392"/>
      <c r="T12" s="384">
        <f t="shared" si="3"/>
        <v>527.78</v>
      </c>
    </row>
    <row r="13" spans="1:26" hidden="1" x14ac:dyDescent="0.25">
      <c r="A13" s="381">
        <v>107230</v>
      </c>
      <c r="B13" s="384">
        <v>0</v>
      </c>
      <c r="C13" s="384">
        <v>0</v>
      </c>
      <c r="D13" s="384">
        <v>0</v>
      </c>
      <c r="E13" s="384">
        <v>0</v>
      </c>
      <c r="F13" s="384">
        <v>0</v>
      </c>
      <c r="G13" s="383">
        <f t="shared" si="0"/>
        <v>0</v>
      </c>
      <c r="H13" s="384">
        <v>0</v>
      </c>
      <c r="I13" s="384">
        <v>0</v>
      </c>
      <c r="J13" s="384">
        <v>0</v>
      </c>
      <c r="K13" s="384">
        <v>0</v>
      </c>
      <c r="L13" s="384">
        <v>0</v>
      </c>
      <c r="M13" s="384">
        <v>0</v>
      </c>
      <c r="N13" s="383">
        <f t="shared" si="1"/>
        <v>0</v>
      </c>
      <c r="O13" s="384">
        <v>0</v>
      </c>
      <c r="P13" s="384">
        <v>0</v>
      </c>
      <c r="Q13" s="384">
        <v>0</v>
      </c>
      <c r="R13" s="383">
        <f t="shared" si="2"/>
        <v>0</v>
      </c>
      <c r="S13" s="392"/>
      <c r="T13" s="384">
        <f t="shared" si="3"/>
        <v>0</v>
      </c>
    </row>
    <row r="14" spans="1:26" hidden="1" x14ac:dyDescent="0.25">
      <c r="A14" s="381">
        <v>107235</v>
      </c>
      <c r="B14" s="384">
        <v>0</v>
      </c>
      <c r="C14" s="384">
        <v>0</v>
      </c>
      <c r="D14" s="384">
        <v>0</v>
      </c>
      <c r="E14" s="384">
        <v>0</v>
      </c>
      <c r="F14" s="384">
        <v>0</v>
      </c>
      <c r="G14" s="383">
        <f t="shared" si="0"/>
        <v>0</v>
      </c>
      <c r="H14" s="384">
        <v>0</v>
      </c>
      <c r="I14" s="384">
        <v>0</v>
      </c>
      <c r="J14" s="384">
        <v>0</v>
      </c>
      <c r="K14" s="384">
        <v>0</v>
      </c>
      <c r="L14" s="384">
        <v>0</v>
      </c>
      <c r="M14" s="384">
        <v>0</v>
      </c>
      <c r="N14" s="383">
        <f t="shared" si="1"/>
        <v>0</v>
      </c>
      <c r="O14" s="384">
        <v>0</v>
      </c>
      <c r="P14" s="384">
        <v>0</v>
      </c>
      <c r="Q14" s="384">
        <v>0</v>
      </c>
      <c r="R14" s="383">
        <f t="shared" si="2"/>
        <v>0</v>
      </c>
      <c r="S14" s="392"/>
      <c r="T14" s="384">
        <f t="shared" si="3"/>
        <v>0</v>
      </c>
    </row>
    <row r="15" spans="1:26" hidden="1" x14ac:dyDescent="0.25">
      <c r="A15" s="381">
        <v>107240</v>
      </c>
      <c r="B15" s="384">
        <v>0</v>
      </c>
      <c r="C15" s="384">
        <v>0</v>
      </c>
      <c r="D15" s="384">
        <v>0</v>
      </c>
      <c r="E15" s="384">
        <v>0</v>
      </c>
      <c r="F15" s="384">
        <v>0</v>
      </c>
      <c r="G15" s="383">
        <f t="shared" si="0"/>
        <v>0</v>
      </c>
      <c r="H15" s="384">
        <v>0</v>
      </c>
      <c r="I15" s="384">
        <v>0</v>
      </c>
      <c r="J15" s="384">
        <v>0</v>
      </c>
      <c r="K15" s="384">
        <v>0</v>
      </c>
      <c r="L15" s="384">
        <v>0</v>
      </c>
      <c r="M15" s="384">
        <v>0</v>
      </c>
      <c r="N15" s="383">
        <f t="shared" si="1"/>
        <v>0</v>
      </c>
      <c r="O15" s="384">
        <v>0</v>
      </c>
      <c r="P15" s="384">
        <v>0</v>
      </c>
      <c r="Q15" s="384">
        <v>0</v>
      </c>
      <c r="R15" s="383">
        <f t="shared" si="2"/>
        <v>0</v>
      </c>
      <c r="S15" s="392"/>
      <c r="T15" s="384">
        <f t="shared" si="3"/>
        <v>0</v>
      </c>
    </row>
    <row r="16" spans="1:26" hidden="1" x14ac:dyDescent="0.25">
      <c r="A16" s="381">
        <v>107245</v>
      </c>
      <c r="B16" s="384">
        <v>0</v>
      </c>
      <c r="C16" s="384">
        <v>0</v>
      </c>
      <c r="D16" s="384">
        <v>0</v>
      </c>
      <c r="E16" s="384">
        <v>0</v>
      </c>
      <c r="F16" s="384">
        <v>0</v>
      </c>
      <c r="G16" s="383">
        <f t="shared" si="0"/>
        <v>0</v>
      </c>
      <c r="H16" s="384">
        <v>0</v>
      </c>
      <c r="I16" s="384">
        <v>0</v>
      </c>
      <c r="J16" s="384">
        <v>0</v>
      </c>
      <c r="K16" s="384">
        <v>0</v>
      </c>
      <c r="L16" s="384">
        <v>0</v>
      </c>
      <c r="M16" s="384">
        <v>0</v>
      </c>
      <c r="N16" s="383">
        <f t="shared" si="1"/>
        <v>0</v>
      </c>
      <c r="O16" s="384">
        <v>0</v>
      </c>
      <c r="P16" s="384">
        <v>0</v>
      </c>
      <c r="Q16" s="384">
        <v>0</v>
      </c>
      <c r="R16" s="383">
        <f t="shared" si="2"/>
        <v>0</v>
      </c>
      <c r="S16" s="392"/>
      <c r="T16" s="384">
        <f t="shared" si="3"/>
        <v>0</v>
      </c>
    </row>
    <row r="17" spans="1:20" x14ac:dyDescent="0.25">
      <c r="A17" s="381">
        <v>107250</v>
      </c>
      <c r="B17" s="384">
        <v>358.68</v>
      </c>
      <c r="C17" s="384">
        <v>46.97</v>
      </c>
      <c r="D17" s="384">
        <v>0</v>
      </c>
      <c r="E17" s="384">
        <v>45.17</v>
      </c>
      <c r="F17" s="384">
        <v>0</v>
      </c>
      <c r="G17" s="383">
        <f t="shared" si="0"/>
        <v>450.82</v>
      </c>
      <c r="H17" s="384">
        <v>-307.39</v>
      </c>
      <c r="I17" s="384">
        <v>0</v>
      </c>
      <c r="J17" s="384">
        <v>0</v>
      </c>
      <c r="K17" s="384">
        <v>0</v>
      </c>
      <c r="L17" s="384">
        <v>0</v>
      </c>
      <c r="M17" s="384">
        <v>0</v>
      </c>
      <c r="N17" s="383">
        <f t="shared" si="1"/>
        <v>143.43</v>
      </c>
      <c r="O17" s="384">
        <v>0</v>
      </c>
      <c r="P17" s="384">
        <v>0</v>
      </c>
      <c r="Q17" s="384">
        <v>0</v>
      </c>
      <c r="R17" s="383">
        <f t="shared" si="2"/>
        <v>143.43</v>
      </c>
      <c r="S17" s="392"/>
      <c r="T17" s="384">
        <f t="shared" si="3"/>
        <v>143.43</v>
      </c>
    </row>
    <row r="18" spans="1:20" x14ac:dyDescent="0.25">
      <c r="A18" s="381">
        <v>107255</v>
      </c>
      <c r="B18" s="384">
        <v>307017.11999999994</v>
      </c>
      <c r="C18" s="384">
        <v>7567.08</v>
      </c>
      <c r="D18" s="384">
        <v>1184.97</v>
      </c>
      <c r="E18" s="384">
        <v>23918.949999999997</v>
      </c>
      <c r="F18" s="384">
        <v>0</v>
      </c>
      <c r="G18" s="383">
        <f t="shared" si="0"/>
        <v>339688.11999999994</v>
      </c>
      <c r="H18" s="384">
        <v>-298555.46000000002</v>
      </c>
      <c r="I18" s="384">
        <v>0</v>
      </c>
      <c r="J18" s="384">
        <v>0</v>
      </c>
      <c r="K18" s="384">
        <v>0</v>
      </c>
      <c r="L18" s="384">
        <v>0</v>
      </c>
      <c r="M18" s="384">
        <v>0</v>
      </c>
      <c r="N18" s="383">
        <f t="shared" si="1"/>
        <v>41132.659999999916</v>
      </c>
      <c r="O18" s="384">
        <v>302.77746133242658</v>
      </c>
      <c r="P18" s="384">
        <v>0</v>
      </c>
      <c r="Q18" s="384">
        <v>0</v>
      </c>
      <c r="R18" s="383">
        <f t="shared" si="2"/>
        <v>41435.437461332345</v>
      </c>
      <c r="S18" s="392"/>
      <c r="T18" s="384">
        <f t="shared" si="3"/>
        <v>41435.437461332345</v>
      </c>
    </row>
    <row r="19" spans="1:20" x14ac:dyDescent="0.25">
      <c r="A19" s="381">
        <v>107260</v>
      </c>
      <c r="B19" s="384">
        <v>5172.01</v>
      </c>
      <c r="C19" s="384">
        <v>325.3</v>
      </c>
      <c r="D19" s="384">
        <v>0</v>
      </c>
      <c r="E19" s="384">
        <v>404.23</v>
      </c>
      <c r="F19" s="384">
        <v>0</v>
      </c>
      <c r="G19" s="383">
        <f t="shared" si="0"/>
        <v>5901.5400000000009</v>
      </c>
      <c r="H19" s="384">
        <v>-5904.97</v>
      </c>
      <c r="I19" s="384">
        <v>0</v>
      </c>
      <c r="J19" s="384">
        <v>0</v>
      </c>
      <c r="K19" s="384">
        <v>0</v>
      </c>
      <c r="L19" s="384">
        <v>0</v>
      </c>
      <c r="M19" s="384">
        <v>33.93</v>
      </c>
      <c r="N19" s="383">
        <f t="shared" si="1"/>
        <v>30.500000000000909</v>
      </c>
      <c r="O19" s="384">
        <v>2.3539916784468748</v>
      </c>
      <c r="P19" s="384">
        <v>0</v>
      </c>
      <c r="Q19" s="384">
        <v>0</v>
      </c>
      <c r="R19" s="383">
        <f t="shared" si="2"/>
        <v>32.853991678447784</v>
      </c>
      <c r="S19" s="392"/>
      <c r="T19" s="384">
        <f t="shared" si="3"/>
        <v>32.853991678447784</v>
      </c>
    </row>
    <row r="20" spans="1:20" x14ac:dyDescent="0.25">
      <c r="A20" s="381">
        <v>107265</v>
      </c>
      <c r="B20" s="384">
        <v>318.2</v>
      </c>
      <c r="C20" s="384">
        <v>0</v>
      </c>
      <c r="D20" s="384">
        <v>0</v>
      </c>
      <c r="E20" s="384">
        <v>25.85</v>
      </c>
      <c r="F20" s="384">
        <v>0</v>
      </c>
      <c r="G20" s="383">
        <f t="shared" si="0"/>
        <v>344.05</v>
      </c>
      <c r="H20" s="384">
        <v>0</v>
      </c>
      <c r="I20" s="384">
        <v>0</v>
      </c>
      <c r="J20" s="384">
        <v>0</v>
      </c>
      <c r="K20" s="384">
        <v>0</v>
      </c>
      <c r="L20" s="384">
        <v>0</v>
      </c>
      <c r="M20" s="384">
        <v>0</v>
      </c>
      <c r="N20" s="383">
        <f t="shared" si="1"/>
        <v>344.05</v>
      </c>
      <c r="O20" s="384">
        <v>0</v>
      </c>
      <c r="P20" s="384">
        <v>0</v>
      </c>
      <c r="Q20" s="384">
        <v>0</v>
      </c>
      <c r="R20" s="383">
        <f t="shared" si="2"/>
        <v>344.05</v>
      </c>
      <c r="S20" s="392"/>
      <c r="T20" s="384">
        <f t="shared" si="3"/>
        <v>344.05</v>
      </c>
    </row>
    <row r="21" spans="1:20" hidden="1" x14ac:dyDescent="0.25">
      <c r="A21" s="381">
        <v>107270</v>
      </c>
      <c r="B21" s="384">
        <v>0</v>
      </c>
      <c r="C21" s="384">
        <v>0</v>
      </c>
      <c r="D21" s="384">
        <v>0</v>
      </c>
      <c r="E21" s="384">
        <v>0</v>
      </c>
      <c r="F21" s="384">
        <v>0</v>
      </c>
      <c r="G21" s="383">
        <f t="shared" si="0"/>
        <v>0</v>
      </c>
      <c r="H21" s="384">
        <v>0</v>
      </c>
      <c r="I21" s="384">
        <v>0</v>
      </c>
      <c r="J21" s="384">
        <v>0</v>
      </c>
      <c r="K21" s="384">
        <v>0</v>
      </c>
      <c r="L21" s="384">
        <v>0</v>
      </c>
      <c r="M21" s="384">
        <v>0</v>
      </c>
      <c r="N21" s="383">
        <f t="shared" si="1"/>
        <v>0</v>
      </c>
      <c r="O21" s="384">
        <v>0</v>
      </c>
      <c r="P21" s="384">
        <v>0</v>
      </c>
      <c r="Q21" s="384">
        <v>0</v>
      </c>
      <c r="R21" s="383">
        <f t="shared" si="2"/>
        <v>0</v>
      </c>
      <c r="S21" s="392"/>
      <c r="T21" s="384">
        <f t="shared" si="3"/>
        <v>0</v>
      </c>
    </row>
    <row r="22" spans="1:20" hidden="1" x14ac:dyDescent="0.25">
      <c r="A22" s="381">
        <v>107275</v>
      </c>
      <c r="B22" s="384">
        <v>0</v>
      </c>
      <c r="C22" s="384">
        <v>0</v>
      </c>
      <c r="D22" s="384">
        <v>0</v>
      </c>
      <c r="E22" s="384">
        <v>0</v>
      </c>
      <c r="F22" s="384">
        <v>0</v>
      </c>
      <c r="G22" s="383">
        <f t="shared" si="0"/>
        <v>0</v>
      </c>
      <c r="H22" s="384">
        <v>0</v>
      </c>
      <c r="I22" s="384">
        <v>0</v>
      </c>
      <c r="J22" s="384">
        <v>0</v>
      </c>
      <c r="K22" s="384">
        <v>0</v>
      </c>
      <c r="L22" s="384">
        <v>0</v>
      </c>
      <c r="M22" s="384">
        <v>0</v>
      </c>
      <c r="N22" s="383">
        <f t="shared" si="1"/>
        <v>0</v>
      </c>
      <c r="O22" s="384">
        <v>0</v>
      </c>
      <c r="P22" s="384">
        <v>0</v>
      </c>
      <c r="Q22" s="384">
        <v>0</v>
      </c>
      <c r="R22" s="383">
        <f t="shared" si="2"/>
        <v>0</v>
      </c>
      <c r="S22" s="392"/>
      <c r="T22" s="384">
        <f t="shared" si="3"/>
        <v>0</v>
      </c>
    </row>
    <row r="23" spans="1:20" hidden="1" x14ac:dyDescent="0.25">
      <c r="A23" s="381">
        <v>107280</v>
      </c>
      <c r="B23" s="384">
        <v>0</v>
      </c>
      <c r="C23" s="384">
        <v>0</v>
      </c>
      <c r="D23" s="384">
        <v>0</v>
      </c>
      <c r="E23" s="384">
        <v>0</v>
      </c>
      <c r="F23" s="384">
        <v>0</v>
      </c>
      <c r="G23" s="383">
        <f t="shared" si="0"/>
        <v>0</v>
      </c>
      <c r="H23" s="384">
        <v>0</v>
      </c>
      <c r="I23" s="384">
        <v>0</v>
      </c>
      <c r="J23" s="384">
        <v>0</v>
      </c>
      <c r="K23" s="384">
        <v>0</v>
      </c>
      <c r="L23" s="384">
        <v>0</v>
      </c>
      <c r="M23" s="384">
        <v>0</v>
      </c>
      <c r="N23" s="383">
        <f t="shared" si="1"/>
        <v>0</v>
      </c>
      <c r="O23" s="384">
        <v>0</v>
      </c>
      <c r="P23" s="384">
        <v>0</v>
      </c>
      <c r="Q23" s="384">
        <v>0</v>
      </c>
      <c r="R23" s="383">
        <f t="shared" si="2"/>
        <v>0</v>
      </c>
      <c r="S23" s="392"/>
      <c r="T23" s="384">
        <f t="shared" si="3"/>
        <v>0</v>
      </c>
    </row>
    <row r="24" spans="1:20" x14ac:dyDescent="0.25">
      <c r="A24" s="381">
        <v>107285</v>
      </c>
      <c r="B24" s="384">
        <v>22876.61</v>
      </c>
      <c r="C24" s="384">
        <v>866.35</v>
      </c>
      <c r="D24" s="384">
        <v>76.22</v>
      </c>
      <c r="E24" s="384">
        <v>2437.7800000000002</v>
      </c>
      <c r="F24" s="384">
        <v>0</v>
      </c>
      <c r="G24" s="383">
        <f t="shared" si="0"/>
        <v>26256.959999999999</v>
      </c>
      <c r="H24" s="384">
        <v>-20640.82</v>
      </c>
      <c r="I24" s="384">
        <v>0</v>
      </c>
      <c r="J24" s="384">
        <v>0</v>
      </c>
      <c r="K24" s="384">
        <v>0</v>
      </c>
      <c r="L24" s="384">
        <v>0</v>
      </c>
      <c r="M24" s="384">
        <v>0</v>
      </c>
      <c r="N24" s="383">
        <f t="shared" si="1"/>
        <v>5616.1399999999994</v>
      </c>
      <c r="O24" s="384">
        <v>8.0540229942092125</v>
      </c>
      <c r="P24" s="384">
        <v>0</v>
      </c>
      <c r="Q24" s="384">
        <v>0</v>
      </c>
      <c r="R24" s="383">
        <f t="shared" si="2"/>
        <v>5624.1940229942084</v>
      </c>
      <c r="S24" s="392"/>
      <c r="T24" s="384">
        <f t="shared" si="3"/>
        <v>5624.1940229942084</v>
      </c>
    </row>
    <row r="25" spans="1:20" x14ac:dyDescent="0.25">
      <c r="A25" s="381">
        <v>107295</v>
      </c>
      <c r="B25" s="384">
        <v>26941.69</v>
      </c>
      <c r="C25" s="384">
        <v>99.95</v>
      </c>
      <c r="D25" s="384">
        <v>0</v>
      </c>
      <c r="E25" s="384">
        <v>1926.6200000000001</v>
      </c>
      <c r="F25" s="384">
        <v>0</v>
      </c>
      <c r="G25" s="383">
        <f t="shared" si="0"/>
        <v>28968.26</v>
      </c>
      <c r="H25" s="384">
        <v>0</v>
      </c>
      <c r="I25" s="384">
        <v>0</v>
      </c>
      <c r="J25" s="384">
        <v>0</v>
      </c>
      <c r="K25" s="384">
        <v>0</v>
      </c>
      <c r="L25" s="384">
        <v>0</v>
      </c>
      <c r="M25" s="384">
        <v>0</v>
      </c>
      <c r="N25" s="383">
        <f t="shared" si="1"/>
        <v>28968.26</v>
      </c>
      <c r="O25" s="384">
        <v>107.95423816638808</v>
      </c>
      <c r="P25" s="384">
        <v>0</v>
      </c>
      <c r="Q25" s="384">
        <v>0</v>
      </c>
      <c r="R25" s="383">
        <f t="shared" si="2"/>
        <v>29076.214238166387</v>
      </c>
      <c r="S25" s="392"/>
      <c r="T25" s="384">
        <f t="shared" si="3"/>
        <v>29076.214238166387</v>
      </c>
    </row>
    <row r="26" spans="1:20" hidden="1" x14ac:dyDescent="0.25">
      <c r="A26" s="381">
        <v>107400</v>
      </c>
      <c r="B26" s="384">
        <v>0</v>
      </c>
      <c r="C26" s="384">
        <v>0</v>
      </c>
      <c r="D26" s="384">
        <v>0</v>
      </c>
      <c r="E26" s="384">
        <v>0</v>
      </c>
      <c r="F26" s="384">
        <v>0</v>
      </c>
      <c r="G26" s="383">
        <f t="shared" si="0"/>
        <v>0</v>
      </c>
      <c r="H26" s="384">
        <v>0</v>
      </c>
      <c r="I26" s="384">
        <v>0</v>
      </c>
      <c r="J26" s="384">
        <v>0</v>
      </c>
      <c r="K26" s="384">
        <v>0</v>
      </c>
      <c r="L26" s="384">
        <v>0</v>
      </c>
      <c r="M26" s="384">
        <v>0</v>
      </c>
      <c r="N26" s="383">
        <f t="shared" si="1"/>
        <v>0</v>
      </c>
      <c r="O26" s="384">
        <v>0</v>
      </c>
      <c r="P26" s="384">
        <v>0</v>
      </c>
      <c r="Q26" s="384">
        <v>0</v>
      </c>
      <c r="R26" s="383">
        <f t="shared" si="2"/>
        <v>0</v>
      </c>
      <c r="S26" s="392"/>
      <c r="T26" s="384">
        <f t="shared" si="3"/>
        <v>0</v>
      </c>
    </row>
    <row r="27" spans="1:20" x14ac:dyDescent="0.25">
      <c r="A27" s="381">
        <v>107500</v>
      </c>
      <c r="B27" s="384">
        <v>109496.01999999999</v>
      </c>
      <c r="C27" s="384">
        <v>2287.84</v>
      </c>
      <c r="D27" s="384">
        <v>1464.5</v>
      </c>
      <c r="E27" s="384">
        <v>9430.76</v>
      </c>
      <c r="F27" s="384">
        <v>0</v>
      </c>
      <c r="G27" s="383">
        <f t="shared" si="0"/>
        <v>122679.11999999998</v>
      </c>
      <c r="H27" s="384">
        <v>0</v>
      </c>
      <c r="I27" s="384">
        <v>0</v>
      </c>
      <c r="J27" s="384">
        <v>0</v>
      </c>
      <c r="K27" s="384">
        <v>0</v>
      </c>
      <c r="L27" s="384">
        <v>0</v>
      </c>
      <c r="M27" s="384">
        <v>715.3</v>
      </c>
      <c r="N27" s="383">
        <f t="shared" si="1"/>
        <v>123394.41999999998</v>
      </c>
      <c r="O27" s="384">
        <v>169.60721149975615</v>
      </c>
      <c r="P27" s="384">
        <v>0</v>
      </c>
      <c r="Q27" s="384">
        <v>0</v>
      </c>
      <c r="R27" s="383">
        <f t="shared" si="2"/>
        <v>123564.02721149974</v>
      </c>
      <c r="S27" s="392"/>
      <c r="T27" s="384">
        <f t="shared" si="3"/>
        <v>123564.02721149974</v>
      </c>
    </row>
    <row r="28" spans="1:20" x14ac:dyDescent="0.25">
      <c r="A28" s="381">
        <v>108800</v>
      </c>
      <c r="B28" s="384">
        <v>266614.52</v>
      </c>
      <c r="C28" s="384">
        <v>8094.7699999999995</v>
      </c>
      <c r="D28" s="384">
        <v>1241.6199999999999</v>
      </c>
      <c r="E28" s="384">
        <v>22255.45</v>
      </c>
      <c r="F28" s="384">
        <v>0</v>
      </c>
      <c r="G28" s="383">
        <f t="shared" si="0"/>
        <v>298206.36000000004</v>
      </c>
      <c r="H28" s="384">
        <v>8256.34</v>
      </c>
      <c r="I28" s="384">
        <v>0</v>
      </c>
      <c r="J28" s="384">
        <v>0</v>
      </c>
      <c r="K28" s="384">
        <v>0</v>
      </c>
      <c r="L28" s="384">
        <v>0</v>
      </c>
      <c r="M28" s="384">
        <v>756.42</v>
      </c>
      <c r="N28" s="383">
        <f t="shared" si="1"/>
        <v>307219.12000000005</v>
      </c>
      <c r="O28" s="384">
        <v>2817.1375369471898</v>
      </c>
      <c r="P28" s="384">
        <v>0</v>
      </c>
      <c r="Q28" s="384">
        <v>0</v>
      </c>
      <c r="R28" s="383">
        <f t="shared" si="2"/>
        <v>310036.25753694726</v>
      </c>
      <c r="S28" s="392"/>
      <c r="T28" s="384">
        <f t="shared" si="3"/>
        <v>310036.25753694726</v>
      </c>
    </row>
    <row r="29" spans="1:20" x14ac:dyDescent="0.25">
      <c r="A29" s="381">
        <v>108810</v>
      </c>
      <c r="B29" s="384">
        <v>98.28</v>
      </c>
      <c r="C29" s="384">
        <v>3.0500000000000003</v>
      </c>
      <c r="D29" s="384">
        <v>0.98</v>
      </c>
      <c r="E29" s="384">
        <v>10.059999999999999</v>
      </c>
      <c r="F29" s="384">
        <v>0</v>
      </c>
      <c r="G29" s="383">
        <f t="shared" si="0"/>
        <v>112.37</v>
      </c>
      <c r="H29" s="384">
        <v>108.27</v>
      </c>
      <c r="I29" s="384">
        <v>0</v>
      </c>
      <c r="J29" s="384">
        <v>0</v>
      </c>
      <c r="K29" s="384">
        <v>0</v>
      </c>
      <c r="L29" s="384">
        <v>0</v>
      </c>
      <c r="M29" s="384">
        <v>0</v>
      </c>
      <c r="N29" s="383">
        <f t="shared" si="1"/>
        <v>220.64</v>
      </c>
      <c r="O29" s="384">
        <v>0</v>
      </c>
      <c r="P29" s="384">
        <v>0</v>
      </c>
      <c r="Q29" s="384">
        <v>0</v>
      </c>
      <c r="R29" s="383">
        <f t="shared" si="2"/>
        <v>220.64</v>
      </c>
      <c r="S29" s="392"/>
      <c r="T29" s="384">
        <f t="shared" si="3"/>
        <v>220.64</v>
      </c>
    </row>
    <row r="30" spans="1:20" x14ac:dyDescent="0.25">
      <c r="A30" s="385">
        <v>142200</v>
      </c>
      <c r="B30" s="384">
        <v>0</v>
      </c>
      <c r="C30" s="384">
        <v>0</v>
      </c>
      <c r="D30" s="384">
        <v>0</v>
      </c>
      <c r="E30" s="384">
        <v>0</v>
      </c>
      <c r="F30" s="384">
        <v>0</v>
      </c>
      <c r="G30" s="383">
        <f t="shared" si="0"/>
        <v>0</v>
      </c>
      <c r="H30" s="384">
        <v>4902.37</v>
      </c>
      <c r="I30" s="384">
        <v>0</v>
      </c>
      <c r="J30" s="384">
        <v>0</v>
      </c>
      <c r="K30" s="384">
        <v>0</v>
      </c>
      <c r="L30" s="384">
        <v>0</v>
      </c>
      <c r="M30" s="384">
        <v>0</v>
      </c>
      <c r="N30" s="383">
        <f t="shared" si="1"/>
        <v>4902.37</v>
      </c>
      <c r="O30" s="384">
        <v>0</v>
      </c>
      <c r="P30" s="384">
        <v>0</v>
      </c>
      <c r="Q30" s="384">
        <v>0</v>
      </c>
      <c r="R30" s="383">
        <f t="shared" si="2"/>
        <v>4902.37</v>
      </c>
      <c r="S30" s="392"/>
      <c r="T30" s="384">
        <f t="shared" si="3"/>
        <v>4902.37</v>
      </c>
    </row>
    <row r="31" spans="1:20" x14ac:dyDescent="0.25">
      <c r="A31" s="381">
        <v>143100</v>
      </c>
      <c r="B31" s="384">
        <v>0</v>
      </c>
      <c r="C31" s="384">
        <v>0</v>
      </c>
      <c r="D31" s="384">
        <v>0</v>
      </c>
      <c r="E31" s="384">
        <v>0</v>
      </c>
      <c r="F31" s="384">
        <v>0</v>
      </c>
      <c r="G31" s="383">
        <f t="shared" si="0"/>
        <v>0</v>
      </c>
      <c r="H31" s="384">
        <v>1695.85</v>
      </c>
      <c r="I31" s="384">
        <v>0</v>
      </c>
      <c r="J31" s="384">
        <v>0</v>
      </c>
      <c r="K31" s="384">
        <v>0</v>
      </c>
      <c r="L31" s="384">
        <v>0</v>
      </c>
      <c r="M31" s="384">
        <v>0</v>
      </c>
      <c r="N31" s="383">
        <f t="shared" si="1"/>
        <v>1695.85</v>
      </c>
      <c r="O31" s="384">
        <v>0</v>
      </c>
      <c r="P31" s="384">
        <v>0</v>
      </c>
      <c r="Q31" s="384">
        <v>0</v>
      </c>
      <c r="R31" s="383">
        <f t="shared" si="2"/>
        <v>1695.85</v>
      </c>
      <c r="S31" s="392"/>
      <c r="T31" s="384">
        <f t="shared" si="3"/>
        <v>1695.85</v>
      </c>
    </row>
    <row r="32" spans="1:20" x14ac:dyDescent="0.25">
      <c r="A32" s="381">
        <v>143600</v>
      </c>
      <c r="B32" s="384">
        <v>0</v>
      </c>
      <c r="C32" s="384">
        <v>0</v>
      </c>
      <c r="D32" s="384">
        <v>0</v>
      </c>
      <c r="E32" s="384">
        <v>0</v>
      </c>
      <c r="F32" s="384">
        <v>0</v>
      </c>
      <c r="G32" s="383">
        <f t="shared" si="0"/>
        <v>0</v>
      </c>
      <c r="H32" s="384">
        <v>-1612.2</v>
      </c>
      <c r="I32" s="384">
        <v>0</v>
      </c>
      <c r="J32" s="384">
        <v>0</v>
      </c>
      <c r="K32" s="384">
        <v>0</v>
      </c>
      <c r="L32" s="384">
        <v>0</v>
      </c>
      <c r="M32" s="384">
        <v>0</v>
      </c>
      <c r="N32" s="383">
        <f t="shared" si="1"/>
        <v>-1612.2</v>
      </c>
      <c r="O32" s="384">
        <v>0</v>
      </c>
      <c r="P32" s="384">
        <v>0</v>
      </c>
      <c r="Q32" s="384">
        <v>0</v>
      </c>
      <c r="R32" s="383">
        <f t="shared" si="2"/>
        <v>-1612.2</v>
      </c>
      <c r="S32" s="392"/>
      <c r="T32" s="384">
        <f t="shared" si="3"/>
        <v>-1612.2</v>
      </c>
    </row>
    <row r="33" spans="1:20" hidden="1" x14ac:dyDescent="0.25">
      <c r="A33" s="381">
        <v>146000</v>
      </c>
      <c r="B33" s="384">
        <v>0</v>
      </c>
      <c r="C33" s="384">
        <v>0</v>
      </c>
      <c r="D33" s="384">
        <v>0</v>
      </c>
      <c r="E33" s="384">
        <v>0</v>
      </c>
      <c r="F33" s="384">
        <v>0</v>
      </c>
      <c r="G33" s="383">
        <f t="shared" si="0"/>
        <v>0</v>
      </c>
      <c r="H33" s="384">
        <v>0</v>
      </c>
      <c r="I33" s="384">
        <v>0</v>
      </c>
      <c r="J33" s="384">
        <v>0</v>
      </c>
      <c r="K33" s="384">
        <v>0</v>
      </c>
      <c r="L33" s="384">
        <v>0</v>
      </c>
      <c r="M33" s="384">
        <v>0</v>
      </c>
      <c r="N33" s="383">
        <f t="shared" si="1"/>
        <v>0</v>
      </c>
      <c r="O33" s="384">
        <v>0</v>
      </c>
      <c r="P33" s="384">
        <v>0</v>
      </c>
      <c r="Q33" s="384">
        <v>0</v>
      </c>
      <c r="R33" s="383">
        <f t="shared" si="2"/>
        <v>0</v>
      </c>
      <c r="S33" s="392"/>
      <c r="T33" s="384">
        <f t="shared" si="3"/>
        <v>0</v>
      </c>
    </row>
    <row r="34" spans="1:20" x14ac:dyDescent="0.25">
      <c r="A34" s="381">
        <v>163000</v>
      </c>
      <c r="B34" s="384">
        <v>434206.58999999997</v>
      </c>
      <c r="C34" s="384">
        <v>14902.41</v>
      </c>
      <c r="D34" s="384">
        <v>2888.31</v>
      </c>
      <c r="E34" s="384">
        <v>39317.46</v>
      </c>
      <c r="F34" s="384">
        <v>17293.25</v>
      </c>
      <c r="G34" s="383">
        <f t="shared" si="0"/>
        <v>508608.01999999996</v>
      </c>
      <c r="H34" s="384">
        <v>-16548.2</v>
      </c>
      <c r="I34" s="384">
        <v>0</v>
      </c>
      <c r="J34" s="384">
        <v>0</v>
      </c>
      <c r="K34" s="384">
        <v>0</v>
      </c>
      <c r="L34" s="384">
        <v>0</v>
      </c>
      <c r="M34" s="384">
        <v>1480.45</v>
      </c>
      <c r="N34" s="383">
        <f t="shared" si="1"/>
        <v>493540.26999999996</v>
      </c>
      <c r="O34" s="384">
        <v>181.45152414227059</v>
      </c>
      <c r="P34" s="384">
        <v>0</v>
      </c>
      <c r="Q34" s="384">
        <v>-493721.72152414225</v>
      </c>
      <c r="R34" s="383">
        <f t="shared" si="2"/>
        <v>-2.1742607714259066E-11</v>
      </c>
      <c r="S34" s="392"/>
      <c r="T34" s="384">
        <f t="shared" si="3"/>
        <v>-2.1742607714259066E-11</v>
      </c>
    </row>
    <row r="35" spans="1:20" hidden="1" x14ac:dyDescent="0.25">
      <c r="A35" s="381">
        <v>163200</v>
      </c>
      <c r="B35" s="384">
        <v>0</v>
      </c>
      <c r="C35" s="384">
        <v>0</v>
      </c>
      <c r="D35" s="384">
        <v>0</v>
      </c>
      <c r="E35" s="384">
        <v>0</v>
      </c>
      <c r="F35" s="384">
        <v>0</v>
      </c>
      <c r="G35" s="383">
        <f t="shared" si="0"/>
        <v>0</v>
      </c>
      <c r="H35" s="384">
        <v>0</v>
      </c>
      <c r="I35" s="384">
        <v>0</v>
      </c>
      <c r="J35" s="384">
        <v>0</v>
      </c>
      <c r="K35" s="384">
        <v>0</v>
      </c>
      <c r="L35" s="384">
        <v>0</v>
      </c>
      <c r="M35" s="384">
        <v>0</v>
      </c>
      <c r="N35" s="383">
        <f t="shared" si="1"/>
        <v>0</v>
      </c>
      <c r="O35" s="384">
        <v>0</v>
      </c>
      <c r="P35" s="384">
        <v>0</v>
      </c>
      <c r="Q35" s="384">
        <v>0</v>
      </c>
      <c r="R35" s="383">
        <f t="shared" si="2"/>
        <v>0</v>
      </c>
      <c r="S35" s="392"/>
      <c r="T35" s="384">
        <f t="shared" si="3"/>
        <v>0</v>
      </c>
    </row>
    <row r="36" spans="1:20" x14ac:dyDescent="0.25">
      <c r="A36" s="381">
        <v>183200</v>
      </c>
      <c r="B36" s="384">
        <v>4400.68</v>
      </c>
      <c r="C36" s="384">
        <v>129.62</v>
      </c>
      <c r="D36" s="384">
        <v>0</v>
      </c>
      <c r="E36" s="384">
        <v>405.28000000000003</v>
      </c>
      <c r="F36" s="384">
        <v>0</v>
      </c>
      <c r="G36" s="383">
        <f t="shared" si="0"/>
        <v>4935.58</v>
      </c>
      <c r="H36" s="384">
        <v>0</v>
      </c>
      <c r="I36" s="384">
        <v>0</v>
      </c>
      <c r="J36" s="384">
        <v>0</v>
      </c>
      <c r="K36" s="384">
        <v>0</v>
      </c>
      <c r="L36" s="384">
        <v>0</v>
      </c>
      <c r="M36" s="384">
        <v>0</v>
      </c>
      <c r="N36" s="383">
        <f t="shared" si="1"/>
        <v>4935.58</v>
      </c>
      <c r="O36" s="384">
        <v>4.0358868264381123</v>
      </c>
      <c r="P36" s="384">
        <v>0</v>
      </c>
      <c r="Q36" s="384">
        <v>0</v>
      </c>
      <c r="R36" s="383">
        <f t="shared" si="2"/>
        <v>4939.6158868264383</v>
      </c>
      <c r="S36" s="392"/>
      <c r="T36" s="384">
        <f t="shared" si="3"/>
        <v>4939.6158868264383</v>
      </c>
    </row>
    <row r="37" spans="1:20" x14ac:dyDescent="0.25">
      <c r="A37" s="381">
        <v>184100</v>
      </c>
      <c r="B37" s="384">
        <v>20603.16</v>
      </c>
      <c r="C37" s="384">
        <v>681.55</v>
      </c>
      <c r="D37" s="384">
        <v>95.39</v>
      </c>
      <c r="E37" s="384">
        <v>1702.62</v>
      </c>
      <c r="F37" s="384">
        <v>0</v>
      </c>
      <c r="G37" s="383">
        <f t="shared" si="0"/>
        <v>23082.719999999998</v>
      </c>
      <c r="H37" s="384">
        <v>0</v>
      </c>
      <c r="I37" s="384">
        <v>0</v>
      </c>
      <c r="J37" s="384">
        <v>0</v>
      </c>
      <c r="K37" s="384">
        <v>0</v>
      </c>
      <c r="L37" s="384">
        <v>0</v>
      </c>
      <c r="M37" s="384">
        <v>65.760000000000005</v>
      </c>
      <c r="N37" s="383">
        <f t="shared" si="1"/>
        <v>23148.479999999996</v>
      </c>
      <c r="O37" s="384">
        <v>-23148.480000000007</v>
      </c>
      <c r="P37" s="384">
        <v>0</v>
      </c>
      <c r="Q37" s="384">
        <v>0</v>
      </c>
      <c r="R37" s="383">
        <f t="shared" si="2"/>
        <v>0</v>
      </c>
      <c r="S37" s="392"/>
      <c r="T37" s="384">
        <f t="shared" si="3"/>
        <v>0</v>
      </c>
    </row>
    <row r="38" spans="1:20" x14ac:dyDescent="0.25">
      <c r="A38" s="381">
        <v>416000</v>
      </c>
      <c r="B38" s="384">
        <v>463.57000000000005</v>
      </c>
      <c r="C38" s="384">
        <v>20.72</v>
      </c>
      <c r="D38" s="384">
        <v>0</v>
      </c>
      <c r="E38" s="384">
        <v>41.53</v>
      </c>
      <c r="F38" s="384">
        <v>0</v>
      </c>
      <c r="G38" s="383">
        <f t="shared" si="0"/>
        <v>525.82000000000005</v>
      </c>
      <c r="H38" s="384">
        <v>0</v>
      </c>
      <c r="I38" s="384">
        <v>0</v>
      </c>
      <c r="J38" s="384">
        <v>0</v>
      </c>
      <c r="K38" s="384">
        <v>0</v>
      </c>
      <c r="L38" s="384">
        <v>0</v>
      </c>
      <c r="M38" s="384">
        <v>1.7</v>
      </c>
      <c r="N38" s="383">
        <f t="shared" si="1"/>
        <v>527.5200000000001</v>
      </c>
      <c r="O38" s="384">
        <v>0</v>
      </c>
      <c r="P38" s="384">
        <v>216.42999999999998</v>
      </c>
      <c r="Q38" s="384">
        <v>0</v>
      </c>
      <c r="R38" s="383">
        <f t="shared" si="2"/>
        <v>743.95</v>
      </c>
      <c r="S38" s="392"/>
      <c r="T38" s="384">
        <f t="shared" si="3"/>
        <v>743.95</v>
      </c>
    </row>
    <row r="39" spans="1:20" hidden="1" x14ac:dyDescent="0.25">
      <c r="A39" s="381">
        <v>416100</v>
      </c>
      <c r="B39" s="384">
        <v>0</v>
      </c>
      <c r="C39" s="384">
        <v>0</v>
      </c>
      <c r="D39" s="384">
        <v>0</v>
      </c>
      <c r="E39" s="384">
        <v>0</v>
      </c>
      <c r="F39" s="384">
        <v>0</v>
      </c>
      <c r="G39" s="383">
        <f t="shared" si="0"/>
        <v>0</v>
      </c>
      <c r="H39" s="384">
        <v>0</v>
      </c>
      <c r="I39" s="384">
        <v>0</v>
      </c>
      <c r="J39" s="384">
        <v>0</v>
      </c>
      <c r="K39" s="384">
        <v>0</v>
      </c>
      <c r="L39" s="384">
        <v>0</v>
      </c>
      <c r="M39" s="384">
        <v>0</v>
      </c>
      <c r="N39" s="383">
        <f t="shared" si="1"/>
        <v>0</v>
      </c>
      <c r="O39" s="384">
        <v>0</v>
      </c>
      <c r="P39" s="384">
        <v>0</v>
      </c>
      <c r="Q39" s="384">
        <v>0</v>
      </c>
      <c r="R39" s="383">
        <f t="shared" si="2"/>
        <v>0</v>
      </c>
      <c r="S39" s="392"/>
      <c r="T39" s="384">
        <f t="shared" si="3"/>
        <v>0</v>
      </c>
    </row>
    <row r="40" spans="1:20" hidden="1" x14ac:dyDescent="0.25">
      <c r="A40" s="381">
        <v>416600</v>
      </c>
      <c r="B40" s="384">
        <v>0</v>
      </c>
      <c r="C40" s="384">
        <v>0</v>
      </c>
      <c r="D40" s="384">
        <v>0</v>
      </c>
      <c r="E40" s="384">
        <v>0</v>
      </c>
      <c r="F40" s="384">
        <v>0</v>
      </c>
      <c r="G40" s="383">
        <f t="shared" si="0"/>
        <v>0</v>
      </c>
      <c r="H40" s="384">
        <v>0</v>
      </c>
      <c r="I40" s="384">
        <v>0</v>
      </c>
      <c r="J40" s="384">
        <v>0</v>
      </c>
      <c r="K40" s="384">
        <v>0</v>
      </c>
      <c r="L40" s="384">
        <v>0</v>
      </c>
      <c r="M40" s="384">
        <v>0</v>
      </c>
      <c r="N40" s="383">
        <f t="shared" si="1"/>
        <v>0</v>
      </c>
      <c r="O40" s="384">
        <v>0</v>
      </c>
      <c r="P40" s="384">
        <v>0</v>
      </c>
      <c r="Q40" s="384">
        <v>0</v>
      </c>
      <c r="R40" s="383">
        <f t="shared" si="2"/>
        <v>0</v>
      </c>
      <c r="S40" s="392"/>
      <c r="T40" s="384">
        <f t="shared" si="3"/>
        <v>0</v>
      </c>
    </row>
    <row r="41" spans="1:20" hidden="1" x14ac:dyDescent="0.25">
      <c r="A41" s="381">
        <v>416700</v>
      </c>
      <c r="B41" s="384">
        <v>0</v>
      </c>
      <c r="C41" s="384">
        <v>0</v>
      </c>
      <c r="D41" s="384">
        <v>0</v>
      </c>
      <c r="E41" s="384">
        <v>0</v>
      </c>
      <c r="F41" s="384">
        <v>0</v>
      </c>
      <c r="G41" s="383">
        <f t="shared" si="0"/>
        <v>0</v>
      </c>
      <c r="H41" s="384">
        <v>0</v>
      </c>
      <c r="I41" s="384">
        <v>0</v>
      </c>
      <c r="J41" s="384">
        <v>0</v>
      </c>
      <c r="K41" s="384">
        <v>0</v>
      </c>
      <c r="L41" s="384">
        <v>0</v>
      </c>
      <c r="M41" s="384">
        <v>0</v>
      </c>
      <c r="N41" s="383">
        <f t="shared" si="1"/>
        <v>0</v>
      </c>
      <c r="O41" s="384">
        <v>0</v>
      </c>
      <c r="P41" s="384">
        <v>0</v>
      </c>
      <c r="Q41" s="384">
        <v>0</v>
      </c>
      <c r="R41" s="383">
        <f t="shared" si="2"/>
        <v>0</v>
      </c>
      <c r="S41" s="392"/>
      <c r="T41" s="384">
        <f t="shared" si="3"/>
        <v>0</v>
      </c>
    </row>
    <row r="42" spans="1:20" x14ac:dyDescent="0.25">
      <c r="A42" s="381">
        <v>417102</v>
      </c>
      <c r="B42" s="384">
        <v>0</v>
      </c>
      <c r="C42" s="384">
        <v>0</v>
      </c>
      <c r="D42" s="384">
        <v>0</v>
      </c>
      <c r="E42" s="384">
        <v>0</v>
      </c>
      <c r="F42" s="384">
        <v>0</v>
      </c>
      <c r="G42" s="383">
        <f t="shared" si="0"/>
        <v>0</v>
      </c>
      <c r="H42" s="384">
        <v>0</v>
      </c>
      <c r="I42" s="384">
        <v>0</v>
      </c>
      <c r="J42" s="384">
        <v>0</v>
      </c>
      <c r="K42" s="384">
        <v>0</v>
      </c>
      <c r="L42" s="384">
        <v>0</v>
      </c>
      <c r="M42" s="384">
        <v>0</v>
      </c>
      <c r="N42" s="383">
        <f t="shared" si="1"/>
        <v>0</v>
      </c>
      <c r="O42" s="384">
        <v>0</v>
      </c>
      <c r="P42" s="384">
        <v>28.38</v>
      </c>
      <c r="Q42" s="384">
        <v>0</v>
      </c>
      <c r="R42" s="383">
        <f t="shared" si="2"/>
        <v>28.38</v>
      </c>
      <c r="S42" s="392"/>
      <c r="T42" s="384">
        <f t="shared" si="3"/>
        <v>28.38</v>
      </c>
    </row>
    <row r="43" spans="1:20" hidden="1" x14ac:dyDescent="0.25">
      <c r="A43" s="381">
        <v>417106</v>
      </c>
      <c r="B43" s="384">
        <v>0</v>
      </c>
      <c r="C43" s="384">
        <v>0</v>
      </c>
      <c r="D43" s="384">
        <v>0</v>
      </c>
      <c r="E43" s="384">
        <v>0</v>
      </c>
      <c r="F43" s="384">
        <v>0</v>
      </c>
      <c r="G43" s="383">
        <f t="shared" si="0"/>
        <v>0</v>
      </c>
      <c r="H43" s="384">
        <v>0</v>
      </c>
      <c r="I43" s="384">
        <v>0</v>
      </c>
      <c r="J43" s="384">
        <v>0</v>
      </c>
      <c r="K43" s="384">
        <v>0</v>
      </c>
      <c r="L43" s="384">
        <v>0</v>
      </c>
      <c r="M43" s="384">
        <v>0</v>
      </c>
      <c r="N43" s="383">
        <f t="shared" si="1"/>
        <v>0</v>
      </c>
      <c r="O43" s="384">
        <v>0</v>
      </c>
      <c r="P43" s="384">
        <v>0</v>
      </c>
      <c r="Q43" s="384">
        <v>0</v>
      </c>
      <c r="R43" s="383">
        <f t="shared" si="2"/>
        <v>0</v>
      </c>
      <c r="S43" s="392"/>
      <c r="T43" s="384">
        <f t="shared" si="3"/>
        <v>0</v>
      </c>
    </row>
    <row r="44" spans="1:20" x14ac:dyDescent="0.25">
      <c r="A44" s="381">
        <v>417107</v>
      </c>
      <c r="B44" s="384">
        <v>0</v>
      </c>
      <c r="C44" s="384">
        <v>0</v>
      </c>
      <c r="D44" s="384">
        <v>0</v>
      </c>
      <c r="E44" s="384">
        <v>0</v>
      </c>
      <c r="F44" s="384">
        <v>0</v>
      </c>
      <c r="G44" s="383">
        <f t="shared" si="0"/>
        <v>0</v>
      </c>
      <c r="H44" s="384">
        <v>0</v>
      </c>
      <c r="I44" s="384">
        <v>0</v>
      </c>
      <c r="J44" s="384">
        <v>0</v>
      </c>
      <c r="K44" s="384">
        <v>0</v>
      </c>
      <c r="L44" s="384">
        <v>0</v>
      </c>
      <c r="M44" s="384">
        <v>0</v>
      </c>
      <c r="N44" s="383">
        <f t="shared" si="1"/>
        <v>0</v>
      </c>
      <c r="O44" s="384">
        <v>0</v>
      </c>
      <c r="P44" s="384">
        <v>139.76</v>
      </c>
      <c r="Q44" s="384">
        <v>0</v>
      </c>
      <c r="R44" s="383">
        <f t="shared" si="2"/>
        <v>139.76</v>
      </c>
      <c r="S44" s="392"/>
      <c r="T44" s="384">
        <f t="shared" si="3"/>
        <v>139.76</v>
      </c>
    </row>
    <row r="45" spans="1:20" x14ac:dyDescent="0.25">
      <c r="A45" s="381">
        <v>582000</v>
      </c>
      <c r="B45" s="384">
        <v>498.5</v>
      </c>
      <c r="C45" s="384">
        <v>24.62</v>
      </c>
      <c r="D45" s="384">
        <v>0</v>
      </c>
      <c r="E45" s="384">
        <v>71</v>
      </c>
      <c r="F45" s="384">
        <v>0</v>
      </c>
      <c r="G45" s="383">
        <f t="shared" si="0"/>
        <v>594.12</v>
      </c>
      <c r="H45" s="384">
        <v>0</v>
      </c>
      <c r="I45" s="384">
        <v>0</v>
      </c>
      <c r="J45" s="384">
        <v>0</v>
      </c>
      <c r="K45" s="384">
        <v>0</v>
      </c>
      <c r="L45" s="384">
        <v>0</v>
      </c>
      <c r="M45" s="384">
        <v>0</v>
      </c>
      <c r="N45" s="383">
        <f t="shared" si="1"/>
        <v>594.12</v>
      </c>
      <c r="O45" s="384">
        <v>0.2238636791418098</v>
      </c>
      <c r="P45" s="384">
        <v>0</v>
      </c>
      <c r="Q45" s="384">
        <v>0</v>
      </c>
      <c r="R45" s="383">
        <f t="shared" si="2"/>
        <v>594.3438636791418</v>
      </c>
      <c r="S45" s="392"/>
      <c r="T45" s="384">
        <f t="shared" si="3"/>
        <v>594.3438636791418</v>
      </c>
    </row>
    <row r="46" spans="1:20" x14ac:dyDescent="0.25">
      <c r="A46" s="381">
        <v>582200</v>
      </c>
      <c r="B46" s="384">
        <v>4320.13</v>
      </c>
      <c r="C46" s="384">
        <v>231.12</v>
      </c>
      <c r="D46" s="384">
        <v>33.520000000000003</v>
      </c>
      <c r="E46" s="384">
        <v>486.41</v>
      </c>
      <c r="F46" s="384">
        <v>0</v>
      </c>
      <c r="G46" s="383">
        <f t="shared" si="0"/>
        <v>5071.18</v>
      </c>
      <c r="H46" s="384">
        <v>0</v>
      </c>
      <c r="I46" s="384">
        <v>0</v>
      </c>
      <c r="J46" s="384">
        <v>0</v>
      </c>
      <c r="K46" s="384">
        <v>0</v>
      </c>
      <c r="L46" s="384">
        <v>0</v>
      </c>
      <c r="M46" s="384">
        <v>24.43</v>
      </c>
      <c r="N46" s="383">
        <f t="shared" si="1"/>
        <v>5095.6100000000006</v>
      </c>
      <c r="O46" s="384">
        <v>5.2298004444104933</v>
      </c>
      <c r="P46" s="384">
        <v>0</v>
      </c>
      <c r="Q46" s="384">
        <v>0</v>
      </c>
      <c r="R46" s="383">
        <f t="shared" si="2"/>
        <v>5100.8398004444107</v>
      </c>
      <c r="S46" s="392"/>
      <c r="T46" s="384">
        <f t="shared" si="3"/>
        <v>5100.8398004444107</v>
      </c>
    </row>
    <row r="47" spans="1:20" x14ac:dyDescent="0.25">
      <c r="A47" s="381">
        <v>583000</v>
      </c>
      <c r="B47" s="384">
        <v>155682.15999999997</v>
      </c>
      <c r="C47" s="384">
        <v>4089.9600000000005</v>
      </c>
      <c r="D47" s="384">
        <v>1053.4000000000001</v>
      </c>
      <c r="E47" s="384">
        <v>12866.960000000001</v>
      </c>
      <c r="F47" s="384">
        <v>0</v>
      </c>
      <c r="G47" s="383">
        <f t="shared" si="0"/>
        <v>173692.47999999995</v>
      </c>
      <c r="H47" s="384">
        <v>-1794.6399999999999</v>
      </c>
      <c r="I47" s="384">
        <v>0</v>
      </c>
      <c r="J47" s="384">
        <v>0</v>
      </c>
      <c r="K47" s="384">
        <v>0</v>
      </c>
      <c r="L47" s="384">
        <v>0</v>
      </c>
      <c r="M47" s="384">
        <v>305.45999999999998</v>
      </c>
      <c r="N47" s="383">
        <f t="shared" si="1"/>
        <v>172203.29999999993</v>
      </c>
      <c r="O47" s="384">
        <v>708.86226547991259</v>
      </c>
      <c r="P47" s="384">
        <v>0</v>
      </c>
      <c r="Q47" s="384">
        <v>0</v>
      </c>
      <c r="R47" s="383">
        <f t="shared" si="2"/>
        <v>172912.16226547986</v>
      </c>
      <c r="S47" s="392"/>
      <c r="T47" s="384">
        <f t="shared" si="3"/>
        <v>172912.16226547986</v>
      </c>
    </row>
    <row r="48" spans="1:20" x14ac:dyDescent="0.25">
      <c r="A48" s="381">
        <v>586000</v>
      </c>
      <c r="B48" s="384">
        <v>89280.12000000001</v>
      </c>
      <c r="C48" s="384">
        <v>2342.83</v>
      </c>
      <c r="D48" s="384">
        <v>546.79</v>
      </c>
      <c r="E48" s="384">
        <v>7766.4800000000005</v>
      </c>
      <c r="F48" s="384">
        <v>0</v>
      </c>
      <c r="G48" s="383">
        <f t="shared" si="0"/>
        <v>99936.22</v>
      </c>
      <c r="H48" s="384">
        <v>0</v>
      </c>
      <c r="I48" s="384">
        <v>0</v>
      </c>
      <c r="J48" s="384">
        <v>0</v>
      </c>
      <c r="K48" s="384">
        <v>0</v>
      </c>
      <c r="L48" s="384">
        <v>0</v>
      </c>
      <c r="M48" s="384">
        <v>374.14</v>
      </c>
      <c r="N48" s="383">
        <f t="shared" si="1"/>
        <v>100310.36</v>
      </c>
      <c r="O48" s="384">
        <v>340.99755469174903</v>
      </c>
      <c r="P48" s="384">
        <v>0</v>
      </c>
      <c r="Q48" s="384">
        <v>0</v>
      </c>
      <c r="R48" s="383">
        <f t="shared" si="2"/>
        <v>100651.35755469176</v>
      </c>
      <c r="S48" s="392"/>
      <c r="T48" s="384">
        <f t="shared" si="3"/>
        <v>100651.35755469176</v>
      </c>
    </row>
    <row r="49" spans="1:20" x14ac:dyDescent="0.25">
      <c r="A49" s="381">
        <v>588000</v>
      </c>
      <c r="B49" s="384">
        <v>869033.75</v>
      </c>
      <c r="C49" s="384">
        <v>28315.65</v>
      </c>
      <c r="D49" s="384">
        <v>6071.08</v>
      </c>
      <c r="E49" s="384">
        <v>71693.069999999992</v>
      </c>
      <c r="F49" s="384">
        <v>0.02</v>
      </c>
      <c r="G49" s="383">
        <f t="shared" si="0"/>
        <v>975113.57</v>
      </c>
      <c r="H49" s="384">
        <v>166306.26</v>
      </c>
      <c r="I49" s="384">
        <v>0</v>
      </c>
      <c r="J49" s="384">
        <v>0</v>
      </c>
      <c r="K49" s="384">
        <v>0</v>
      </c>
      <c r="L49" s="384">
        <v>0</v>
      </c>
      <c r="M49" s="384">
        <v>3018.9</v>
      </c>
      <c r="N49" s="383">
        <f t="shared" si="1"/>
        <v>1144438.73</v>
      </c>
      <c r="O49" s="384">
        <v>387.06496751934861</v>
      </c>
      <c r="P49" s="384">
        <v>0</v>
      </c>
      <c r="Q49" s="384">
        <v>0</v>
      </c>
      <c r="R49" s="383">
        <f t="shared" si="2"/>
        <v>1144825.7949675194</v>
      </c>
      <c r="S49" s="392"/>
      <c r="T49" s="384">
        <f t="shared" si="3"/>
        <v>1144825.7949675194</v>
      </c>
    </row>
    <row r="50" spans="1:20" hidden="1" x14ac:dyDescent="0.25">
      <c r="A50" s="385">
        <v>588200</v>
      </c>
      <c r="B50" s="384">
        <v>0</v>
      </c>
      <c r="C50" s="384">
        <v>0</v>
      </c>
      <c r="D50" s="384">
        <v>0</v>
      </c>
      <c r="E50" s="384">
        <v>0</v>
      </c>
      <c r="F50" s="384">
        <v>0</v>
      </c>
      <c r="G50" s="383">
        <f t="shared" si="0"/>
        <v>0</v>
      </c>
      <c r="H50" s="384">
        <v>0</v>
      </c>
      <c r="I50" s="384">
        <v>0</v>
      </c>
      <c r="J50" s="384">
        <v>0</v>
      </c>
      <c r="K50" s="384">
        <v>0</v>
      </c>
      <c r="L50" s="384">
        <v>0</v>
      </c>
      <c r="M50" s="384">
        <v>0</v>
      </c>
      <c r="N50" s="383">
        <f t="shared" si="1"/>
        <v>0</v>
      </c>
      <c r="O50" s="384">
        <v>0</v>
      </c>
      <c r="P50" s="384">
        <v>0</v>
      </c>
      <c r="Q50" s="384">
        <v>0</v>
      </c>
      <c r="R50" s="383">
        <f t="shared" si="2"/>
        <v>0</v>
      </c>
      <c r="S50" s="392"/>
      <c r="T50" s="384">
        <f t="shared" si="3"/>
        <v>0</v>
      </c>
    </row>
    <row r="51" spans="1:20" x14ac:dyDescent="0.25">
      <c r="A51" s="385">
        <v>588210</v>
      </c>
      <c r="B51" s="384">
        <v>333.54</v>
      </c>
      <c r="C51" s="384">
        <v>12.35</v>
      </c>
      <c r="D51" s="384">
        <v>0</v>
      </c>
      <c r="E51" s="384">
        <v>27.56</v>
      </c>
      <c r="F51" s="384">
        <v>0</v>
      </c>
      <c r="G51" s="383">
        <f t="shared" si="0"/>
        <v>373.45000000000005</v>
      </c>
      <c r="H51" s="384">
        <v>0</v>
      </c>
      <c r="I51" s="384">
        <v>0</v>
      </c>
      <c r="J51" s="384">
        <v>0</v>
      </c>
      <c r="K51" s="384">
        <v>0</v>
      </c>
      <c r="L51" s="384">
        <v>0</v>
      </c>
      <c r="M51" s="384">
        <v>0</v>
      </c>
      <c r="N51" s="383">
        <f t="shared" si="1"/>
        <v>373.45000000000005</v>
      </c>
      <c r="O51" s="384">
        <v>0.62344344189146206</v>
      </c>
      <c r="P51" s="384">
        <v>0</v>
      </c>
      <c r="Q51" s="384">
        <v>0</v>
      </c>
      <c r="R51" s="383">
        <f t="shared" si="2"/>
        <v>374.07344344189153</v>
      </c>
      <c r="S51" s="392"/>
      <c r="T51" s="384">
        <f t="shared" si="3"/>
        <v>374.07344344189153</v>
      </c>
    </row>
    <row r="52" spans="1:20" x14ac:dyDescent="0.25">
      <c r="A52" s="381">
        <v>592000</v>
      </c>
      <c r="B52" s="384">
        <v>220295.49</v>
      </c>
      <c r="C52" s="384">
        <v>7585.7099999999991</v>
      </c>
      <c r="D52" s="384">
        <v>1191.22</v>
      </c>
      <c r="E52" s="384">
        <v>19459.729999999996</v>
      </c>
      <c r="F52" s="384">
        <v>0</v>
      </c>
      <c r="G52" s="383">
        <f t="shared" si="0"/>
        <v>248532.14999999997</v>
      </c>
      <c r="H52" s="384">
        <v>71001.63</v>
      </c>
      <c r="I52" s="384">
        <v>0</v>
      </c>
      <c r="J52" s="384">
        <v>0</v>
      </c>
      <c r="K52" s="384">
        <v>0</v>
      </c>
      <c r="L52" s="384">
        <v>0</v>
      </c>
      <c r="M52" s="384">
        <v>1003</v>
      </c>
      <c r="N52" s="383">
        <f t="shared" si="1"/>
        <v>320536.77999999997</v>
      </c>
      <c r="O52" s="384">
        <v>407.72757624323617</v>
      </c>
      <c r="P52" s="384">
        <v>0</v>
      </c>
      <c r="Q52" s="384">
        <v>0</v>
      </c>
      <c r="R52" s="383">
        <f t="shared" si="2"/>
        <v>320944.5075762432</v>
      </c>
      <c r="S52" s="392"/>
      <c r="T52" s="384">
        <f t="shared" si="3"/>
        <v>320944.5075762432</v>
      </c>
    </row>
    <row r="53" spans="1:20" x14ac:dyDescent="0.25">
      <c r="A53" s="381">
        <v>592100</v>
      </c>
      <c r="B53" s="384">
        <v>42582.700000000012</v>
      </c>
      <c r="C53" s="384">
        <v>1323.92</v>
      </c>
      <c r="D53" s="384">
        <v>301.01</v>
      </c>
      <c r="E53" s="384">
        <v>3208.5699999999997</v>
      </c>
      <c r="F53" s="384">
        <v>0</v>
      </c>
      <c r="G53" s="383">
        <f t="shared" si="0"/>
        <v>47416.200000000012</v>
      </c>
      <c r="H53" s="384">
        <v>0</v>
      </c>
      <c r="I53" s="384">
        <v>0</v>
      </c>
      <c r="J53" s="384">
        <v>0</v>
      </c>
      <c r="K53" s="384">
        <v>0</v>
      </c>
      <c r="L53" s="384">
        <v>0</v>
      </c>
      <c r="M53" s="384">
        <v>170.98</v>
      </c>
      <c r="N53" s="383">
        <f t="shared" si="1"/>
        <v>47587.180000000015</v>
      </c>
      <c r="O53" s="384">
        <v>45.98058222966818</v>
      </c>
      <c r="P53" s="384">
        <v>0</v>
      </c>
      <c r="Q53" s="384">
        <v>0</v>
      </c>
      <c r="R53" s="383">
        <f t="shared" si="2"/>
        <v>47633.160582229684</v>
      </c>
      <c r="S53" s="392"/>
      <c r="T53" s="384">
        <f t="shared" si="3"/>
        <v>47633.160582229684</v>
      </c>
    </row>
    <row r="54" spans="1:20" x14ac:dyDescent="0.25">
      <c r="A54" s="381">
        <v>592200</v>
      </c>
      <c r="B54" s="384">
        <v>14252.739999999998</v>
      </c>
      <c r="C54" s="384">
        <v>517.53</v>
      </c>
      <c r="D54" s="384">
        <v>98.44</v>
      </c>
      <c r="E54" s="384">
        <v>1156.46</v>
      </c>
      <c r="F54" s="384">
        <v>0</v>
      </c>
      <c r="G54" s="383">
        <f t="shared" si="0"/>
        <v>16025.169999999998</v>
      </c>
      <c r="H54" s="384">
        <v>0</v>
      </c>
      <c r="I54" s="384">
        <v>0</v>
      </c>
      <c r="J54" s="384">
        <v>0</v>
      </c>
      <c r="K54" s="384">
        <v>0</v>
      </c>
      <c r="L54" s="384">
        <v>0</v>
      </c>
      <c r="M54" s="384">
        <v>60.55</v>
      </c>
      <c r="N54" s="383">
        <f t="shared" si="1"/>
        <v>16085.719999999998</v>
      </c>
      <c r="O54" s="384">
        <v>19.251127358875401</v>
      </c>
      <c r="P54" s="384">
        <v>0</v>
      </c>
      <c r="Q54" s="384">
        <v>0</v>
      </c>
      <c r="R54" s="383">
        <f t="shared" si="2"/>
        <v>16104.971127358873</v>
      </c>
      <c r="S54" s="392"/>
      <c r="T54" s="384">
        <f t="shared" si="3"/>
        <v>16104.971127358873</v>
      </c>
    </row>
    <row r="55" spans="1:20" x14ac:dyDescent="0.25">
      <c r="A55" s="381">
        <v>593000</v>
      </c>
      <c r="B55" s="384">
        <v>1328262.3499999999</v>
      </c>
      <c r="C55" s="384">
        <v>36362.35</v>
      </c>
      <c r="D55" s="384">
        <v>5911.36</v>
      </c>
      <c r="E55" s="384">
        <v>61848.709999999992</v>
      </c>
      <c r="F55" s="384">
        <v>0.02</v>
      </c>
      <c r="G55" s="383">
        <f t="shared" si="0"/>
        <v>1432384.79</v>
      </c>
      <c r="H55" s="384">
        <v>12832.01</v>
      </c>
      <c r="I55" s="384">
        <v>0</v>
      </c>
      <c r="J55" s="384">
        <v>0</v>
      </c>
      <c r="K55" s="384">
        <v>0</v>
      </c>
      <c r="L55" s="384">
        <v>0</v>
      </c>
      <c r="M55" s="384">
        <v>2334.9699999999998</v>
      </c>
      <c r="N55" s="383">
        <f t="shared" si="1"/>
        <v>1447551.77</v>
      </c>
      <c r="O55" s="384">
        <v>7070.372913715637</v>
      </c>
      <c r="P55" s="384">
        <v>0</v>
      </c>
      <c r="Q55" s="384">
        <v>5738.0009759918721</v>
      </c>
      <c r="R55" s="383">
        <f t="shared" si="2"/>
        <v>1460360.1438897075</v>
      </c>
      <c r="S55" s="392"/>
      <c r="T55" s="384">
        <f t="shared" si="3"/>
        <v>1460360.1438897075</v>
      </c>
    </row>
    <row r="56" spans="1:20" hidden="1" x14ac:dyDescent="0.25">
      <c r="A56" s="385">
        <v>593200</v>
      </c>
      <c r="B56" s="384">
        <v>0</v>
      </c>
      <c r="C56" s="384">
        <v>0</v>
      </c>
      <c r="D56" s="384">
        <v>0</v>
      </c>
      <c r="E56" s="384">
        <v>0</v>
      </c>
      <c r="F56" s="384">
        <v>0</v>
      </c>
      <c r="G56" s="383">
        <f t="shared" si="0"/>
        <v>0</v>
      </c>
      <c r="H56" s="384">
        <v>0</v>
      </c>
      <c r="I56" s="384">
        <v>0</v>
      </c>
      <c r="J56" s="384">
        <v>0</v>
      </c>
      <c r="K56" s="384">
        <v>0</v>
      </c>
      <c r="L56" s="384">
        <v>0</v>
      </c>
      <c r="M56" s="384">
        <v>0</v>
      </c>
      <c r="N56" s="383">
        <f t="shared" si="1"/>
        <v>0</v>
      </c>
      <c r="O56" s="384">
        <v>0</v>
      </c>
      <c r="P56" s="384">
        <v>0</v>
      </c>
      <c r="Q56" s="384">
        <v>0</v>
      </c>
      <c r="R56" s="383">
        <f t="shared" si="2"/>
        <v>0</v>
      </c>
      <c r="S56" s="392"/>
      <c r="T56" s="384">
        <f t="shared" si="3"/>
        <v>0</v>
      </c>
    </row>
    <row r="57" spans="1:20" x14ac:dyDescent="0.25">
      <c r="A57" s="381">
        <v>593300</v>
      </c>
      <c r="B57" s="384">
        <v>161987.69</v>
      </c>
      <c r="C57" s="384">
        <v>6079.2200000000012</v>
      </c>
      <c r="D57" s="384">
        <v>1592.01</v>
      </c>
      <c r="E57" s="384">
        <v>16050.27</v>
      </c>
      <c r="F57" s="384">
        <v>0</v>
      </c>
      <c r="G57" s="383">
        <f t="shared" si="0"/>
        <v>185709.19</v>
      </c>
      <c r="H57" s="384">
        <v>1650</v>
      </c>
      <c r="I57" s="384">
        <v>0</v>
      </c>
      <c r="J57" s="384">
        <v>0</v>
      </c>
      <c r="K57" s="384">
        <v>0</v>
      </c>
      <c r="L57" s="384">
        <v>0</v>
      </c>
      <c r="M57" s="384">
        <v>784.98</v>
      </c>
      <c r="N57" s="383">
        <f t="shared" si="1"/>
        <v>188144.17</v>
      </c>
      <c r="O57" s="384">
        <v>190.62287811747248</v>
      </c>
      <c r="P57" s="384">
        <v>0</v>
      </c>
      <c r="Q57" s="384">
        <v>0</v>
      </c>
      <c r="R57" s="383">
        <f t="shared" si="2"/>
        <v>188334.7928781175</v>
      </c>
      <c r="S57" s="392"/>
      <c r="T57" s="384">
        <f t="shared" si="3"/>
        <v>188334.7928781175</v>
      </c>
    </row>
    <row r="58" spans="1:20" x14ac:dyDescent="0.25">
      <c r="A58" s="381">
        <v>594000</v>
      </c>
      <c r="B58" s="384">
        <v>66410.880000000005</v>
      </c>
      <c r="C58" s="384">
        <v>1393.18</v>
      </c>
      <c r="D58" s="384">
        <v>449.92</v>
      </c>
      <c r="E58" s="384">
        <v>5486.9400000000005</v>
      </c>
      <c r="F58" s="384">
        <v>0</v>
      </c>
      <c r="G58" s="383">
        <f t="shared" si="0"/>
        <v>73740.92</v>
      </c>
      <c r="H58" s="384">
        <v>4.4499999999999993</v>
      </c>
      <c r="I58" s="384">
        <v>0</v>
      </c>
      <c r="J58" s="384">
        <v>0</v>
      </c>
      <c r="K58" s="384">
        <v>0</v>
      </c>
      <c r="L58" s="384">
        <v>0</v>
      </c>
      <c r="M58" s="384">
        <v>197.91</v>
      </c>
      <c r="N58" s="383">
        <f t="shared" si="1"/>
        <v>73943.28</v>
      </c>
      <c r="O58" s="384">
        <v>241.96185881996627</v>
      </c>
      <c r="P58" s="384">
        <v>0</v>
      </c>
      <c r="Q58" s="384">
        <v>615.71555842231101</v>
      </c>
      <c r="R58" s="383">
        <f t="shared" si="2"/>
        <v>74800.957417242273</v>
      </c>
      <c r="S58" s="392"/>
      <c r="T58" s="384">
        <f t="shared" si="3"/>
        <v>74800.957417242273</v>
      </c>
    </row>
    <row r="59" spans="1:20" x14ac:dyDescent="0.25">
      <c r="A59" s="381">
        <v>595000</v>
      </c>
      <c r="B59" s="384">
        <v>27202.800000000003</v>
      </c>
      <c r="C59" s="384">
        <v>770.09</v>
      </c>
      <c r="D59" s="384">
        <v>39.880000000000003</v>
      </c>
      <c r="E59" s="384">
        <v>1375.9699999999998</v>
      </c>
      <c r="F59" s="384">
        <v>0</v>
      </c>
      <c r="G59" s="383">
        <f t="shared" si="0"/>
        <v>29388.740000000005</v>
      </c>
      <c r="H59" s="384">
        <v>0</v>
      </c>
      <c r="I59" s="384">
        <v>0</v>
      </c>
      <c r="J59" s="384">
        <v>0</v>
      </c>
      <c r="K59" s="384">
        <v>0</v>
      </c>
      <c r="L59" s="384">
        <v>0</v>
      </c>
      <c r="M59" s="384">
        <v>26.5</v>
      </c>
      <c r="N59" s="383">
        <f t="shared" si="1"/>
        <v>29415.240000000005</v>
      </c>
      <c r="O59" s="384">
        <v>133.94178158010948</v>
      </c>
      <c r="P59" s="384">
        <v>0</v>
      </c>
      <c r="Q59" s="384">
        <v>0</v>
      </c>
      <c r="R59" s="383">
        <f t="shared" si="2"/>
        <v>29549.181781580115</v>
      </c>
      <c r="S59" s="392"/>
      <c r="T59" s="384">
        <f t="shared" si="3"/>
        <v>29549.181781580115</v>
      </c>
    </row>
    <row r="60" spans="1:20" x14ac:dyDescent="0.25">
      <c r="A60" s="381">
        <v>596000</v>
      </c>
      <c r="B60" s="384">
        <v>27463.090000000004</v>
      </c>
      <c r="C60" s="384">
        <v>906.79</v>
      </c>
      <c r="D60" s="384">
        <v>115.31</v>
      </c>
      <c r="E60" s="384">
        <v>2891.38</v>
      </c>
      <c r="F60" s="384">
        <v>0</v>
      </c>
      <c r="G60" s="383">
        <f t="shared" si="0"/>
        <v>31376.570000000007</v>
      </c>
      <c r="H60" s="384">
        <v>0</v>
      </c>
      <c r="I60" s="384">
        <v>0</v>
      </c>
      <c r="J60" s="384">
        <v>0</v>
      </c>
      <c r="K60" s="384">
        <v>0</v>
      </c>
      <c r="L60" s="384">
        <v>0</v>
      </c>
      <c r="M60" s="384">
        <v>133.07</v>
      </c>
      <c r="N60" s="383">
        <f t="shared" si="1"/>
        <v>31509.640000000007</v>
      </c>
      <c r="O60" s="384">
        <v>283.63482561932335</v>
      </c>
      <c r="P60" s="384">
        <v>0</v>
      </c>
      <c r="Q60" s="384">
        <v>0</v>
      </c>
      <c r="R60" s="383">
        <f t="shared" si="2"/>
        <v>31793.27482561933</v>
      </c>
      <c r="S60" s="392"/>
      <c r="T60" s="384">
        <f t="shared" si="3"/>
        <v>31793.27482561933</v>
      </c>
    </row>
    <row r="61" spans="1:20" x14ac:dyDescent="0.25">
      <c r="A61" s="381">
        <v>597000</v>
      </c>
      <c r="B61" s="384">
        <v>8154.6100000000006</v>
      </c>
      <c r="C61" s="384">
        <v>258.56</v>
      </c>
      <c r="D61" s="384">
        <v>45.74</v>
      </c>
      <c r="E61" s="384">
        <v>777.29</v>
      </c>
      <c r="F61" s="384">
        <v>0</v>
      </c>
      <c r="G61" s="383">
        <f t="shared" si="0"/>
        <v>9236.2000000000007</v>
      </c>
      <c r="H61" s="384">
        <v>0</v>
      </c>
      <c r="I61" s="384">
        <v>0</v>
      </c>
      <c r="J61" s="384">
        <v>0</v>
      </c>
      <c r="K61" s="384">
        <v>0</v>
      </c>
      <c r="L61" s="384">
        <v>0</v>
      </c>
      <c r="M61" s="384">
        <v>53.84</v>
      </c>
      <c r="N61" s="383">
        <f t="shared" si="1"/>
        <v>9290.0400000000009</v>
      </c>
      <c r="O61" s="384">
        <v>20.017413972980179</v>
      </c>
      <c r="P61" s="384">
        <v>0</v>
      </c>
      <c r="Q61" s="384">
        <v>0</v>
      </c>
      <c r="R61" s="383">
        <f t="shared" si="2"/>
        <v>9310.0574139729815</v>
      </c>
      <c r="S61" s="392"/>
      <c r="T61" s="384">
        <f t="shared" si="3"/>
        <v>9310.0574139729815</v>
      </c>
    </row>
    <row r="62" spans="1:20" x14ac:dyDescent="0.25">
      <c r="A62" s="381">
        <v>598000</v>
      </c>
      <c r="B62" s="384">
        <v>30237.599999999999</v>
      </c>
      <c r="C62" s="384">
        <v>1039.46</v>
      </c>
      <c r="D62" s="384">
        <v>151.31</v>
      </c>
      <c r="E62" s="384">
        <v>2900.1</v>
      </c>
      <c r="F62" s="384">
        <v>0</v>
      </c>
      <c r="G62" s="383">
        <f t="shared" si="0"/>
        <v>34328.47</v>
      </c>
      <c r="H62" s="384">
        <v>2475.94</v>
      </c>
      <c r="I62" s="384">
        <v>0</v>
      </c>
      <c r="J62" s="384">
        <v>0</v>
      </c>
      <c r="K62" s="384">
        <v>0</v>
      </c>
      <c r="L62" s="384">
        <v>0</v>
      </c>
      <c r="M62" s="384">
        <v>110.61</v>
      </c>
      <c r="N62" s="383">
        <f t="shared" si="1"/>
        <v>36915.020000000004</v>
      </c>
      <c r="O62" s="384">
        <v>22.619888078295386</v>
      </c>
      <c r="P62" s="384">
        <v>0</v>
      </c>
      <c r="Q62" s="384">
        <v>383.31002248875046</v>
      </c>
      <c r="R62" s="383">
        <f t="shared" si="2"/>
        <v>37320.949910567055</v>
      </c>
      <c r="S62" s="392"/>
      <c r="T62" s="384">
        <f t="shared" si="3"/>
        <v>37320.949910567055</v>
      </c>
    </row>
    <row r="63" spans="1:20" x14ac:dyDescent="0.25">
      <c r="A63" s="381">
        <v>903000</v>
      </c>
      <c r="B63" s="384">
        <v>1818429.53</v>
      </c>
      <c r="C63" s="384">
        <v>57612.030000000006</v>
      </c>
      <c r="D63" s="384">
        <v>11175.02</v>
      </c>
      <c r="E63" s="384">
        <v>156932.78</v>
      </c>
      <c r="F63" s="384">
        <v>1879.6399999999999</v>
      </c>
      <c r="G63" s="383">
        <f t="shared" si="0"/>
        <v>2046029</v>
      </c>
      <c r="H63" s="384">
        <v>10614.699999999999</v>
      </c>
      <c r="I63" s="384">
        <v>0</v>
      </c>
      <c r="J63" s="384">
        <v>0</v>
      </c>
      <c r="K63" s="384">
        <v>0</v>
      </c>
      <c r="L63" s="384">
        <v>0</v>
      </c>
      <c r="M63" s="384">
        <v>6084.32</v>
      </c>
      <c r="N63" s="383">
        <f t="shared" si="1"/>
        <v>2062728.02</v>
      </c>
      <c r="O63" s="384">
        <v>2168.2687969233912</v>
      </c>
      <c r="P63" s="384">
        <v>-139.76</v>
      </c>
      <c r="Q63" s="384">
        <v>0</v>
      </c>
      <c r="R63" s="383">
        <f t="shared" si="2"/>
        <v>2064756.5287969233</v>
      </c>
      <c r="S63" s="392"/>
      <c r="T63" s="384">
        <f t="shared" si="3"/>
        <v>2064756.5287969233</v>
      </c>
    </row>
    <row r="64" spans="1:20" hidden="1" x14ac:dyDescent="0.25">
      <c r="A64" s="381">
        <v>903220</v>
      </c>
      <c r="B64" s="384">
        <v>0</v>
      </c>
      <c r="C64" s="384">
        <v>0</v>
      </c>
      <c r="D64" s="384">
        <v>0</v>
      </c>
      <c r="E64" s="384">
        <v>0</v>
      </c>
      <c r="F64" s="384">
        <v>0</v>
      </c>
      <c r="G64" s="383">
        <f t="shared" si="0"/>
        <v>0</v>
      </c>
      <c r="H64" s="384">
        <v>0</v>
      </c>
      <c r="I64" s="384">
        <v>0</v>
      </c>
      <c r="J64" s="384">
        <v>0</v>
      </c>
      <c r="K64" s="384">
        <v>0</v>
      </c>
      <c r="L64" s="384">
        <v>0</v>
      </c>
      <c r="M64" s="384">
        <v>0</v>
      </c>
      <c r="N64" s="383">
        <f t="shared" si="1"/>
        <v>0</v>
      </c>
      <c r="O64" s="384">
        <v>0</v>
      </c>
      <c r="P64" s="384">
        <v>0</v>
      </c>
      <c r="Q64" s="384">
        <v>0</v>
      </c>
      <c r="R64" s="383">
        <f t="shared" si="2"/>
        <v>0</v>
      </c>
      <c r="S64" s="392"/>
      <c r="T64" s="384">
        <f t="shared" si="3"/>
        <v>0</v>
      </c>
    </row>
    <row r="65" spans="1:20" hidden="1" x14ac:dyDescent="0.25">
      <c r="A65" s="381">
        <v>903230</v>
      </c>
      <c r="B65" s="384">
        <v>0</v>
      </c>
      <c r="C65" s="384">
        <v>0</v>
      </c>
      <c r="D65" s="384">
        <v>0</v>
      </c>
      <c r="E65" s="384">
        <v>0</v>
      </c>
      <c r="F65" s="384">
        <v>0</v>
      </c>
      <c r="G65" s="383">
        <f t="shared" si="0"/>
        <v>0</v>
      </c>
      <c r="H65" s="384">
        <v>0</v>
      </c>
      <c r="I65" s="384">
        <v>0</v>
      </c>
      <c r="J65" s="384">
        <v>0</v>
      </c>
      <c r="K65" s="384">
        <v>0</v>
      </c>
      <c r="L65" s="384">
        <v>0</v>
      </c>
      <c r="M65" s="384">
        <v>0</v>
      </c>
      <c r="N65" s="383">
        <f t="shared" si="1"/>
        <v>0</v>
      </c>
      <c r="O65" s="384">
        <v>0</v>
      </c>
      <c r="P65" s="384">
        <v>0</v>
      </c>
      <c r="Q65" s="384">
        <v>0</v>
      </c>
      <c r="R65" s="383">
        <f t="shared" si="2"/>
        <v>0</v>
      </c>
      <c r="S65" s="392"/>
      <c r="T65" s="384">
        <f t="shared" si="3"/>
        <v>0</v>
      </c>
    </row>
    <row r="66" spans="1:20" hidden="1" x14ac:dyDescent="0.25">
      <c r="A66" s="381">
        <v>903240</v>
      </c>
      <c r="B66" s="384">
        <v>0</v>
      </c>
      <c r="C66" s="384">
        <v>0</v>
      </c>
      <c r="D66" s="384">
        <v>0</v>
      </c>
      <c r="E66" s="384">
        <v>0</v>
      </c>
      <c r="F66" s="384">
        <v>0</v>
      </c>
      <c r="G66" s="383">
        <f t="shared" si="0"/>
        <v>0</v>
      </c>
      <c r="H66" s="384">
        <v>0</v>
      </c>
      <c r="I66" s="384">
        <v>0</v>
      </c>
      <c r="J66" s="384">
        <v>0</v>
      </c>
      <c r="K66" s="384">
        <v>0</v>
      </c>
      <c r="L66" s="384">
        <v>0</v>
      </c>
      <c r="M66" s="384">
        <v>0</v>
      </c>
      <c r="N66" s="383">
        <f t="shared" si="1"/>
        <v>0</v>
      </c>
      <c r="O66" s="384">
        <v>0</v>
      </c>
      <c r="P66" s="384">
        <v>0</v>
      </c>
      <c r="Q66" s="384">
        <v>0</v>
      </c>
      <c r="R66" s="383">
        <f t="shared" si="2"/>
        <v>0</v>
      </c>
      <c r="S66" s="392"/>
      <c r="T66" s="384">
        <f t="shared" si="3"/>
        <v>0</v>
      </c>
    </row>
    <row r="67" spans="1:20" x14ac:dyDescent="0.25">
      <c r="A67" s="381">
        <v>908000</v>
      </c>
      <c r="B67" s="384">
        <v>83972.319999999992</v>
      </c>
      <c r="C67" s="384">
        <v>2718.96</v>
      </c>
      <c r="D67" s="384">
        <v>500.68</v>
      </c>
      <c r="E67" s="384">
        <v>7755.3</v>
      </c>
      <c r="F67" s="384">
        <v>0</v>
      </c>
      <c r="G67" s="383">
        <f t="shared" si="0"/>
        <v>94947.26</v>
      </c>
      <c r="H67" s="384">
        <v>250</v>
      </c>
      <c r="I67" s="384">
        <v>0</v>
      </c>
      <c r="J67" s="384">
        <v>0</v>
      </c>
      <c r="K67" s="384">
        <v>0</v>
      </c>
      <c r="L67" s="384">
        <v>0</v>
      </c>
      <c r="M67" s="384">
        <v>277.37</v>
      </c>
      <c r="N67" s="383">
        <f t="shared" si="1"/>
        <v>95474.62999999999</v>
      </c>
      <c r="O67" s="384">
        <v>21.418394326189809</v>
      </c>
      <c r="P67" s="384">
        <v>0</v>
      </c>
      <c r="Q67" s="384">
        <v>0</v>
      </c>
      <c r="R67" s="383">
        <f t="shared" si="2"/>
        <v>95496.048394326179</v>
      </c>
      <c r="S67" s="392"/>
      <c r="T67" s="384">
        <f t="shared" si="3"/>
        <v>95496.048394326179</v>
      </c>
    </row>
    <row r="68" spans="1:20" x14ac:dyDescent="0.25">
      <c r="A68" s="381">
        <v>912000</v>
      </c>
      <c r="B68" s="384">
        <v>49553.200000000004</v>
      </c>
      <c r="C68" s="384">
        <v>1700.1999999999998</v>
      </c>
      <c r="D68" s="384">
        <v>353.99</v>
      </c>
      <c r="E68" s="384">
        <v>3688.5</v>
      </c>
      <c r="F68" s="384">
        <v>0</v>
      </c>
      <c r="G68" s="383">
        <f t="shared" si="0"/>
        <v>55295.89</v>
      </c>
      <c r="H68" s="384">
        <v>0</v>
      </c>
      <c r="I68" s="384">
        <v>0</v>
      </c>
      <c r="J68" s="384">
        <v>0</v>
      </c>
      <c r="K68" s="384">
        <v>0</v>
      </c>
      <c r="L68" s="384">
        <v>0</v>
      </c>
      <c r="M68" s="384">
        <v>192.04</v>
      </c>
      <c r="N68" s="383">
        <f t="shared" si="1"/>
        <v>55487.93</v>
      </c>
      <c r="O68" s="384">
        <v>47.770277015308515</v>
      </c>
      <c r="P68" s="384">
        <v>0</v>
      </c>
      <c r="Q68" s="384">
        <v>0</v>
      </c>
      <c r="R68" s="383">
        <f t="shared" si="2"/>
        <v>55535.700277015312</v>
      </c>
      <c r="S68" s="392"/>
      <c r="T68" s="384">
        <f t="shared" si="3"/>
        <v>55535.700277015312</v>
      </c>
    </row>
    <row r="69" spans="1:20" hidden="1" x14ac:dyDescent="0.25">
      <c r="A69" s="381">
        <v>913000</v>
      </c>
      <c r="B69" s="384">
        <v>0</v>
      </c>
      <c r="C69" s="384">
        <v>0</v>
      </c>
      <c r="D69" s="384">
        <v>0</v>
      </c>
      <c r="E69" s="384">
        <v>0</v>
      </c>
      <c r="F69" s="384">
        <v>0</v>
      </c>
      <c r="G69" s="383">
        <f t="shared" si="0"/>
        <v>0</v>
      </c>
      <c r="H69" s="384">
        <v>0</v>
      </c>
      <c r="I69" s="384">
        <v>0</v>
      </c>
      <c r="J69" s="384">
        <v>0</v>
      </c>
      <c r="K69" s="384">
        <v>0</v>
      </c>
      <c r="L69" s="384">
        <v>0</v>
      </c>
      <c r="M69" s="384">
        <v>0</v>
      </c>
      <c r="N69" s="383">
        <f t="shared" si="1"/>
        <v>0</v>
      </c>
      <c r="O69" s="384">
        <v>0</v>
      </c>
      <c r="P69" s="384">
        <v>0</v>
      </c>
      <c r="Q69" s="384">
        <v>0</v>
      </c>
      <c r="R69" s="383">
        <f t="shared" si="2"/>
        <v>0</v>
      </c>
      <c r="S69" s="392"/>
      <c r="T69" s="384">
        <f t="shared" si="3"/>
        <v>0</v>
      </c>
    </row>
    <row r="70" spans="1:20" hidden="1" x14ac:dyDescent="0.25">
      <c r="A70" s="381">
        <v>913220</v>
      </c>
      <c r="B70" s="384">
        <v>0</v>
      </c>
      <c r="C70" s="384">
        <v>0</v>
      </c>
      <c r="D70" s="384">
        <v>0</v>
      </c>
      <c r="E70" s="384">
        <v>0</v>
      </c>
      <c r="F70" s="384">
        <v>0</v>
      </c>
      <c r="G70" s="383">
        <f t="shared" si="0"/>
        <v>0</v>
      </c>
      <c r="H70" s="384">
        <v>0</v>
      </c>
      <c r="I70" s="384">
        <v>0</v>
      </c>
      <c r="J70" s="384">
        <v>0</v>
      </c>
      <c r="K70" s="384">
        <v>0</v>
      </c>
      <c r="L70" s="384">
        <v>0</v>
      </c>
      <c r="M70" s="384">
        <v>0</v>
      </c>
      <c r="N70" s="383">
        <f t="shared" si="1"/>
        <v>0</v>
      </c>
      <c r="O70" s="384">
        <v>0</v>
      </c>
      <c r="P70" s="384">
        <v>0</v>
      </c>
      <c r="Q70" s="384">
        <v>0</v>
      </c>
      <c r="R70" s="383">
        <f t="shared" si="2"/>
        <v>0</v>
      </c>
      <c r="S70" s="392"/>
      <c r="T70" s="384">
        <f t="shared" si="3"/>
        <v>0</v>
      </c>
    </row>
    <row r="71" spans="1:20" hidden="1" x14ac:dyDescent="0.25">
      <c r="A71" s="381">
        <v>913230</v>
      </c>
      <c r="B71" s="384">
        <v>0</v>
      </c>
      <c r="C71" s="384">
        <v>0</v>
      </c>
      <c r="D71" s="384">
        <v>0</v>
      </c>
      <c r="E71" s="384">
        <v>0</v>
      </c>
      <c r="F71" s="384">
        <v>0</v>
      </c>
      <c r="G71" s="383">
        <f t="shared" si="0"/>
        <v>0</v>
      </c>
      <c r="H71" s="384">
        <v>0</v>
      </c>
      <c r="I71" s="384">
        <v>0</v>
      </c>
      <c r="J71" s="384">
        <v>0</v>
      </c>
      <c r="K71" s="384">
        <v>0</v>
      </c>
      <c r="L71" s="384">
        <v>0</v>
      </c>
      <c r="M71" s="384">
        <v>0</v>
      </c>
      <c r="N71" s="383">
        <f t="shared" si="1"/>
        <v>0</v>
      </c>
      <c r="O71" s="384">
        <v>0</v>
      </c>
      <c r="P71" s="384">
        <v>0</v>
      </c>
      <c r="Q71" s="384">
        <v>0</v>
      </c>
      <c r="R71" s="383">
        <f t="shared" si="2"/>
        <v>0</v>
      </c>
      <c r="S71" s="392"/>
      <c r="T71" s="384">
        <f t="shared" si="3"/>
        <v>0</v>
      </c>
    </row>
    <row r="72" spans="1:20" hidden="1" x14ac:dyDescent="0.25">
      <c r="A72" s="381">
        <v>913240</v>
      </c>
      <c r="B72" s="384">
        <v>0</v>
      </c>
      <c r="C72" s="384">
        <v>0</v>
      </c>
      <c r="D72" s="384">
        <v>0</v>
      </c>
      <c r="E72" s="384">
        <v>0</v>
      </c>
      <c r="F72" s="384">
        <v>0</v>
      </c>
      <c r="G72" s="383">
        <f t="shared" si="0"/>
        <v>0</v>
      </c>
      <c r="H72" s="384">
        <v>0</v>
      </c>
      <c r="I72" s="384">
        <v>0</v>
      </c>
      <c r="J72" s="384">
        <v>0</v>
      </c>
      <c r="K72" s="384">
        <v>0</v>
      </c>
      <c r="L72" s="384">
        <v>0</v>
      </c>
      <c r="M72" s="384">
        <v>0</v>
      </c>
      <c r="N72" s="383">
        <f t="shared" si="1"/>
        <v>0</v>
      </c>
      <c r="O72" s="384">
        <v>0</v>
      </c>
      <c r="P72" s="384">
        <v>0</v>
      </c>
      <c r="Q72" s="384">
        <v>0</v>
      </c>
      <c r="R72" s="383">
        <f t="shared" si="2"/>
        <v>0</v>
      </c>
      <c r="S72" s="392"/>
      <c r="T72" s="384">
        <f t="shared" si="3"/>
        <v>0</v>
      </c>
    </row>
    <row r="73" spans="1:20" x14ac:dyDescent="0.25">
      <c r="A73" s="381">
        <v>920000</v>
      </c>
      <c r="B73" s="384">
        <v>1175170.3599999999</v>
      </c>
      <c r="C73" s="384">
        <v>38534.629999999997</v>
      </c>
      <c r="D73" s="384">
        <v>6278.06</v>
      </c>
      <c r="E73" s="384">
        <v>96030.92</v>
      </c>
      <c r="F73" s="384">
        <v>0</v>
      </c>
      <c r="G73" s="383">
        <f t="shared" ref="G73:G100" si="4">+B73+C73+D73+E73+F73</f>
        <v>1316013.9699999997</v>
      </c>
      <c r="H73" s="384">
        <v>33037.589999999997</v>
      </c>
      <c r="I73" s="384">
        <v>0</v>
      </c>
      <c r="J73" s="384">
        <v>0</v>
      </c>
      <c r="K73" s="384">
        <v>0</v>
      </c>
      <c r="L73" s="384">
        <v>0</v>
      </c>
      <c r="M73" s="384">
        <v>3691.97</v>
      </c>
      <c r="N73" s="383">
        <f t="shared" ref="N73:N100" si="5">+G73-I73+J73-K73+L73+M73+H73</f>
        <v>1352743.5299999998</v>
      </c>
      <c r="O73" s="384">
        <v>431.97835626858</v>
      </c>
      <c r="P73" s="384">
        <v>-109.6</v>
      </c>
      <c r="Q73" s="384">
        <v>0</v>
      </c>
      <c r="R73" s="383">
        <f t="shared" ref="R73:R100" si="6">+N73+P73+Q73+O73</f>
        <v>1353065.9083562682</v>
      </c>
      <c r="S73" s="392"/>
      <c r="T73" s="384">
        <f t="shared" ref="T73:T97" si="7">+R73+S73</f>
        <v>1353065.9083562682</v>
      </c>
    </row>
    <row r="74" spans="1:20" x14ac:dyDescent="0.25">
      <c r="A74" s="381">
        <v>920220</v>
      </c>
      <c r="B74" s="384">
        <v>254.35999999999999</v>
      </c>
      <c r="C74" s="384">
        <v>14.239999999999998</v>
      </c>
      <c r="D74" s="384">
        <v>0</v>
      </c>
      <c r="E74" s="384">
        <v>22.69</v>
      </c>
      <c r="F74" s="384">
        <v>0</v>
      </c>
      <c r="G74" s="383">
        <f t="shared" si="4"/>
        <v>291.28999999999996</v>
      </c>
      <c r="H74" s="384">
        <v>0</v>
      </c>
      <c r="I74" s="384">
        <v>0</v>
      </c>
      <c r="J74" s="384">
        <v>0</v>
      </c>
      <c r="K74" s="384">
        <v>0</v>
      </c>
      <c r="L74" s="384">
        <v>0</v>
      </c>
      <c r="M74" s="384">
        <v>0</v>
      </c>
      <c r="N74" s="383">
        <f t="shared" si="5"/>
        <v>291.28999999999996</v>
      </c>
      <c r="O74" s="384">
        <v>0.18195160605592681</v>
      </c>
      <c r="P74" s="384">
        <v>0</v>
      </c>
      <c r="Q74" s="384">
        <v>0</v>
      </c>
      <c r="R74" s="383">
        <f t="shared" si="6"/>
        <v>291.47195160605588</v>
      </c>
      <c r="S74" s="392"/>
      <c r="T74" s="384">
        <f t="shared" si="7"/>
        <v>291.47195160605588</v>
      </c>
    </row>
    <row r="75" spans="1:20" hidden="1" x14ac:dyDescent="0.25">
      <c r="A75" s="381">
        <v>920221</v>
      </c>
      <c r="B75" s="384">
        <v>0</v>
      </c>
      <c r="C75" s="384">
        <v>0</v>
      </c>
      <c r="D75" s="384">
        <v>0</v>
      </c>
      <c r="E75" s="384">
        <v>0</v>
      </c>
      <c r="F75" s="384">
        <v>0</v>
      </c>
      <c r="G75" s="383">
        <f t="shared" si="4"/>
        <v>0</v>
      </c>
      <c r="H75" s="384">
        <v>0</v>
      </c>
      <c r="I75" s="384">
        <v>0</v>
      </c>
      <c r="J75" s="384">
        <v>0</v>
      </c>
      <c r="K75" s="384">
        <v>0</v>
      </c>
      <c r="L75" s="384">
        <v>0</v>
      </c>
      <c r="M75" s="384">
        <v>0</v>
      </c>
      <c r="N75" s="383">
        <f t="shared" si="5"/>
        <v>0</v>
      </c>
      <c r="O75" s="384">
        <v>0</v>
      </c>
      <c r="P75" s="384">
        <v>0</v>
      </c>
      <c r="Q75" s="384">
        <v>0</v>
      </c>
      <c r="R75" s="383">
        <f t="shared" si="6"/>
        <v>0</v>
      </c>
      <c r="S75" s="392"/>
      <c r="T75" s="384">
        <f t="shared" si="7"/>
        <v>0</v>
      </c>
    </row>
    <row r="76" spans="1:20" x14ac:dyDescent="0.25">
      <c r="A76" s="381">
        <v>920230</v>
      </c>
      <c r="B76" s="384">
        <v>4786.9399999999996</v>
      </c>
      <c r="C76" s="384">
        <v>142.47999999999999</v>
      </c>
      <c r="D76" s="384">
        <v>0</v>
      </c>
      <c r="E76" s="384">
        <v>418.69</v>
      </c>
      <c r="F76" s="384">
        <v>0</v>
      </c>
      <c r="G76" s="383">
        <f t="shared" si="4"/>
        <v>5348.1099999999988</v>
      </c>
      <c r="H76" s="384">
        <v>0</v>
      </c>
      <c r="I76" s="384">
        <v>0</v>
      </c>
      <c r="J76" s="384">
        <v>0</v>
      </c>
      <c r="K76" s="384">
        <v>0</v>
      </c>
      <c r="L76" s="384">
        <v>0</v>
      </c>
      <c r="M76" s="384">
        <v>31.9</v>
      </c>
      <c r="N76" s="383">
        <f t="shared" si="5"/>
        <v>5380.0099999999984</v>
      </c>
      <c r="O76" s="384">
        <v>1.6162881142381491</v>
      </c>
      <c r="P76" s="384">
        <v>0</v>
      </c>
      <c r="Q76" s="384">
        <v>0</v>
      </c>
      <c r="R76" s="383">
        <f t="shared" si="6"/>
        <v>5381.6262881142366</v>
      </c>
      <c r="S76" s="392"/>
      <c r="T76" s="384">
        <f t="shared" si="7"/>
        <v>5381.6262881142366</v>
      </c>
    </row>
    <row r="77" spans="1:20" hidden="1" x14ac:dyDescent="0.25">
      <c r="A77" s="381">
        <v>920231</v>
      </c>
      <c r="B77" s="384">
        <v>0</v>
      </c>
      <c r="C77" s="384">
        <v>0</v>
      </c>
      <c r="D77" s="384">
        <v>0</v>
      </c>
      <c r="E77" s="384">
        <v>0</v>
      </c>
      <c r="F77" s="384">
        <v>0</v>
      </c>
      <c r="G77" s="383">
        <f t="shared" si="4"/>
        <v>0</v>
      </c>
      <c r="H77" s="384">
        <v>0</v>
      </c>
      <c r="I77" s="384">
        <v>0</v>
      </c>
      <c r="J77" s="384">
        <v>0</v>
      </c>
      <c r="K77" s="384">
        <v>0</v>
      </c>
      <c r="L77" s="384">
        <v>0</v>
      </c>
      <c r="M77" s="384">
        <v>0</v>
      </c>
      <c r="N77" s="383">
        <f t="shared" si="5"/>
        <v>0</v>
      </c>
      <c r="O77" s="384">
        <v>0</v>
      </c>
      <c r="P77" s="384">
        <v>0</v>
      </c>
      <c r="Q77" s="384">
        <v>0</v>
      </c>
      <c r="R77" s="383">
        <f t="shared" si="6"/>
        <v>0</v>
      </c>
      <c r="S77" s="392"/>
      <c r="T77" s="384">
        <f t="shared" si="7"/>
        <v>0</v>
      </c>
    </row>
    <row r="78" spans="1:20" x14ac:dyDescent="0.25">
      <c r="A78" s="381">
        <v>920240</v>
      </c>
      <c r="B78" s="384">
        <v>5818.79</v>
      </c>
      <c r="C78" s="384">
        <v>210.93</v>
      </c>
      <c r="D78" s="384">
        <v>12.91</v>
      </c>
      <c r="E78" s="384">
        <v>581.09</v>
      </c>
      <c r="F78" s="384">
        <v>0</v>
      </c>
      <c r="G78" s="383">
        <f t="shared" si="4"/>
        <v>6623.72</v>
      </c>
      <c r="H78" s="384">
        <v>0</v>
      </c>
      <c r="I78" s="384">
        <v>0</v>
      </c>
      <c r="J78" s="384">
        <v>0</v>
      </c>
      <c r="K78" s="384">
        <v>0</v>
      </c>
      <c r="L78" s="384">
        <v>0</v>
      </c>
      <c r="M78" s="384">
        <v>21.75</v>
      </c>
      <c r="N78" s="383">
        <f t="shared" si="5"/>
        <v>6645.47</v>
      </c>
      <c r="O78" s="384">
        <v>4.0684062708474933</v>
      </c>
      <c r="P78" s="384">
        <v>0</v>
      </c>
      <c r="Q78" s="384">
        <v>0</v>
      </c>
      <c r="R78" s="383">
        <f t="shared" si="6"/>
        <v>6649.5384062708481</v>
      </c>
      <c r="S78" s="392"/>
      <c r="T78" s="384">
        <f t="shared" si="7"/>
        <v>6649.5384062708481</v>
      </c>
    </row>
    <row r="79" spans="1:20" hidden="1" x14ac:dyDescent="0.25">
      <c r="A79" s="381">
        <v>920241</v>
      </c>
      <c r="B79" s="384">
        <v>0</v>
      </c>
      <c r="C79" s="384">
        <v>0</v>
      </c>
      <c r="D79" s="384">
        <v>0</v>
      </c>
      <c r="E79" s="384">
        <v>0</v>
      </c>
      <c r="F79" s="384">
        <v>0</v>
      </c>
      <c r="G79" s="383">
        <f t="shared" si="4"/>
        <v>0</v>
      </c>
      <c r="H79" s="384">
        <v>0</v>
      </c>
      <c r="I79" s="384">
        <v>0</v>
      </c>
      <c r="J79" s="384">
        <v>0</v>
      </c>
      <c r="K79" s="384">
        <v>0</v>
      </c>
      <c r="L79" s="384">
        <v>0</v>
      </c>
      <c r="M79" s="384">
        <v>0</v>
      </c>
      <c r="N79" s="383">
        <f t="shared" si="5"/>
        <v>0</v>
      </c>
      <c r="O79" s="384">
        <v>0</v>
      </c>
      <c r="P79" s="384">
        <v>0</v>
      </c>
      <c r="Q79" s="384">
        <v>0</v>
      </c>
      <c r="R79" s="383">
        <f t="shared" si="6"/>
        <v>0</v>
      </c>
      <c r="S79" s="392"/>
      <c r="T79" s="384">
        <f t="shared" si="7"/>
        <v>0</v>
      </c>
    </row>
    <row r="80" spans="1:20" x14ac:dyDescent="0.25">
      <c r="A80" s="381">
        <v>920250</v>
      </c>
      <c r="B80" s="384">
        <v>15628.169999999998</v>
      </c>
      <c r="C80" s="384">
        <v>579.66000000000008</v>
      </c>
      <c r="D80" s="384">
        <v>40.26</v>
      </c>
      <c r="E80" s="384">
        <v>1219.7499999999998</v>
      </c>
      <c r="F80" s="384">
        <v>0</v>
      </c>
      <c r="G80" s="383">
        <f t="shared" si="4"/>
        <v>17467.839999999997</v>
      </c>
      <c r="H80" s="384">
        <v>0</v>
      </c>
      <c r="I80" s="384">
        <v>0</v>
      </c>
      <c r="J80" s="384">
        <v>0</v>
      </c>
      <c r="K80" s="384">
        <v>0</v>
      </c>
      <c r="L80" s="384">
        <v>0</v>
      </c>
      <c r="M80" s="384">
        <v>109.75</v>
      </c>
      <c r="N80" s="383">
        <f t="shared" si="5"/>
        <v>17577.589999999997</v>
      </c>
      <c r="O80" s="384">
        <v>7.420776501294565</v>
      </c>
      <c r="P80" s="384">
        <v>0</v>
      </c>
      <c r="Q80" s="384">
        <v>0</v>
      </c>
      <c r="R80" s="383">
        <f t="shared" si="6"/>
        <v>17585.010776501291</v>
      </c>
      <c r="S80" s="392"/>
      <c r="T80" s="384">
        <f t="shared" si="7"/>
        <v>17585.010776501291</v>
      </c>
    </row>
    <row r="81" spans="1:20" x14ac:dyDescent="0.25">
      <c r="A81" s="381">
        <v>920260</v>
      </c>
      <c r="B81" s="384">
        <v>15230.96</v>
      </c>
      <c r="C81" s="384">
        <v>560.19000000000005</v>
      </c>
      <c r="D81" s="384">
        <v>40.26</v>
      </c>
      <c r="E81" s="384">
        <v>1182.3399999999999</v>
      </c>
      <c r="F81" s="384">
        <v>0</v>
      </c>
      <c r="G81" s="383">
        <f t="shared" si="4"/>
        <v>17013.75</v>
      </c>
      <c r="H81" s="384">
        <v>0</v>
      </c>
      <c r="I81" s="384">
        <v>0</v>
      </c>
      <c r="J81" s="384">
        <v>0</v>
      </c>
      <c r="K81" s="384">
        <v>0</v>
      </c>
      <c r="L81" s="384">
        <v>0</v>
      </c>
      <c r="M81" s="384">
        <v>109.75</v>
      </c>
      <c r="N81" s="383">
        <f t="shared" si="5"/>
        <v>17123.5</v>
      </c>
      <c r="O81" s="384">
        <v>7.2931740421729119</v>
      </c>
      <c r="P81" s="384">
        <v>0</v>
      </c>
      <c r="Q81" s="384">
        <v>0</v>
      </c>
      <c r="R81" s="383">
        <f t="shared" si="6"/>
        <v>17130.793174042174</v>
      </c>
      <c r="S81" s="392"/>
      <c r="T81" s="384">
        <f t="shared" si="7"/>
        <v>17130.793174042174</v>
      </c>
    </row>
    <row r="82" spans="1:20" x14ac:dyDescent="0.25">
      <c r="A82" s="381">
        <v>921000</v>
      </c>
      <c r="B82" s="384">
        <v>0</v>
      </c>
      <c r="C82" s="384">
        <v>0</v>
      </c>
      <c r="D82" s="384">
        <v>0</v>
      </c>
      <c r="E82" s="384">
        <v>0</v>
      </c>
      <c r="F82" s="384">
        <v>0</v>
      </c>
      <c r="G82" s="383">
        <f t="shared" si="4"/>
        <v>0</v>
      </c>
      <c r="H82" s="384">
        <v>2390</v>
      </c>
      <c r="I82" s="384">
        <v>0</v>
      </c>
      <c r="J82" s="384">
        <v>0</v>
      </c>
      <c r="K82" s="384">
        <v>0</v>
      </c>
      <c r="L82" s="384">
        <v>0</v>
      </c>
      <c r="M82" s="384">
        <v>0</v>
      </c>
      <c r="N82" s="383">
        <f t="shared" si="5"/>
        <v>2390</v>
      </c>
      <c r="O82" s="384">
        <v>0</v>
      </c>
      <c r="P82" s="384">
        <v>0</v>
      </c>
      <c r="Q82" s="384">
        <v>0</v>
      </c>
      <c r="R82" s="383">
        <f t="shared" si="6"/>
        <v>2390</v>
      </c>
      <c r="S82" s="392"/>
      <c r="T82" s="384">
        <f t="shared" si="7"/>
        <v>2390</v>
      </c>
    </row>
    <row r="83" spans="1:20" hidden="1" x14ac:dyDescent="0.25">
      <c r="A83" s="381">
        <v>928000</v>
      </c>
      <c r="B83" s="384">
        <v>0</v>
      </c>
      <c r="C83" s="384">
        <v>0</v>
      </c>
      <c r="D83" s="384">
        <v>0</v>
      </c>
      <c r="E83" s="384">
        <v>0</v>
      </c>
      <c r="F83" s="384">
        <v>0</v>
      </c>
      <c r="G83" s="383">
        <f t="shared" si="4"/>
        <v>0</v>
      </c>
      <c r="H83" s="384">
        <v>0</v>
      </c>
      <c r="I83" s="384">
        <v>0</v>
      </c>
      <c r="J83" s="384">
        <v>0</v>
      </c>
      <c r="K83" s="384">
        <v>0</v>
      </c>
      <c r="L83" s="384">
        <v>0</v>
      </c>
      <c r="M83" s="384">
        <v>0</v>
      </c>
      <c r="N83" s="383">
        <f t="shared" si="5"/>
        <v>0</v>
      </c>
      <c r="O83" s="384">
        <v>0</v>
      </c>
      <c r="P83" s="384">
        <v>0</v>
      </c>
      <c r="Q83" s="384">
        <v>0</v>
      </c>
      <c r="R83" s="383">
        <f t="shared" si="6"/>
        <v>0</v>
      </c>
      <c r="S83" s="392"/>
      <c r="T83" s="384">
        <f t="shared" si="7"/>
        <v>0</v>
      </c>
    </row>
    <row r="84" spans="1:20" hidden="1" x14ac:dyDescent="0.25">
      <c r="A84" s="381">
        <v>928100</v>
      </c>
      <c r="B84" s="384">
        <v>0</v>
      </c>
      <c r="C84" s="384">
        <v>0</v>
      </c>
      <c r="D84" s="384">
        <v>0</v>
      </c>
      <c r="E84" s="384">
        <v>0</v>
      </c>
      <c r="F84" s="384">
        <v>0</v>
      </c>
      <c r="G84" s="383">
        <f t="shared" si="4"/>
        <v>0</v>
      </c>
      <c r="H84" s="384">
        <v>0</v>
      </c>
      <c r="I84" s="384">
        <v>0</v>
      </c>
      <c r="J84" s="384">
        <v>0</v>
      </c>
      <c r="K84" s="384">
        <v>0</v>
      </c>
      <c r="L84" s="384">
        <v>0</v>
      </c>
      <c r="M84" s="384">
        <v>0</v>
      </c>
      <c r="N84" s="383">
        <f t="shared" si="5"/>
        <v>0</v>
      </c>
      <c r="O84" s="384">
        <v>0</v>
      </c>
      <c r="P84" s="384">
        <v>0</v>
      </c>
      <c r="Q84" s="384">
        <v>0</v>
      </c>
      <c r="R84" s="383">
        <f t="shared" si="6"/>
        <v>0</v>
      </c>
      <c r="S84" s="392"/>
      <c r="T84" s="384">
        <f t="shared" si="7"/>
        <v>0</v>
      </c>
    </row>
    <row r="85" spans="1:20" hidden="1" x14ac:dyDescent="0.25">
      <c r="A85" s="381">
        <v>928300</v>
      </c>
      <c r="B85" s="384">
        <v>0</v>
      </c>
      <c r="C85" s="384">
        <v>0</v>
      </c>
      <c r="D85" s="384">
        <v>0</v>
      </c>
      <c r="E85" s="384">
        <v>0</v>
      </c>
      <c r="F85" s="384">
        <v>0</v>
      </c>
      <c r="G85" s="383">
        <f t="shared" si="4"/>
        <v>0</v>
      </c>
      <c r="H85" s="384">
        <v>0</v>
      </c>
      <c r="I85" s="384">
        <v>0</v>
      </c>
      <c r="J85" s="384">
        <v>0</v>
      </c>
      <c r="K85" s="384">
        <v>0</v>
      </c>
      <c r="L85" s="384">
        <v>0</v>
      </c>
      <c r="M85" s="384">
        <v>0</v>
      </c>
      <c r="N85" s="383">
        <f t="shared" si="5"/>
        <v>0</v>
      </c>
      <c r="O85" s="384">
        <v>0</v>
      </c>
      <c r="P85" s="384">
        <v>0</v>
      </c>
      <c r="Q85" s="384">
        <v>0</v>
      </c>
      <c r="R85" s="383">
        <f t="shared" si="6"/>
        <v>0</v>
      </c>
      <c r="S85" s="392"/>
      <c r="T85" s="384">
        <f t="shared" si="7"/>
        <v>0</v>
      </c>
    </row>
    <row r="86" spans="1:20" hidden="1" x14ac:dyDescent="0.25">
      <c r="A86" s="381">
        <v>928500</v>
      </c>
      <c r="B86" s="384">
        <v>0</v>
      </c>
      <c r="C86" s="384">
        <v>0</v>
      </c>
      <c r="D86" s="384">
        <v>0</v>
      </c>
      <c r="E86" s="384">
        <v>0</v>
      </c>
      <c r="F86" s="384">
        <v>0</v>
      </c>
      <c r="G86" s="383">
        <f t="shared" si="4"/>
        <v>0</v>
      </c>
      <c r="H86" s="384">
        <v>0</v>
      </c>
      <c r="I86" s="384">
        <v>0</v>
      </c>
      <c r="J86" s="384">
        <v>0</v>
      </c>
      <c r="K86" s="384">
        <v>0</v>
      </c>
      <c r="L86" s="384">
        <v>0</v>
      </c>
      <c r="M86" s="384">
        <v>0</v>
      </c>
      <c r="N86" s="383">
        <f t="shared" si="5"/>
        <v>0</v>
      </c>
      <c r="O86" s="384">
        <v>0</v>
      </c>
      <c r="P86" s="384">
        <v>0</v>
      </c>
      <c r="Q86" s="384">
        <v>0</v>
      </c>
      <c r="R86" s="383">
        <f t="shared" si="6"/>
        <v>0</v>
      </c>
      <c r="S86" s="392"/>
      <c r="T86" s="384">
        <f t="shared" si="7"/>
        <v>0</v>
      </c>
    </row>
    <row r="87" spans="1:20" x14ac:dyDescent="0.25">
      <c r="A87" s="381">
        <v>928600</v>
      </c>
      <c r="B87" s="384">
        <v>390.72</v>
      </c>
      <c r="C87" s="384">
        <v>52.1</v>
      </c>
      <c r="D87" s="384">
        <v>0</v>
      </c>
      <c r="E87" s="384">
        <v>50.08</v>
      </c>
      <c r="F87" s="384">
        <v>0</v>
      </c>
      <c r="G87" s="383">
        <f t="shared" si="4"/>
        <v>492.90000000000003</v>
      </c>
      <c r="H87" s="384">
        <v>0</v>
      </c>
      <c r="I87" s="384">
        <v>0</v>
      </c>
      <c r="J87" s="384">
        <v>0</v>
      </c>
      <c r="K87" s="384">
        <v>0</v>
      </c>
      <c r="L87" s="384">
        <v>0</v>
      </c>
      <c r="M87" s="384">
        <v>24.89</v>
      </c>
      <c r="N87" s="383">
        <f t="shared" si="5"/>
        <v>517.79000000000008</v>
      </c>
      <c r="O87" s="384">
        <v>0</v>
      </c>
      <c r="P87" s="384">
        <v>0</v>
      </c>
      <c r="Q87" s="384">
        <v>0</v>
      </c>
      <c r="R87" s="383">
        <f t="shared" si="6"/>
        <v>517.79000000000008</v>
      </c>
      <c r="S87" s="392"/>
      <c r="T87" s="384">
        <f t="shared" si="7"/>
        <v>517.79000000000008</v>
      </c>
    </row>
    <row r="88" spans="1:20" hidden="1" x14ac:dyDescent="0.25">
      <c r="A88" s="381">
        <v>928610</v>
      </c>
      <c r="B88" s="384">
        <v>0</v>
      </c>
      <c r="C88" s="384">
        <v>0</v>
      </c>
      <c r="D88" s="384">
        <v>0</v>
      </c>
      <c r="E88" s="384">
        <v>0</v>
      </c>
      <c r="F88" s="384">
        <v>0</v>
      </c>
      <c r="G88" s="383">
        <f t="shared" si="4"/>
        <v>0</v>
      </c>
      <c r="H88" s="384">
        <v>0</v>
      </c>
      <c r="I88" s="384">
        <v>0</v>
      </c>
      <c r="J88" s="384">
        <v>0</v>
      </c>
      <c r="K88" s="384">
        <v>0</v>
      </c>
      <c r="L88" s="384">
        <v>0</v>
      </c>
      <c r="M88" s="384">
        <v>0</v>
      </c>
      <c r="N88" s="383">
        <f t="shared" si="5"/>
        <v>0</v>
      </c>
      <c r="O88" s="384">
        <v>0</v>
      </c>
      <c r="P88" s="384">
        <v>0</v>
      </c>
      <c r="Q88" s="384">
        <v>0</v>
      </c>
      <c r="R88" s="383">
        <f t="shared" si="6"/>
        <v>0</v>
      </c>
      <c r="S88" s="392"/>
      <c r="T88" s="384">
        <f t="shared" si="7"/>
        <v>0</v>
      </c>
    </row>
    <row r="89" spans="1:20" hidden="1" x14ac:dyDescent="0.25">
      <c r="A89" s="381">
        <v>930100</v>
      </c>
      <c r="B89" s="384">
        <v>0</v>
      </c>
      <c r="C89" s="384">
        <v>0</v>
      </c>
      <c r="D89" s="384">
        <v>0</v>
      </c>
      <c r="E89" s="384">
        <v>0</v>
      </c>
      <c r="F89" s="384">
        <v>0</v>
      </c>
      <c r="G89" s="383">
        <f t="shared" si="4"/>
        <v>0</v>
      </c>
      <c r="H89" s="384">
        <v>0</v>
      </c>
      <c r="I89" s="384">
        <v>0</v>
      </c>
      <c r="J89" s="384">
        <v>0</v>
      </c>
      <c r="K89" s="384">
        <v>0</v>
      </c>
      <c r="L89" s="384">
        <v>0</v>
      </c>
      <c r="M89" s="384">
        <v>0</v>
      </c>
      <c r="N89" s="383">
        <f t="shared" si="5"/>
        <v>0</v>
      </c>
      <c r="O89" s="384">
        <v>0</v>
      </c>
      <c r="P89" s="384">
        <v>0</v>
      </c>
      <c r="Q89" s="384">
        <v>0</v>
      </c>
      <c r="R89" s="383">
        <f t="shared" si="6"/>
        <v>0</v>
      </c>
      <c r="S89" s="392"/>
      <c r="T89" s="384">
        <f t="shared" si="7"/>
        <v>0</v>
      </c>
    </row>
    <row r="90" spans="1:20" x14ac:dyDescent="0.25">
      <c r="A90" s="381">
        <v>930200</v>
      </c>
      <c r="B90" s="384">
        <v>94667.31</v>
      </c>
      <c r="C90" s="384">
        <v>2354.8599999999997</v>
      </c>
      <c r="D90" s="384">
        <v>326.22000000000003</v>
      </c>
      <c r="E90" s="384">
        <v>7319.0199999999995</v>
      </c>
      <c r="F90" s="384">
        <v>0.01</v>
      </c>
      <c r="G90" s="383">
        <f t="shared" si="4"/>
        <v>104667.42</v>
      </c>
      <c r="H90" s="384">
        <v>8813.84</v>
      </c>
      <c r="I90" s="384">
        <v>0</v>
      </c>
      <c r="J90" s="384">
        <v>0</v>
      </c>
      <c r="K90" s="384">
        <v>0</v>
      </c>
      <c r="L90" s="384">
        <v>0</v>
      </c>
      <c r="M90" s="384">
        <v>163.12</v>
      </c>
      <c r="N90" s="383">
        <f t="shared" si="5"/>
        <v>113644.37999999999</v>
      </c>
      <c r="O90" s="384">
        <v>68.872126787923023</v>
      </c>
      <c r="P90" s="384">
        <v>-103.08</v>
      </c>
      <c r="Q90" s="384">
        <v>0</v>
      </c>
      <c r="R90" s="383">
        <f t="shared" si="6"/>
        <v>113610.17212678792</v>
      </c>
      <c r="S90" s="392"/>
      <c r="T90" s="384">
        <f t="shared" si="7"/>
        <v>113610.17212678792</v>
      </c>
    </row>
    <row r="91" spans="1:20" hidden="1" x14ac:dyDescent="0.25">
      <c r="A91" s="381">
        <v>930220</v>
      </c>
      <c r="B91" s="384">
        <v>0</v>
      </c>
      <c r="C91" s="384">
        <v>0</v>
      </c>
      <c r="D91" s="384">
        <v>0</v>
      </c>
      <c r="E91" s="384">
        <v>0</v>
      </c>
      <c r="F91" s="384">
        <v>0</v>
      </c>
      <c r="G91" s="383">
        <f t="shared" si="4"/>
        <v>0</v>
      </c>
      <c r="H91" s="384">
        <v>0</v>
      </c>
      <c r="I91" s="384">
        <v>0</v>
      </c>
      <c r="J91" s="384">
        <v>0</v>
      </c>
      <c r="K91" s="384">
        <v>0</v>
      </c>
      <c r="L91" s="384">
        <v>0</v>
      </c>
      <c r="M91" s="384">
        <v>0</v>
      </c>
      <c r="N91" s="383">
        <f t="shared" si="5"/>
        <v>0</v>
      </c>
      <c r="O91" s="384">
        <v>0</v>
      </c>
      <c r="P91" s="384">
        <v>0</v>
      </c>
      <c r="Q91" s="384">
        <v>0</v>
      </c>
      <c r="R91" s="383">
        <f t="shared" si="6"/>
        <v>0</v>
      </c>
      <c r="S91" s="392"/>
      <c r="T91" s="384">
        <f t="shared" si="7"/>
        <v>0</v>
      </c>
    </row>
    <row r="92" spans="1:20" hidden="1" x14ac:dyDescent="0.25">
      <c r="A92" s="381">
        <v>930221</v>
      </c>
      <c r="B92" s="384">
        <v>0</v>
      </c>
      <c r="C92" s="384">
        <v>0</v>
      </c>
      <c r="D92" s="384">
        <v>0</v>
      </c>
      <c r="E92" s="384">
        <v>0</v>
      </c>
      <c r="F92" s="384">
        <v>0</v>
      </c>
      <c r="G92" s="383">
        <f t="shared" si="4"/>
        <v>0</v>
      </c>
      <c r="H92" s="384">
        <v>0</v>
      </c>
      <c r="I92" s="384">
        <v>0</v>
      </c>
      <c r="J92" s="384">
        <v>0</v>
      </c>
      <c r="K92" s="384">
        <v>0</v>
      </c>
      <c r="L92" s="384">
        <v>0</v>
      </c>
      <c r="M92" s="384">
        <v>0</v>
      </c>
      <c r="N92" s="383">
        <f t="shared" si="5"/>
        <v>0</v>
      </c>
      <c r="O92" s="384">
        <v>0</v>
      </c>
      <c r="P92" s="384">
        <v>0</v>
      </c>
      <c r="Q92" s="384">
        <v>0</v>
      </c>
      <c r="R92" s="383">
        <f t="shared" si="6"/>
        <v>0</v>
      </c>
      <c r="S92" s="392"/>
      <c r="T92" s="384">
        <f t="shared" si="7"/>
        <v>0</v>
      </c>
    </row>
    <row r="93" spans="1:20" hidden="1" x14ac:dyDescent="0.25">
      <c r="A93" s="381">
        <v>930230</v>
      </c>
      <c r="B93" s="384">
        <v>0</v>
      </c>
      <c r="C93" s="384">
        <v>0</v>
      </c>
      <c r="D93" s="384">
        <v>0</v>
      </c>
      <c r="E93" s="384">
        <v>0</v>
      </c>
      <c r="F93" s="384">
        <v>0</v>
      </c>
      <c r="G93" s="383">
        <f t="shared" si="4"/>
        <v>0</v>
      </c>
      <c r="H93" s="384">
        <v>0</v>
      </c>
      <c r="I93" s="384">
        <v>0</v>
      </c>
      <c r="J93" s="384">
        <v>0</v>
      </c>
      <c r="K93" s="384">
        <v>0</v>
      </c>
      <c r="L93" s="384">
        <v>0</v>
      </c>
      <c r="M93" s="384">
        <v>0</v>
      </c>
      <c r="N93" s="383">
        <f t="shared" si="5"/>
        <v>0</v>
      </c>
      <c r="O93" s="384">
        <v>0</v>
      </c>
      <c r="P93" s="384">
        <v>0</v>
      </c>
      <c r="Q93" s="384">
        <v>0</v>
      </c>
      <c r="R93" s="383">
        <f t="shared" si="6"/>
        <v>0</v>
      </c>
      <c r="S93" s="392"/>
      <c r="T93" s="384">
        <f t="shared" si="7"/>
        <v>0</v>
      </c>
    </row>
    <row r="94" spans="1:20" hidden="1" x14ac:dyDescent="0.25">
      <c r="A94" s="381">
        <v>930231</v>
      </c>
      <c r="B94" s="384">
        <v>0</v>
      </c>
      <c r="C94" s="384">
        <v>0</v>
      </c>
      <c r="D94" s="384">
        <v>0</v>
      </c>
      <c r="E94" s="384">
        <v>0</v>
      </c>
      <c r="F94" s="384">
        <v>0</v>
      </c>
      <c r="G94" s="383">
        <f t="shared" si="4"/>
        <v>0</v>
      </c>
      <c r="H94" s="384">
        <v>0</v>
      </c>
      <c r="I94" s="384">
        <v>0</v>
      </c>
      <c r="J94" s="384">
        <v>0</v>
      </c>
      <c r="K94" s="384">
        <v>0</v>
      </c>
      <c r="L94" s="384">
        <v>0</v>
      </c>
      <c r="M94" s="384">
        <v>0</v>
      </c>
      <c r="N94" s="383">
        <f t="shared" si="5"/>
        <v>0</v>
      </c>
      <c r="O94" s="384">
        <v>0</v>
      </c>
      <c r="P94" s="384">
        <v>0</v>
      </c>
      <c r="Q94" s="384">
        <v>0</v>
      </c>
      <c r="R94" s="383">
        <f t="shared" si="6"/>
        <v>0</v>
      </c>
      <c r="S94" s="392"/>
      <c r="T94" s="384">
        <f t="shared" si="7"/>
        <v>0</v>
      </c>
    </row>
    <row r="95" spans="1:20" hidden="1" x14ac:dyDescent="0.25">
      <c r="A95" s="381">
        <v>930240</v>
      </c>
      <c r="B95" s="384">
        <v>0</v>
      </c>
      <c r="C95" s="384">
        <v>0</v>
      </c>
      <c r="D95" s="384">
        <v>0</v>
      </c>
      <c r="E95" s="384">
        <v>0</v>
      </c>
      <c r="F95" s="384">
        <v>0</v>
      </c>
      <c r="G95" s="383">
        <f t="shared" si="4"/>
        <v>0</v>
      </c>
      <c r="H95" s="384">
        <v>0</v>
      </c>
      <c r="I95" s="384">
        <v>0</v>
      </c>
      <c r="J95" s="384">
        <v>0</v>
      </c>
      <c r="K95" s="384">
        <v>0</v>
      </c>
      <c r="L95" s="384">
        <v>0</v>
      </c>
      <c r="M95" s="384">
        <v>0</v>
      </c>
      <c r="N95" s="383">
        <f t="shared" si="5"/>
        <v>0</v>
      </c>
      <c r="O95" s="384">
        <v>0</v>
      </c>
      <c r="P95" s="384">
        <v>0</v>
      </c>
      <c r="Q95" s="384">
        <v>0</v>
      </c>
      <c r="R95" s="383">
        <f t="shared" si="6"/>
        <v>0</v>
      </c>
      <c r="S95" s="392"/>
      <c r="T95" s="384">
        <f t="shared" si="7"/>
        <v>0</v>
      </c>
    </row>
    <row r="96" spans="1:20" hidden="1" x14ac:dyDescent="0.25">
      <c r="A96" s="381">
        <v>930241</v>
      </c>
      <c r="B96" s="384">
        <v>0</v>
      </c>
      <c r="C96" s="384">
        <v>0</v>
      </c>
      <c r="D96" s="384">
        <v>0</v>
      </c>
      <c r="E96" s="384">
        <v>0</v>
      </c>
      <c r="F96" s="384">
        <v>0</v>
      </c>
      <c r="G96" s="383">
        <f t="shared" si="4"/>
        <v>0</v>
      </c>
      <c r="H96" s="384">
        <v>0</v>
      </c>
      <c r="I96" s="384">
        <v>0</v>
      </c>
      <c r="J96" s="384">
        <v>0</v>
      </c>
      <c r="K96" s="384">
        <v>0</v>
      </c>
      <c r="L96" s="384">
        <v>0</v>
      </c>
      <c r="M96" s="384">
        <v>0</v>
      </c>
      <c r="N96" s="383">
        <f t="shared" si="5"/>
        <v>0</v>
      </c>
      <c r="O96" s="384">
        <v>0</v>
      </c>
      <c r="P96" s="384">
        <v>0</v>
      </c>
      <c r="Q96" s="384">
        <v>0</v>
      </c>
      <c r="R96" s="383">
        <f t="shared" si="6"/>
        <v>0</v>
      </c>
      <c r="S96" s="392"/>
      <c r="T96" s="384">
        <f t="shared" si="7"/>
        <v>0</v>
      </c>
    </row>
    <row r="97" spans="1:23" x14ac:dyDescent="0.25">
      <c r="A97" s="381">
        <v>935000</v>
      </c>
      <c r="B97" s="384">
        <v>307682.67</v>
      </c>
      <c r="C97" s="384">
        <v>10209.540000000001</v>
      </c>
      <c r="D97" s="384">
        <v>1924.15</v>
      </c>
      <c r="E97" s="384">
        <v>20842.97</v>
      </c>
      <c r="F97" s="384">
        <v>0</v>
      </c>
      <c r="G97" s="383">
        <f t="shared" si="4"/>
        <v>340659.32999999996</v>
      </c>
      <c r="H97" s="384">
        <v>307.39</v>
      </c>
      <c r="I97" s="384">
        <v>0</v>
      </c>
      <c r="J97" s="384">
        <v>0</v>
      </c>
      <c r="K97" s="384">
        <v>0</v>
      </c>
      <c r="L97" s="384">
        <v>0</v>
      </c>
      <c r="M97" s="384">
        <v>907.53</v>
      </c>
      <c r="N97" s="383">
        <f t="shared" si="5"/>
        <v>341874.25</v>
      </c>
      <c r="O97" s="384">
        <v>108.27641988516918</v>
      </c>
      <c r="P97" s="384">
        <v>-32.130000000000003</v>
      </c>
      <c r="Q97" s="384">
        <v>0</v>
      </c>
      <c r="R97" s="383">
        <f t="shared" si="6"/>
        <v>341950.39641988516</v>
      </c>
      <c r="S97" s="392"/>
      <c r="T97" s="384">
        <f t="shared" si="7"/>
        <v>341950.39641988516</v>
      </c>
    </row>
    <row r="98" spans="1:23" hidden="1" x14ac:dyDescent="0.25">
      <c r="A98" s="381">
        <v>935220</v>
      </c>
      <c r="B98" s="384">
        <v>0</v>
      </c>
      <c r="C98" s="384">
        <v>0</v>
      </c>
      <c r="D98" s="384">
        <v>0</v>
      </c>
      <c r="E98" s="384">
        <v>0</v>
      </c>
      <c r="F98" s="384">
        <v>0</v>
      </c>
      <c r="G98" s="383">
        <f t="shared" si="4"/>
        <v>0</v>
      </c>
      <c r="H98" s="384">
        <v>0</v>
      </c>
      <c r="I98" s="384">
        <v>0</v>
      </c>
      <c r="J98" s="384">
        <v>0</v>
      </c>
      <c r="K98" s="384">
        <v>0</v>
      </c>
      <c r="L98" s="384">
        <v>0</v>
      </c>
      <c r="M98" s="384">
        <v>0</v>
      </c>
      <c r="N98" s="383">
        <f t="shared" si="5"/>
        <v>0</v>
      </c>
      <c r="O98" s="384">
        <v>0</v>
      </c>
      <c r="P98" s="384">
        <v>0</v>
      </c>
      <c r="Q98" s="384">
        <v>0</v>
      </c>
      <c r="R98" s="383">
        <f t="shared" si="6"/>
        <v>0</v>
      </c>
      <c r="S98" s="392"/>
    </row>
    <row r="99" spans="1:23" hidden="1" x14ac:dyDescent="0.25">
      <c r="A99" s="381">
        <v>935230</v>
      </c>
      <c r="B99" s="384">
        <v>0</v>
      </c>
      <c r="C99" s="384">
        <v>0</v>
      </c>
      <c r="D99" s="384">
        <v>0</v>
      </c>
      <c r="E99" s="384">
        <v>0</v>
      </c>
      <c r="F99" s="384">
        <v>0</v>
      </c>
      <c r="G99" s="383">
        <f t="shared" si="4"/>
        <v>0</v>
      </c>
      <c r="H99" s="384">
        <v>0</v>
      </c>
      <c r="I99" s="384">
        <v>0</v>
      </c>
      <c r="J99" s="384">
        <v>0</v>
      </c>
      <c r="K99" s="384">
        <v>0</v>
      </c>
      <c r="L99" s="384">
        <v>0</v>
      </c>
      <c r="M99" s="384">
        <v>0</v>
      </c>
      <c r="N99" s="383">
        <f t="shared" si="5"/>
        <v>0</v>
      </c>
      <c r="O99" s="384">
        <v>0</v>
      </c>
      <c r="P99" s="384">
        <v>0</v>
      </c>
      <c r="Q99" s="384">
        <v>0</v>
      </c>
      <c r="R99" s="383">
        <f t="shared" si="6"/>
        <v>0</v>
      </c>
      <c r="S99" s="392"/>
    </row>
    <row r="100" spans="1:23" hidden="1" x14ac:dyDescent="0.25">
      <c r="A100" s="381">
        <v>935240</v>
      </c>
      <c r="B100" s="384">
        <v>0</v>
      </c>
      <c r="C100" s="384">
        <v>0</v>
      </c>
      <c r="D100" s="384">
        <v>0</v>
      </c>
      <c r="E100" s="384">
        <v>0</v>
      </c>
      <c r="F100" s="384">
        <v>0</v>
      </c>
      <c r="G100" s="383">
        <f t="shared" si="4"/>
        <v>0</v>
      </c>
      <c r="H100" s="384">
        <v>0</v>
      </c>
      <c r="I100" s="384">
        <v>0</v>
      </c>
      <c r="J100" s="384">
        <v>0</v>
      </c>
      <c r="K100" s="384">
        <v>0</v>
      </c>
      <c r="L100" s="384">
        <v>0</v>
      </c>
      <c r="M100" s="384">
        <v>0</v>
      </c>
      <c r="N100" s="383">
        <f t="shared" si="5"/>
        <v>0</v>
      </c>
      <c r="O100" s="384">
        <v>0</v>
      </c>
      <c r="P100" s="384">
        <v>0</v>
      </c>
      <c r="Q100" s="384">
        <v>0</v>
      </c>
      <c r="R100" s="383">
        <f t="shared" si="6"/>
        <v>0</v>
      </c>
      <c r="S100" s="392"/>
    </row>
    <row r="101" spans="1:23" x14ac:dyDescent="0.25">
      <c r="A101" s="381"/>
      <c r="B101" s="384"/>
      <c r="C101" s="384"/>
      <c r="D101" s="384"/>
      <c r="E101" s="384"/>
      <c r="F101" s="384"/>
      <c r="H101" s="384"/>
      <c r="I101" s="384"/>
      <c r="J101" s="384"/>
      <c r="K101" s="384"/>
      <c r="L101" s="384"/>
      <c r="M101" s="384"/>
      <c r="O101" s="384"/>
      <c r="P101" s="384"/>
      <c r="Q101" s="384"/>
      <c r="S101" s="392"/>
    </row>
    <row r="102" spans="1:23" ht="15.6" thickBot="1" x14ac:dyDescent="0.3">
      <c r="A102" s="386"/>
      <c r="B102" s="387">
        <f>SUM(B8:B101)</f>
        <v>10179418.149999999</v>
      </c>
      <c r="C102" s="387">
        <f t="shared" ref="C102:R102" si="8">SUM(C8:C101)</f>
        <v>315481.10999999987</v>
      </c>
      <c r="D102" s="387">
        <f t="shared" si="8"/>
        <v>58520.529999999992</v>
      </c>
      <c r="E102" s="387">
        <f t="shared" si="8"/>
        <v>805308.72</v>
      </c>
      <c r="F102" s="387">
        <f t="shared" si="8"/>
        <v>20323.599999999999</v>
      </c>
      <c r="G102" s="406">
        <f t="shared" si="8"/>
        <v>11379052.109999999</v>
      </c>
      <c r="H102" s="387">
        <f t="shared" si="8"/>
        <v>-12354.820000000003</v>
      </c>
      <c r="I102" s="387">
        <f t="shared" si="8"/>
        <v>0</v>
      </c>
      <c r="J102" s="387">
        <f t="shared" si="8"/>
        <v>0</v>
      </c>
      <c r="K102" s="387">
        <f t="shared" si="8"/>
        <v>0</v>
      </c>
      <c r="L102" s="387">
        <f t="shared" si="8"/>
        <v>0</v>
      </c>
      <c r="M102" s="387">
        <f t="shared" si="8"/>
        <v>31362.48</v>
      </c>
      <c r="N102" s="406">
        <f t="shared" si="8"/>
        <v>11398059.77</v>
      </c>
      <c r="O102" s="387">
        <f t="shared" si="8"/>
        <v>-7.560174708487466E-12</v>
      </c>
      <c r="P102" s="387">
        <f t="shared" si="8"/>
        <v>-4.9737991503207013E-14</v>
      </c>
      <c r="Q102" s="387">
        <f t="shared" si="8"/>
        <v>1.9269918993813917E-11</v>
      </c>
      <c r="R102" s="387">
        <f t="shared" si="8"/>
        <v>11398059.769999998</v>
      </c>
      <c r="S102" s="393">
        <f t="shared" ref="S102" si="9">SUM(S8:S101)</f>
        <v>0</v>
      </c>
      <c r="T102" s="387">
        <f t="shared" ref="T102" si="10">SUM(T8:T101)</f>
        <v>11398059.769999998</v>
      </c>
    </row>
    <row r="103" spans="1:23" ht="15.6" thickTop="1" x14ac:dyDescent="0.25">
      <c r="A103" s="386" t="s">
        <v>83</v>
      </c>
      <c r="H103" s="383"/>
      <c r="I103" s="383" t="s">
        <v>83</v>
      </c>
      <c r="J103" s="383"/>
      <c r="K103" s="383"/>
      <c r="L103" s="383"/>
      <c r="M103" s="383"/>
      <c r="O103" s="383"/>
      <c r="P103" s="383"/>
      <c r="Q103" s="383"/>
      <c r="U103" s="395" t="s">
        <v>204</v>
      </c>
      <c r="V103" s="395"/>
      <c r="W103" s="395"/>
    </row>
    <row r="104" spans="1:23" x14ac:dyDescent="0.25">
      <c r="A104" s="386"/>
      <c r="H104" s="383"/>
      <c r="I104" s="383"/>
      <c r="J104" s="383"/>
      <c r="K104" s="383"/>
      <c r="L104" s="383"/>
      <c r="M104" s="357"/>
      <c r="N104" s="357"/>
      <c r="R104" s="357"/>
      <c r="U104" s="384">
        <f>+SUM(T45:T51)</f>
        <v>1424458.5718952564</v>
      </c>
      <c r="V104" s="382">
        <v>580</v>
      </c>
      <c r="W104" s="396">
        <f>+U104/$U$110</f>
        <v>0.18463562203384509</v>
      </c>
    </row>
    <row r="105" spans="1:23" x14ac:dyDescent="0.25">
      <c r="A105" s="386"/>
      <c r="B105" s="383">
        <v>11347844.640000001</v>
      </c>
      <c r="C105" s="358" t="s">
        <v>495</v>
      </c>
      <c r="G105" s="404" t="s">
        <v>493</v>
      </c>
      <c r="H105" s="383">
        <v>16562.22</v>
      </c>
      <c r="I105" s="383"/>
      <c r="J105" s="383"/>
      <c r="K105" s="383"/>
      <c r="N105" s="383">
        <f>SUM(N8:N29)++N36</f>
        <v>3179984.6799999997</v>
      </c>
      <c r="O105" s="356" t="s">
        <v>104</v>
      </c>
      <c r="P105" s="357"/>
      <c r="Q105" s="356"/>
      <c r="R105" s="383">
        <f>SUM(R8:R29)++R36</f>
        <v>3677190.1057343637</v>
      </c>
      <c r="S105" s="394">
        <f>+T105/$T$110</f>
        <v>0.32261544332420744</v>
      </c>
      <c r="T105" s="383">
        <f>SUM(T8:T29)++T36</f>
        <v>3677190.1057343637</v>
      </c>
      <c r="U105" s="384">
        <f>+SUM(T52:T62)</f>
        <v>2216151.9974026387</v>
      </c>
      <c r="V105" s="382">
        <v>590</v>
      </c>
      <c r="W105" s="396">
        <f t="shared" ref="W105:W109" si="11">+U105/$U$110</f>
        <v>0.28725342430813244</v>
      </c>
    </row>
    <row r="106" spans="1:23" x14ac:dyDescent="0.25">
      <c r="A106" s="386"/>
      <c r="B106" s="358"/>
      <c r="C106" s="358"/>
      <c r="D106" s="401"/>
      <c r="F106" s="382"/>
      <c r="G106" s="404" t="s">
        <v>494</v>
      </c>
      <c r="H106" s="383">
        <v>-1879.62</v>
      </c>
      <c r="N106" s="383">
        <f>SUM(N30:N33)</f>
        <v>4986.0199999999995</v>
      </c>
      <c r="O106" s="356" t="s">
        <v>78</v>
      </c>
      <c r="P106" s="357"/>
      <c r="Q106" s="356"/>
      <c r="R106" s="383">
        <f>SUM(R30:R33)</f>
        <v>4986.0199999999995</v>
      </c>
      <c r="S106" s="394">
        <f>+T106/$T$110</f>
        <v>4.374446265954262E-4</v>
      </c>
      <c r="T106" s="383">
        <f>SUM(T30:T33)</f>
        <v>4986.0199999999995</v>
      </c>
      <c r="U106" s="384">
        <f>+SUM(T63:T66)</f>
        <v>2064756.5287969233</v>
      </c>
      <c r="V106" s="382">
        <v>903</v>
      </c>
      <c r="W106" s="396">
        <f t="shared" si="11"/>
        <v>0.2676298304243665</v>
      </c>
    </row>
    <row r="107" spans="1:23" x14ac:dyDescent="0.25">
      <c r="A107" s="388"/>
      <c r="B107" s="383">
        <v>-38752.43</v>
      </c>
      <c r="C107" s="407" t="s">
        <v>501</v>
      </c>
      <c r="D107" s="358"/>
      <c r="F107" s="358"/>
      <c r="G107" s="404" t="s">
        <v>494</v>
      </c>
      <c r="H107" s="383">
        <v>-2343.66</v>
      </c>
      <c r="N107" s="383">
        <f>SUM(N34:N35)+N37</f>
        <v>516688.74999999994</v>
      </c>
      <c r="O107" s="356" t="s">
        <v>105</v>
      </c>
      <c r="P107" s="357"/>
      <c r="Q107" s="356"/>
      <c r="R107" s="383">
        <f>SUM(R34:R35)+R37</f>
        <v>-2.1742607714259066E-11</v>
      </c>
      <c r="S107" s="394">
        <f>+T107/$T$110</f>
        <v>-1.9075709509337893E-18</v>
      </c>
      <c r="T107" s="383">
        <f>SUM(T34:T35)+T37</f>
        <v>-2.1742607714259066E-11</v>
      </c>
      <c r="U107" s="384">
        <f>+T67</f>
        <v>95496.048394326179</v>
      </c>
      <c r="V107" s="382">
        <v>908</v>
      </c>
      <c r="W107" s="396">
        <f t="shared" si="11"/>
        <v>1.2378016914595889E-2</v>
      </c>
    </row>
    <row r="108" spans="1:23" x14ac:dyDescent="0.25">
      <c r="A108" s="388"/>
      <c r="B108" s="383">
        <v>-808227.9</v>
      </c>
      <c r="C108" s="407" t="s">
        <v>490</v>
      </c>
      <c r="D108" s="358"/>
      <c r="F108" s="358"/>
      <c r="G108" s="404" t="s">
        <v>494</v>
      </c>
      <c r="H108" s="383">
        <v>-24693.759999999998</v>
      </c>
      <c r="N108" s="383">
        <f>SUM(N38:N44)</f>
        <v>527.5200000000001</v>
      </c>
      <c r="O108" s="356" t="s">
        <v>106</v>
      </c>
      <c r="P108" s="357"/>
      <c r="Q108" s="356"/>
      <c r="R108" s="383">
        <f>SUM(R38:R44)</f>
        <v>912.09</v>
      </c>
      <c r="S108" s="394">
        <f>+T108/$T$110</f>
        <v>8.0021514047561447E-5</v>
      </c>
      <c r="T108" s="383">
        <f>SUM(T38:T44)</f>
        <v>912.09</v>
      </c>
      <c r="U108" s="384">
        <f>+T68</f>
        <v>55535.700277015312</v>
      </c>
      <c r="V108" s="382">
        <v>912</v>
      </c>
      <c r="W108" s="396">
        <f t="shared" si="11"/>
        <v>7.1984322801954366E-3</v>
      </c>
    </row>
    <row r="109" spans="1:23" x14ac:dyDescent="0.25">
      <c r="A109" s="388"/>
      <c r="B109" s="383">
        <v>805308.72</v>
      </c>
      <c r="C109" s="407" t="s">
        <v>491</v>
      </c>
      <c r="D109" s="358"/>
      <c r="F109" s="358"/>
      <c r="N109" s="389">
        <f>SUM(N45:N101)</f>
        <v>7695872.7999999989</v>
      </c>
      <c r="O109" s="356" t="s">
        <v>107</v>
      </c>
      <c r="P109" s="357"/>
      <c r="Q109" s="356"/>
      <c r="R109" s="389">
        <f>SUM(R45:R101)</f>
        <v>7714971.554265636</v>
      </c>
      <c r="S109" s="394">
        <f>+T109/$T$110</f>
        <v>0.6768670905351496</v>
      </c>
      <c r="T109" s="399">
        <f>SUM(T45:T101)</f>
        <v>7714971.554265636</v>
      </c>
      <c r="U109" s="384">
        <f>+SUM(T73:T100)</f>
        <v>1858572.7074994759</v>
      </c>
      <c r="V109" s="382" t="s">
        <v>203</v>
      </c>
      <c r="W109" s="396">
        <f t="shared" si="11"/>
        <v>0.24090467403886465</v>
      </c>
    </row>
    <row r="110" spans="1:23" ht="15.6" thickBot="1" x14ac:dyDescent="0.3">
      <c r="A110" s="388"/>
      <c r="B110" s="383">
        <v>-426036.77</v>
      </c>
      <c r="C110" s="407" t="s">
        <v>497</v>
      </c>
      <c r="D110" s="358"/>
      <c r="F110" s="358"/>
      <c r="H110" s="383">
        <f>SUM(H105:H108)</f>
        <v>-12354.819999999996</v>
      </c>
      <c r="N110" s="390">
        <f>SUM(N105:N109)</f>
        <v>11398059.77</v>
      </c>
      <c r="O110" s="356" t="s">
        <v>92</v>
      </c>
      <c r="P110" s="357"/>
      <c r="Q110" s="356"/>
      <c r="R110" s="390">
        <f>SUM(R105:R109)</f>
        <v>11398059.77</v>
      </c>
      <c r="T110" s="390">
        <f>SUM(T105:T109)</f>
        <v>11398059.77</v>
      </c>
      <c r="U110" s="397">
        <f>SUM(U104:U109)</f>
        <v>7714971.554265636</v>
      </c>
      <c r="W110" s="398">
        <f>SUM(W104:W109)</f>
        <v>1</v>
      </c>
    </row>
    <row r="111" spans="1:23" ht="15.6" thickTop="1" x14ac:dyDescent="0.25">
      <c r="A111" s="388"/>
      <c r="B111" s="383">
        <v>498564.62</v>
      </c>
      <c r="C111" s="407" t="s">
        <v>496</v>
      </c>
      <c r="D111" s="358"/>
      <c r="F111" s="358"/>
      <c r="O111" s="383"/>
      <c r="P111" s="383"/>
      <c r="T111" s="383"/>
    </row>
    <row r="112" spans="1:23" x14ac:dyDescent="0.25">
      <c r="A112" s="388"/>
      <c r="B112" s="383"/>
      <c r="C112" s="407"/>
      <c r="N112" s="383">
        <f>+N102-N110</f>
        <v>0</v>
      </c>
      <c r="O112" s="383"/>
      <c r="P112" s="383"/>
      <c r="R112" s="383">
        <f>+R110-R102</f>
        <v>0</v>
      </c>
      <c r="T112" s="383">
        <f>+T110-T102</f>
        <v>0</v>
      </c>
    </row>
    <row r="113" spans="2:18" x14ac:dyDescent="0.25">
      <c r="B113" s="383">
        <f>351.13+0.1</f>
        <v>351.23</v>
      </c>
      <c r="C113" s="407" t="s">
        <v>498</v>
      </c>
    </row>
    <row r="114" spans="2:18" x14ac:dyDescent="0.25">
      <c r="B114" s="383"/>
      <c r="C114" s="407"/>
      <c r="I114" s="382"/>
      <c r="J114" s="382"/>
      <c r="K114" s="382"/>
      <c r="L114" s="382"/>
      <c r="M114" s="382"/>
      <c r="N114" s="403"/>
      <c r="P114" s="382"/>
      <c r="Q114" s="382"/>
      <c r="R114" s="402"/>
    </row>
    <row r="115" spans="2:18" x14ac:dyDescent="0.25">
      <c r="B115" s="405">
        <f>SUM(B105:B113)</f>
        <v>11379052.110000001</v>
      </c>
      <c r="C115" s="407"/>
      <c r="I115" s="383"/>
      <c r="J115" s="383"/>
      <c r="K115" s="383"/>
      <c r="L115" s="383"/>
      <c r="M115" s="383"/>
      <c r="P115" s="383"/>
      <c r="Q115" s="383"/>
    </row>
    <row r="116" spans="2:18" x14ac:dyDescent="0.25">
      <c r="B116" s="383"/>
      <c r="C116" s="407"/>
      <c r="N116" s="358"/>
      <c r="O116" s="383"/>
    </row>
    <row r="117" spans="2:18" x14ac:dyDescent="0.25">
      <c r="B117" s="383">
        <f>+H105</f>
        <v>16562.22</v>
      </c>
      <c r="C117" s="408" t="s">
        <v>493</v>
      </c>
      <c r="N117" s="358"/>
      <c r="R117" s="358"/>
    </row>
    <row r="118" spans="2:18" x14ac:dyDescent="0.25">
      <c r="B118" s="383">
        <f t="shared" ref="B118:B120" si="12">+H106</f>
        <v>-1879.62</v>
      </c>
      <c r="C118" s="408" t="s">
        <v>494</v>
      </c>
      <c r="N118" s="358"/>
    </row>
    <row r="119" spans="2:18" x14ac:dyDescent="0.25">
      <c r="B119" s="383">
        <f t="shared" si="12"/>
        <v>-2343.66</v>
      </c>
      <c r="C119" s="408" t="s">
        <v>494</v>
      </c>
      <c r="N119" s="403"/>
    </row>
    <row r="120" spans="2:18" x14ac:dyDescent="0.25">
      <c r="B120" s="383">
        <f t="shared" si="12"/>
        <v>-24693.759999999998</v>
      </c>
      <c r="C120" s="408" t="s">
        <v>494</v>
      </c>
      <c r="R120" s="358"/>
    </row>
    <row r="121" spans="2:18" x14ac:dyDescent="0.25">
      <c r="B121" s="383"/>
      <c r="C121" s="407"/>
    </row>
    <row r="122" spans="2:18" x14ac:dyDescent="0.25">
      <c r="B122" s="383">
        <f>+M102</f>
        <v>31362.48</v>
      </c>
      <c r="C122" s="407" t="s">
        <v>492</v>
      </c>
    </row>
    <row r="123" spans="2:18" x14ac:dyDescent="0.25">
      <c r="B123" s="383"/>
      <c r="C123" s="408"/>
      <c r="E123" s="358"/>
    </row>
    <row r="124" spans="2:18" x14ac:dyDescent="0.25">
      <c r="B124" s="405">
        <f>SUM(B115:B122)</f>
        <v>11398059.770000003</v>
      </c>
      <c r="C124" s="408"/>
      <c r="D124" s="360">
        <f>SUM(B107:B113)+SUM(B118:B122)</f>
        <v>33652.909999999873</v>
      </c>
      <c r="E124" s="360" t="s">
        <v>499</v>
      </c>
    </row>
    <row r="125" spans="2:18" x14ac:dyDescent="0.25">
      <c r="B125" s="383">
        <f>+'labor adj'!E30</f>
        <v>11398059.649999999</v>
      </c>
    </row>
    <row r="126" spans="2:18" x14ac:dyDescent="0.25">
      <c r="B126" s="383">
        <f>+B124-B125</f>
        <v>0.12000000476837158</v>
      </c>
    </row>
    <row r="127" spans="2:18" x14ac:dyDescent="0.25">
      <c r="B127" s="383"/>
    </row>
  </sheetData>
  <phoneticPr fontId="0" type="noConversion"/>
  <hyperlinks>
    <hyperlink ref="F14" r:id="rId1" display="=@ROUND(D11/$D$15,20)"/>
    <hyperlink ref="F15" r:id="rId2" display="=@ROUND(D11/$D$15,20)"/>
  </hyperlinks>
  <pageMargins left="0.75" right="0.75" top="0.31" bottom="0.27" header="0.5" footer="0.21"/>
  <pageSetup scale="45" fitToHeight="0" orientation="landscape" horizontalDpi="4294967295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21"/>
  <sheetViews>
    <sheetView workbookViewId="0">
      <pane ySplit="9" topLeftCell="A10" activePane="bottomLeft" state="frozen"/>
      <selection activeCell="F8" sqref="F8"/>
      <selection pane="bottomLeft" activeCell="A109" sqref="A109"/>
    </sheetView>
  </sheetViews>
  <sheetFormatPr defaultColWidth="18.109375" defaultRowHeight="13.2" x14ac:dyDescent="0.25"/>
  <cols>
    <col min="1" max="1" width="9.109375" style="32" customWidth="1"/>
    <col min="2" max="2" width="21.109375" style="32" bestFit="1" customWidth="1"/>
    <col min="3" max="3" width="18.33203125" style="74" bestFit="1" customWidth="1"/>
    <col min="4" max="4" width="18.44140625" style="41" hidden="1" customWidth="1"/>
    <col min="5" max="5" width="18.88671875" style="74" bestFit="1" customWidth="1"/>
    <col min="6" max="6" width="15.5546875" style="74" bestFit="1" customWidth="1"/>
    <col min="7" max="16384" width="18.109375" style="32"/>
  </cols>
  <sheetData>
    <row r="1" spans="1:6" ht="15" x14ac:dyDescent="0.25">
      <c r="A1" s="356" t="s">
        <v>81</v>
      </c>
      <c r="B1" s="356"/>
      <c r="C1" s="470"/>
      <c r="D1" s="357"/>
      <c r="E1" s="470"/>
      <c r="F1" s="470"/>
    </row>
    <row r="2" spans="1:6" ht="15" x14ac:dyDescent="0.25">
      <c r="A2" s="356" t="s">
        <v>510</v>
      </c>
      <c r="B2" s="356"/>
      <c r="C2" s="470"/>
      <c r="D2" s="357"/>
      <c r="E2" s="470"/>
      <c r="F2" s="470"/>
    </row>
    <row r="3" spans="1:6" ht="15" x14ac:dyDescent="0.25">
      <c r="A3" s="356" t="s">
        <v>187</v>
      </c>
      <c r="B3" s="356"/>
      <c r="C3" s="470"/>
      <c r="D3" s="357"/>
      <c r="E3" s="470"/>
      <c r="F3" s="470"/>
    </row>
    <row r="4" spans="1:6" s="47" customFormat="1" ht="15" x14ac:dyDescent="0.25">
      <c r="A4" s="356" t="s">
        <v>280</v>
      </c>
      <c r="B4" s="356"/>
      <c r="C4" s="470"/>
      <c r="D4" s="357"/>
      <c r="E4" s="470"/>
      <c r="F4" s="470"/>
    </row>
    <row r="5" spans="1:6" s="47" customFormat="1" ht="15" x14ac:dyDescent="0.25">
      <c r="A5" s="356"/>
      <c r="B5" s="356"/>
      <c r="C5" s="470"/>
      <c r="D5" s="357"/>
      <c r="E5" s="418"/>
      <c r="F5" s="470"/>
    </row>
    <row r="6" spans="1:6" ht="15" x14ac:dyDescent="0.25">
      <c r="A6" s="358"/>
      <c r="B6" s="382" t="s">
        <v>10</v>
      </c>
      <c r="C6" s="471" t="s">
        <v>11</v>
      </c>
      <c r="D6" s="402"/>
      <c r="E6" s="472" t="s">
        <v>12</v>
      </c>
      <c r="F6" s="418"/>
    </row>
    <row r="7" spans="1:6" ht="15.6" x14ac:dyDescent="0.3">
      <c r="A7" s="358"/>
      <c r="B7" s="358"/>
      <c r="C7" s="473" t="s">
        <v>85</v>
      </c>
      <c r="D7" s="364"/>
      <c r="E7" s="473" t="s">
        <v>264</v>
      </c>
      <c r="F7" s="418"/>
    </row>
    <row r="8" spans="1:6" s="39" customFormat="1" ht="15.6" x14ac:dyDescent="0.3">
      <c r="A8" s="474"/>
      <c r="B8" s="370"/>
      <c r="C8" s="473" t="s">
        <v>91</v>
      </c>
      <c r="D8" s="364"/>
      <c r="E8" s="473" t="s">
        <v>142</v>
      </c>
      <c r="F8" s="370"/>
    </row>
    <row r="9" spans="1:6" s="29" customFormat="1" ht="16.2" thickBot="1" x14ac:dyDescent="0.35">
      <c r="A9" s="375" t="s">
        <v>186</v>
      </c>
      <c r="B9" s="375" t="s">
        <v>184</v>
      </c>
      <c r="C9" s="475" t="s">
        <v>95</v>
      </c>
      <c r="D9" s="476"/>
      <c r="E9" s="475" t="s">
        <v>95</v>
      </c>
      <c r="F9" s="368"/>
    </row>
    <row r="10" spans="1:6" ht="15" x14ac:dyDescent="0.25">
      <c r="A10" s="382">
        <v>1</v>
      </c>
      <c r="B10" s="382">
        <f>+'labor by acct detail'!A8</f>
        <v>107100</v>
      </c>
      <c r="C10" s="418">
        <f>+'labor by acct detail'!R8</f>
        <v>152671.66427184161</v>
      </c>
      <c r="D10" s="477">
        <f>+C10/$C$102</f>
        <v>1.3394530942334375E-2</v>
      </c>
      <c r="E10" s="418">
        <f>ROUND(+'labor adj'!$K$36*D10,0)</f>
        <v>2815</v>
      </c>
      <c r="F10" s="418"/>
    </row>
    <row r="11" spans="1:6" ht="15" x14ac:dyDescent="0.25">
      <c r="A11" s="382">
        <v>2</v>
      </c>
      <c r="B11" s="382">
        <f>+'labor by acct detail'!A9</f>
        <v>107200</v>
      </c>
      <c r="C11" s="418">
        <f>+'labor by acct detail'!R9</f>
        <v>3008573.9411130771</v>
      </c>
      <c r="D11" s="477">
        <f t="shared" ref="D11:D74" si="0">+C11/$C$102</f>
        <v>0.26395491880396393</v>
      </c>
      <c r="E11" s="418">
        <f>ROUND(+'labor adj'!$K$36*D11,0)-4</f>
        <v>55460</v>
      </c>
      <c r="F11" s="418"/>
    </row>
    <row r="12" spans="1:6" ht="15" hidden="1" x14ac:dyDescent="0.25">
      <c r="A12" s="382"/>
      <c r="B12" s="382">
        <f>+'labor by acct detail'!A10</f>
        <v>107210</v>
      </c>
      <c r="C12" s="418">
        <f>+'labor by acct detail'!R10</f>
        <v>0</v>
      </c>
      <c r="D12" s="477">
        <f t="shared" si="0"/>
        <v>0</v>
      </c>
      <c r="E12" s="418">
        <f>ROUND(+'labor adj'!$K$36*D12,0)</f>
        <v>0</v>
      </c>
      <c r="F12" s="418"/>
    </row>
    <row r="13" spans="1:6" ht="15" hidden="1" x14ac:dyDescent="0.25">
      <c r="A13" s="382">
        <v>3</v>
      </c>
      <c r="B13" s="382">
        <f>+'labor by acct detail'!A11</f>
        <v>107215</v>
      </c>
      <c r="C13" s="418">
        <f>+'labor by acct detail'!R11</f>
        <v>0</v>
      </c>
      <c r="D13" s="477">
        <f t="shared" si="0"/>
        <v>0</v>
      </c>
      <c r="E13" s="418">
        <f>ROUND(+'labor adj'!$K$36*D13,0)</f>
        <v>0</v>
      </c>
      <c r="F13" s="418"/>
    </row>
    <row r="14" spans="1:6" ht="15" x14ac:dyDescent="0.25">
      <c r="A14" s="382">
        <v>3</v>
      </c>
      <c r="B14" s="382">
        <f>+'labor by acct detail'!A12</f>
        <v>107218</v>
      </c>
      <c r="C14" s="418">
        <f>+'labor by acct detail'!R12</f>
        <v>527.78</v>
      </c>
      <c r="D14" s="477">
        <f t="shared" si="0"/>
        <v>4.6304372029100183E-5</v>
      </c>
      <c r="E14" s="418">
        <f>ROUND(+'labor adj'!$K$36*D14,0)</f>
        <v>10</v>
      </c>
      <c r="F14" s="418"/>
    </row>
    <row r="15" spans="1:6" ht="15" hidden="1" x14ac:dyDescent="0.25">
      <c r="A15" s="382"/>
      <c r="B15" s="382">
        <f>+'labor by acct detail'!A13</f>
        <v>107230</v>
      </c>
      <c r="C15" s="418">
        <f>+'labor by acct detail'!R13</f>
        <v>0</v>
      </c>
      <c r="D15" s="477">
        <f t="shared" si="0"/>
        <v>0</v>
      </c>
      <c r="E15" s="418">
        <f>ROUND(+'labor adj'!$K$36*D15,0)</f>
        <v>0</v>
      </c>
      <c r="F15" s="418"/>
    </row>
    <row r="16" spans="1:6" ht="15" hidden="1" x14ac:dyDescent="0.25">
      <c r="A16" s="382">
        <v>4</v>
      </c>
      <c r="B16" s="382">
        <f>+'labor by acct detail'!A14</f>
        <v>107235</v>
      </c>
      <c r="C16" s="418">
        <f>+'labor by acct detail'!R14</f>
        <v>0</v>
      </c>
      <c r="D16" s="477">
        <f t="shared" si="0"/>
        <v>0</v>
      </c>
      <c r="E16" s="418">
        <f>ROUND(+'labor adj'!$K$36*D16,0)</f>
        <v>0</v>
      </c>
      <c r="F16" s="418"/>
    </row>
    <row r="17" spans="1:6" ht="15" hidden="1" x14ac:dyDescent="0.25">
      <c r="A17" s="382"/>
      <c r="B17" s="382">
        <f>+'labor by acct detail'!A15</f>
        <v>107240</v>
      </c>
      <c r="C17" s="418">
        <f>+'labor by acct detail'!R15</f>
        <v>0</v>
      </c>
      <c r="D17" s="477">
        <f t="shared" si="0"/>
        <v>0</v>
      </c>
      <c r="E17" s="418">
        <f>ROUND(+'labor adj'!$K$36*D17,0)</f>
        <v>0</v>
      </c>
      <c r="F17" s="418"/>
    </row>
    <row r="18" spans="1:6" ht="15" hidden="1" x14ac:dyDescent="0.25">
      <c r="A18" s="382">
        <v>5</v>
      </c>
      <c r="B18" s="382">
        <f>+'labor by acct detail'!A16</f>
        <v>107245</v>
      </c>
      <c r="C18" s="418">
        <f>+'labor by acct detail'!R16</f>
        <v>0</v>
      </c>
      <c r="D18" s="477">
        <f t="shared" si="0"/>
        <v>0</v>
      </c>
      <c r="E18" s="418">
        <f>ROUND(+'labor adj'!$K$36*D18,0)</f>
        <v>0</v>
      </c>
      <c r="F18" s="418"/>
    </row>
    <row r="19" spans="1:6" ht="15" x14ac:dyDescent="0.25">
      <c r="A19" s="382">
        <v>4</v>
      </c>
      <c r="B19" s="382">
        <f>+'labor by acct detail'!A17</f>
        <v>107250</v>
      </c>
      <c r="C19" s="418">
        <f>+'labor by acct detail'!R17</f>
        <v>143.43</v>
      </c>
      <c r="D19" s="477">
        <f t="shared" si="0"/>
        <v>1.2583720641429839E-5</v>
      </c>
      <c r="E19" s="418">
        <f>ROUND(+'labor adj'!$K$36*D19,0)</f>
        <v>3</v>
      </c>
      <c r="F19" s="418"/>
    </row>
    <row r="20" spans="1:6" ht="15" x14ac:dyDescent="0.25">
      <c r="A20" s="382">
        <v>5</v>
      </c>
      <c r="B20" s="382">
        <f>+'labor by acct detail'!A18</f>
        <v>107255</v>
      </c>
      <c r="C20" s="418">
        <f>+'labor by acct detail'!R18</f>
        <v>41435.437461332345</v>
      </c>
      <c r="D20" s="477">
        <f t="shared" si="0"/>
        <v>3.6353062097806803E-3</v>
      </c>
      <c r="E20" s="418">
        <f>ROUND(+'labor adj'!$K$36*D20,0)</f>
        <v>764</v>
      </c>
      <c r="F20" s="418"/>
    </row>
    <row r="21" spans="1:6" ht="15" x14ac:dyDescent="0.25">
      <c r="A21" s="382">
        <v>6</v>
      </c>
      <c r="B21" s="382">
        <f>+'labor by acct detail'!A19</f>
        <v>107260</v>
      </c>
      <c r="C21" s="418">
        <f>+'labor by acct detail'!R19</f>
        <v>32.853991678447784</v>
      </c>
      <c r="D21" s="477">
        <f t="shared" si="0"/>
        <v>2.8824196697862895E-6</v>
      </c>
      <c r="E21" s="418">
        <f>ROUND(+'labor adj'!$K$36*D21,0)</f>
        <v>1</v>
      </c>
      <c r="F21" s="418"/>
    </row>
    <row r="22" spans="1:6" ht="15" x14ac:dyDescent="0.25">
      <c r="A22" s="382">
        <v>7</v>
      </c>
      <c r="B22" s="382">
        <f>+'labor by acct detail'!A20</f>
        <v>107265</v>
      </c>
      <c r="C22" s="418">
        <f>+'labor by acct detail'!R20</f>
        <v>344.05</v>
      </c>
      <c r="D22" s="477">
        <f t="shared" si="0"/>
        <v>3.0184961909530335E-5</v>
      </c>
      <c r="E22" s="418">
        <f>ROUND(+'labor adj'!$K$36*D22,0)</f>
        <v>6</v>
      </c>
      <c r="F22" s="418"/>
    </row>
    <row r="23" spans="1:6" ht="15" hidden="1" x14ac:dyDescent="0.25">
      <c r="A23" s="382">
        <v>7</v>
      </c>
      <c r="B23" s="382">
        <f>+'labor by acct detail'!A21</f>
        <v>107270</v>
      </c>
      <c r="C23" s="418">
        <f>+'labor by acct detail'!R21</f>
        <v>0</v>
      </c>
      <c r="D23" s="477">
        <f t="shared" si="0"/>
        <v>0</v>
      </c>
      <c r="E23" s="418">
        <f>ROUND(+'labor adj'!$K$36*D23,0)</f>
        <v>0</v>
      </c>
      <c r="F23" s="418"/>
    </row>
    <row r="24" spans="1:6" ht="15" hidden="1" x14ac:dyDescent="0.25">
      <c r="A24" s="382">
        <v>8</v>
      </c>
      <c r="B24" s="382">
        <f>+'labor by acct detail'!A22</f>
        <v>107275</v>
      </c>
      <c r="C24" s="418">
        <f>+'labor by acct detail'!R22</f>
        <v>0</v>
      </c>
      <c r="D24" s="477">
        <f t="shared" si="0"/>
        <v>0</v>
      </c>
      <c r="E24" s="418">
        <f>ROUND(+'labor adj'!$K$36*D24,0)</f>
        <v>0</v>
      </c>
      <c r="F24" s="418"/>
    </row>
    <row r="25" spans="1:6" ht="15" hidden="1" x14ac:dyDescent="0.25">
      <c r="A25" s="382">
        <v>9</v>
      </c>
      <c r="B25" s="382">
        <f>+'labor by acct detail'!A23</f>
        <v>107280</v>
      </c>
      <c r="C25" s="418">
        <f>+'labor by acct detail'!R23</f>
        <v>0</v>
      </c>
      <c r="D25" s="477">
        <f t="shared" si="0"/>
        <v>0</v>
      </c>
      <c r="E25" s="418">
        <f>ROUND(+'labor adj'!$K$36*D25,0)</f>
        <v>0</v>
      </c>
      <c r="F25" s="418"/>
    </row>
    <row r="26" spans="1:6" ht="15" x14ac:dyDescent="0.25">
      <c r="A26" s="382">
        <v>8</v>
      </c>
      <c r="B26" s="382">
        <f>+'labor by acct detail'!A24</f>
        <v>107285</v>
      </c>
      <c r="C26" s="418">
        <f>+'labor by acct detail'!R24</f>
        <v>5624.1940229942084</v>
      </c>
      <c r="D26" s="477">
        <f t="shared" si="0"/>
        <v>4.9343433325356293E-4</v>
      </c>
      <c r="E26" s="418">
        <f>ROUND(+'labor adj'!$K$36*D26,0)</f>
        <v>104</v>
      </c>
      <c r="F26" s="418"/>
    </row>
    <row r="27" spans="1:6" ht="15" x14ac:dyDescent="0.25">
      <c r="A27" s="382">
        <v>9</v>
      </c>
      <c r="B27" s="382">
        <f>+'labor by acct detail'!A25</f>
        <v>107295</v>
      </c>
      <c r="C27" s="418">
        <f>+'labor by acct detail'!R25</f>
        <v>29076.214238166387</v>
      </c>
      <c r="D27" s="477">
        <f t="shared" si="0"/>
        <v>2.5509792740950324E-3</v>
      </c>
      <c r="E27" s="418">
        <f>ROUND(+'labor adj'!$K$36*D27,0)</f>
        <v>536</v>
      </c>
      <c r="F27" s="418"/>
    </row>
    <row r="28" spans="1:6" ht="15" hidden="1" x14ac:dyDescent="0.25">
      <c r="A28" s="382">
        <v>9.6902654867256608</v>
      </c>
      <c r="B28" s="382">
        <f>+'labor by acct detail'!A26</f>
        <v>107400</v>
      </c>
      <c r="C28" s="418">
        <f>+'labor by acct detail'!R26</f>
        <v>0</v>
      </c>
      <c r="D28" s="477">
        <f t="shared" si="0"/>
        <v>0</v>
      </c>
      <c r="E28" s="418">
        <f>ROUND(+'labor adj'!$K$36*D28,0)</f>
        <v>0</v>
      </c>
      <c r="F28" s="418"/>
    </row>
    <row r="29" spans="1:6" ht="15" x14ac:dyDescent="0.25">
      <c r="A29" s="382">
        <v>10</v>
      </c>
      <c r="B29" s="382">
        <f>+'labor by acct detail'!A27</f>
        <v>107500</v>
      </c>
      <c r="C29" s="418">
        <f>+'labor by acct detail'!R27</f>
        <v>123564.02721149974</v>
      </c>
      <c r="D29" s="477">
        <f t="shared" si="0"/>
        <v>1.0840794811124224E-2</v>
      </c>
      <c r="E29" s="418">
        <f>ROUND(+'labor adj'!$K$36*D29,0)</f>
        <v>2278</v>
      </c>
      <c r="F29" s="418"/>
    </row>
    <row r="30" spans="1:6" ht="15" x14ac:dyDescent="0.25">
      <c r="A30" s="382">
        <v>11</v>
      </c>
      <c r="B30" s="382">
        <f>+'labor by acct detail'!A28</f>
        <v>108800</v>
      </c>
      <c r="C30" s="418">
        <f>+'labor by acct detail'!R28</f>
        <v>310036.25753694726</v>
      </c>
      <c r="D30" s="477">
        <f t="shared" si="0"/>
        <v>2.72007923974018E-2</v>
      </c>
      <c r="E30" s="418">
        <f>ROUND(+'labor adj'!$K$36*D30,0)</f>
        <v>5716</v>
      </c>
      <c r="F30" s="418"/>
    </row>
    <row r="31" spans="1:6" ht="15" x14ac:dyDescent="0.25">
      <c r="A31" s="382">
        <v>12</v>
      </c>
      <c r="B31" s="382">
        <f>+'labor by acct detail'!A29</f>
        <v>108810</v>
      </c>
      <c r="C31" s="418">
        <f>+'labor by acct detail'!R29</f>
        <v>220.64</v>
      </c>
      <c r="D31" s="477">
        <f t="shared" si="0"/>
        <v>1.9357680557241019E-5</v>
      </c>
      <c r="E31" s="418">
        <f>ROUND(+'labor adj'!$K$36*D31,0)</f>
        <v>4</v>
      </c>
      <c r="F31" s="418"/>
    </row>
    <row r="32" spans="1:6" ht="15" x14ac:dyDescent="0.25">
      <c r="A32" s="382">
        <v>13</v>
      </c>
      <c r="B32" s="382">
        <f>+'labor by acct detail'!A30</f>
        <v>142200</v>
      </c>
      <c r="C32" s="418">
        <f>+'labor by acct detail'!R30</f>
        <v>4902.37</v>
      </c>
      <c r="D32" s="477">
        <f t="shared" si="0"/>
        <v>4.3010565823695454E-4</v>
      </c>
      <c r="E32" s="418">
        <f>ROUND(+'labor adj'!$K$36*D32,0)</f>
        <v>90</v>
      </c>
      <c r="F32" s="418"/>
    </row>
    <row r="33" spans="1:6" ht="15" x14ac:dyDescent="0.25">
      <c r="A33" s="382">
        <v>14</v>
      </c>
      <c r="B33" s="382">
        <f>+'labor by acct detail'!A31</f>
        <v>143100</v>
      </c>
      <c r="C33" s="418">
        <f>+'labor by acct detail'!R31</f>
        <v>1695.85</v>
      </c>
      <c r="D33" s="477">
        <f t="shared" si="0"/>
        <v>1.4878409433011775E-4</v>
      </c>
      <c r="E33" s="418">
        <f>ROUND(+'labor adj'!$K$36*D33,0)</f>
        <v>31</v>
      </c>
      <c r="F33" s="418"/>
    </row>
    <row r="34" spans="1:6" ht="15" x14ac:dyDescent="0.25">
      <c r="A34" s="382">
        <v>15</v>
      </c>
      <c r="B34" s="382">
        <f>+'labor by acct detail'!A32</f>
        <v>143600</v>
      </c>
      <c r="C34" s="418">
        <f>+'labor by acct detail'!R32</f>
        <v>-1612.2</v>
      </c>
      <c r="D34" s="477">
        <f t="shared" si="0"/>
        <v>-1.4144512597164598E-4</v>
      </c>
      <c r="E34" s="418">
        <f>ROUND(+'labor adj'!$K$36*D34,0)</f>
        <v>-30</v>
      </c>
      <c r="F34" s="418"/>
    </row>
    <row r="35" spans="1:6" ht="15" hidden="1" x14ac:dyDescent="0.25">
      <c r="A35" s="382">
        <v>15</v>
      </c>
      <c r="B35" s="382">
        <f>+'labor by acct detail'!A33</f>
        <v>146000</v>
      </c>
      <c r="C35" s="418">
        <f>+'labor by acct detail'!R33</f>
        <v>0</v>
      </c>
      <c r="D35" s="477">
        <f t="shared" si="0"/>
        <v>0</v>
      </c>
      <c r="E35" s="418">
        <f>ROUND(+'labor adj'!$K$36*D35,0)</f>
        <v>0</v>
      </c>
      <c r="F35" s="418"/>
    </row>
    <row r="36" spans="1:6" ht="15" hidden="1" x14ac:dyDescent="0.25">
      <c r="A36" s="382"/>
      <c r="B36" s="382">
        <f>+'labor by acct detail'!A34</f>
        <v>163000</v>
      </c>
      <c r="C36" s="418">
        <f>+'labor by acct detail'!R34</f>
        <v>-2.1742607714259066E-11</v>
      </c>
      <c r="D36" s="477">
        <f t="shared" si="0"/>
        <v>-1.9075709509337897E-18</v>
      </c>
      <c r="E36" s="418">
        <f>ROUND(+'labor adj'!$K$36*D36,0)</f>
        <v>0</v>
      </c>
      <c r="F36" s="418"/>
    </row>
    <row r="37" spans="1:6" ht="15" hidden="1" x14ac:dyDescent="0.25">
      <c r="A37" s="382">
        <v>16</v>
      </c>
      <c r="B37" s="382">
        <f>+'labor by acct detail'!A35</f>
        <v>163200</v>
      </c>
      <c r="C37" s="418">
        <f>+'labor by acct detail'!R35</f>
        <v>0</v>
      </c>
      <c r="D37" s="477">
        <f t="shared" si="0"/>
        <v>0</v>
      </c>
      <c r="E37" s="418">
        <f>ROUND(+'labor adj'!$K$36*D37,0)</f>
        <v>0</v>
      </c>
      <c r="F37" s="418"/>
    </row>
    <row r="38" spans="1:6" ht="15" x14ac:dyDescent="0.25">
      <c r="A38" s="382">
        <v>16</v>
      </c>
      <c r="B38" s="382">
        <f>+'labor by acct detail'!A36</f>
        <v>183200</v>
      </c>
      <c r="C38" s="418">
        <f>+'labor by acct detail'!R36</f>
        <v>4939.6158868264383</v>
      </c>
      <c r="D38" s="477">
        <f t="shared" si="0"/>
        <v>4.3337339744678661E-4</v>
      </c>
      <c r="E38" s="418">
        <f>ROUND(+'labor adj'!$K$36*D38,0)</f>
        <v>91</v>
      </c>
      <c r="F38" s="418"/>
    </row>
    <row r="39" spans="1:6" ht="15" hidden="1" x14ac:dyDescent="0.25">
      <c r="A39" s="382">
        <v>17</v>
      </c>
      <c r="B39" s="382">
        <f>+'labor by acct detail'!A37</f>
        <v>184100</v>
      </c>
      <c r="C39" s="418">
        <f>+'labor by acct detail'!R37</f>
        <v>0</v>
      </c>
      <c r="D39" s="477">
        <f t="shared" si="0"/>
        <v>0</v>
      </c>
      <c r="E39" s="418">
        <f>ROUND(+'labor adj'!$K$36*D39,0)</f>
        <v>0</v>
      </c>
      <c r="F39" s="418"/>
    </row>
    <row r="40" spans="1:6" ht="15" x14ac:dyDescent="0.25">
      <c r="A40" s="382">
        <v>17</v>
      </c>
      <c r="B40" s="382">
        <f>+'labor by acct detail'!A38</f>
        <v>416000</v>
      </c>
      <c r="C40" s="418">
        <f>+'labor by acct detail'!R38</f>
        <v>743.95</v>
      </c>
      <c r="D40" s="477">
        <f t="shared" si="0"/>
        <v>6.5269880577227416E-5</v>
      </c>
      <c r="E40" s="418">
        <f>ROUND(+'labor adj'!$K$36*D40,0)</f>
        <v>14</v>
      </c>
      <c r="F40" s="418"/>
    </row>
    <row r="41" spans="1:6" ht="15" hidden="1" x14ac:dyDescent="0.25">
      <c r="A41" s="382">
        <v>19</v>
      </c>
      <c r="B41" s="382">
        <f>+'labor by acct detail'!A39</f>
        <v>416100</v>
      </c>
      <c r="C41" s="418">
        <f>+'labor by acct detail'!R39</f>
        <v>0</v>
      </c>
      <c r="D41" s="477">
        <f t="shared" si="0"/>
        <v>0</v>
      </c>
      <c r="E41" s="418">
        <f>ROUND(+'labor adj'!$K$36*D41,0)</f>
        <v>0</v>
      </c>
      <c r="F41" s="418"/>
    </row>
    <row r="42" spans="1:6" ht="15" hidden="1" x14ac:dyDescent="0.25">
      <c r="A42" s="382">
        <v>20</v>
      </c>
      <c r="B42" s="382">
        <f>+'labor by acct detail'!A40</f>
        <v>416600</v>
      </c>
      <c r="C42" s="418">
        <f>+'labor by acct detail'!R40</f>
        <v>0</v>
      </c>
      <c r="D42" s="477">
        <f t="shared" si="0"/>
        <v>0</v>
      </c>
      <c r="E42" s="418">
        <f>ROUND(+'labor adj'!$K$36*D42,0)</f>
        <v>0</v>
      </c>
      <c r="F42" s="418"/>
    </row>
    <row r="43" spans="1:6" ht="15" hidden="1" x14ac:dyDescent="0.25">
      <c r="A43" s="382">
        <v>21</v>
      </c>
      <c r="B43" s="382">
        <f>+'labor by acct detail'!A41</f>
        <v>416700</v>
      </c>
      <c r="C43" s="418">
        <f>+'labor by acct detail'!R41</f>
        <v>0</v>
      </c>
      <c r="D43" s="477">
        <f t="shared" si="0"/>
        <v>0</v>
      </c>
      <c r="E43" s="418">
        <f>ROUND(+'labor adj'!$K$36*D43,0)</f>
        <v>0</v>
      </c>
      <c r="F43" s="418"/>
    </row>
    <row r="44" spans="1:6" ht="15" x14ac:dyDescent="0.25">
      <c r="A44" s="382">
        <v>18</v>
      </c>
      <c r="B44" s="382">
        <f>+'labor by acct detail'!A42</f>
        <v>417102</v>
      </c>
      <c r="C44" s="418">
        <f>+'labor by acct detail'!R42</f>
        <v>28.38</v>
      </c>
      <c r="D44" s="477">
        <f t="shared" si="0"/>
        <v>2.4898974538365666E-6</v>
      </c>
      <c r="E44" s="418">
        <f>ROUND(+'labor adj'!$K$36*D44,0)</f>
        <v>1</v>
      </c>
      <c r="F44" s="418"/>
    </row>
    <row r="45" spans="1:6" ht="15" hidden="1" x14ac:dyDescent="0.25">
      <c r="A45" s="382"/>
      <c r="B45" s="382">
        <f>+'labor by acct detail'!A43</f>
        <v>417106</v>
      </c>
      <c r="C45" s="418">
        <f>+'labor by acct detail'!R43</f>
        <v>0</v>
      </c>
      <c r="D45" s="477">
        <f t="shared" si="0"/>
        <v>0</v>
      </c>
      <c r="E45" s="418">
        <f>ROUND(+'labor adj'!$K$36*D45,0)</f>
        <v>0</v>
      </c>
      <c r="F45" s="418"/>
    </row>
    <row r="46" spans="1:6" ht="15" x14ac:dyDescent="0.25">
      <c r="A46" s="382">
        <v>19</v>
      </c>
      <c r="B46" s="382">
        <f>+'labor by acct detail'!A44</f>
        <v>417107</v>
      </c>
      <c r="C46" s="418">
        <f>+'labor by acct detail'!R44</f>
        <v>139.76</v>
      </c>
      <c r="D46" s="477">
        <f t="shared" si="0"/>
        <v>1.2261736016497483E-5</v>
      </c>
      <c r="E46" s="418">
        <f>ROUND(+'labor adj'!$K$36*D46,0)</f>
        <v>3</v>
      </c>
      <c r="F46" s="418"/>
    </row>
    <row r="47" spans="1:6" ht="15" x14ac:dyDescent="0.25">
      <c r="A47" s="382">
        <v>20</v>
      </c>
      <c r="B47" s="382">
        <f>+'labor by acct detail'!A45</f>
        <v>582000</v>
      </c>
      <c r="C47" s="418">
        <f>+'labor by acct detail'!R45</f>
        <v>594.3438636791418</v>
      </c>
      <c r="D47" s="477">
        <f t="shared" si="0"/>
        <v>5.2144301369911307E-5</v>
      </c>
      <c r="E47" s="418">
        <f>ROUND(+'labor adj'!$K$36*D47,0)</f>
        <v>11</v>
      </c>
      <c r="F47" s="418"/>
    </row>
    <row r="48" spans="1:6" ht="15" x14ac:dyDescent="0.25">
      <c r="A48" s="382">
        <v>21</v>
      </c>
      <c r="B48" s="382">
        <f>+'labor by acct detail'!A46</f>
        <v>582200</v>
      </c>
      <c r="C48" s="418">
        <f>+'labor by acct detail'!R46</f>
        <v>5100.8398004444107</v>
      </c>
      <c r="D48" s="477">
        <f t="shared" si="0"/>
        <v>4.4751825340221143E-4</v>
      </c>
      <c r="E48" s="418">
        <f>ROUND(+'labor adj'!$K$36*D48,0)</f>
        <v>94</v>
      </c>
      <c r="F48" s="418"/>
    </row>
    <row r="49" spans="1:6" ht="15" x14ac:dyDescent="0.25">
      <c r="A49" s="382">
        <v>22</v>
      </c>
      <c r="B49" s="382">
        <f>+'labor by acct detail'!A47</f>
        <v>583000</v>
      </c>
      <c r="C49" s="418">
        <f>+'labor by acct detail'!R47</f>
        <v>172912.16226547986</v>
      </c>
      <c r="D49" s="477">
        <f t="shared" si="0"/>
        <v>1.5170315453213306E-2</v>
      </c>
      <c r="E49" s="418">
        <f>ROUND(+'labor adj'!$K$36*D49,0)</f>
        <v>3188</v>
      </c>
      <c r="F49" s="418"/>
    </row>
    <row r="50" spans="1:6" ht="15" x14ac:dyDescent="0.25">
      <c r="A50" s="382">
        <v>23</v>
      </c>
      <c r="B50" s="382">
        <f>+'labor by acct detail'!A48</f>
        <v>586000</v>
      </c>
      <c r="C50" s="418">
        <f>+'labor by acct detail'!R48</f>
        <v>100651.35755469176</v>
      </c>
      <c r="D50" s="477">
        <f t="shared" si="0"/>
        <v>8.8305693763432308E-3</v>
      </c>
      <c r="E50" s="418">
        <f>ROUND(+'labor adj'!$K$36*D50,0)</f>
        <v>1856</v>
      </c>
      <c r="F50" s="418"/>
    </row>
    <row r="51" spans="1:6" ht="15" x14ac:dyDescent="0.25">
      <c r="A51" s="382">
        <v>24</v>
      </c>
      <c r="B51" s="382">
        <f>+'labor by acct detail'!A49</f>
        <v>588000</v>
      </c>
      <c r="C51" s="418">
        <f>+'labor by acct detail'!R49</f>
        <v>1144825.7949675194</v>
      </c>
      <c r="D51" s="477">
        <f t="shared" si="0"/>
        <v>0.10044040986525898</v>
      </c>
      <c r="E51" s="418">
        <f>ROUND(+'labor adj'!$K$36*D51,0)</f>
        <v>21105</v>
      </c>
      <c r="F51" s="418"/>
    </row>
    <row r="52" spans="1:6" ht="15" hidden="1" x14ac:dyDescent="0.25">
      <c r="A52" s="382">
        <v>27</v>
      </c>
      <c r="B52" s="382">
        <f>+'labor by acct detail'!A50</f>
        <v>588200</v>
      </c>
      <c r="C52" s="418">
        <f>+'labor by acct detail'!R50</f>
        <v>0</v>
      </c>
      <c r="D52" s="477">
        <f t="shared" si="0"/>
        <v>0</v>
      </c>
      <c r="E52" s="418">
        <f>ROUND(+'labor adj'!$K$36*D52,0)</f>
        <v>0</v>
      </c>
      <c r="F52" s="418"/>
    </row>
    <row r="53" spans="1:6" ht="15" x14ac:dyDescent="0.25">
      <c r="A53" s="382">
        <v>25</v>
      </c>
      <c r="B53" s="382">
        <f>+'labor by acct detail'!A51</f>
        <v>588210</v>
      </c>
      <c r="C53" s="418">
        <f>+'labor by acct detail'!R51</f>
        <v>374.07344344189153</v>
      </c>
      <c r="D53" s="477">
        <f t="shared" si="0"/>
        <v>3.2819045608662536E-5</v>
      </c>
      <c r="E53" s="418">
        <f>ROUND(+'labor adj'!$K$36*D53,0)</f>
        <v>7</v>
      </c>
      <c r="F53" s="418"/>
    </row>
    <row r="54" spans="1:6" ht="15" x14ac:dyDescent="0.25">
      <c r="A54" s="382">
        <v>26</v>
      </c>
      <c r="B54" s="382">
        <f>+'labor by acct detail'!A52</f>
        <v>592000</v>
      </c>
      <c r="C54" s="418">
        <f>+'labor by acct detail'!R52</f>
        <v>320944.5075762432</v>
      </c>
      <c r="D54" s="477">
        <f t="shared" si="0"/>
        <v>2.8157819317720885E-2</v>
      </c>
      <c r="E54" s="418">
        <f>ROUND(+'labor adj'!$K$36*D54,0)</f>
        <v>5917</v>
      </c>
      <c r="F54" s="418"/>
    </row>
    <row r="55" spans="1:6" ht="15" x14ac:dyDescent="0.25">
      <c r="A55" s="382">
        <v>27</v>
      </c>
      <c r="B55" s="382">
        <f>+'labor by acct detail'!A53</f>
        <v>592100</v>
      </c>
      <c r="C55" s="418">
        <f>+'labor by acct detail'!R53</f>
        <v>47633.160582229684</v>
      </c>
      <c r="D55" s="477">
        <f t="shared" si="0"/>
        <v>4.1790586769514448E-3</v>
      </c>
      <c r="E55" s="418">
        <f>ROUND(+'labor adj'!$K$36*D55,0)</f>
        <v>878</v>
      </c>
      <c r="F55" s="418"/>
    </row>
    <row r="56" spans="1:6" ht="15" x14ac:dyDescent="0.25">
      <c r="A56" s="382">
        <v>28</v>
      </c>
      <c r="B56" s="382">
        <f>+'labor by acct detail'!A54</f>
        <v>592200</v>
      </c>
      <c r="C56" s="418">
        <f>+'labor by acct detail'!R54</f>
        <v>16104.971127358873</v>
      </c>
      <c r="D56" s="477">
        <f t="shared" si="0"/>
        <v>1.4129572446836603E-3</v>
      </c>
      <c r="E56" s="418">
        <f>ROUND(+'labor adj'!$K$36*D56,0)</f>
        <v>297</v>
      </c>
      <c r="F56" s="418"/>
    </row>
    <row r="57" spans="1:6" ht="15" x14ac:dyDescent="0.25">
      <c r="A57" s="382">
        <v>29</v>
      </c>
      <c r="B57" s="382">
        <f>+'labor by acct detail'!A55</f>
        <v>593000</v>
      </c>
      <c r="C57" s="418">
        <f>+'labor by acct detail'!R55</f>
        <v>1460360.1438897075</v>
      </c>
      <c r="D57" s="477">
        <f t="shared" si="0"/>
        <v>0.12812357307806149</v>
      </c>
      <c r="E57" s="418">
        <f>ROUND(+'labor adj'!$K$36*D57,0)</f>
        <v>26922</v>
      </c>
      <c r="F57" s="418"/>
    </row>
    <row r="58" spans="1:6" ht="15" hidden="1" x14ac:dyDescent="0.25">
      <c r="A58" s="382">
        <v>33</v>
      </c>
      <c r="B58" s="382">
        <f>+'labor by acct detail'!A56</f>
        <v>593200</v>
      </c>
      <c r="C58" s="418">
        <f>+'labor by acct detail'!R56</f>
        <v>0</v>
      </c>
      <c r="D58" s="477">
        <f t="shared" si="0"/>
        <v>0</v>
      </c>
      <c r="E58" s="418">
        <f>ROUND(+'labor adj'!$K$36*D58,0)</f>
        <v>0</v>
      </c>
      <c r="F58" s="418"/>
    </row>
    <row r="59" spans="1:6" ht="15" x14ac:dyDescent="0.25">
      <c r="A59" s="382">
        <v>30</v>
      </c>
      <c r="B59" s="382">
        <f>+'labor by acct detail'!A57</f>
        <v>593300</v>
      </c>
      <c r="C59" s="418">
        <f>+'labor by acct detail'!R57</f>
        <v>188334.7928781175</v>
      </c>
      <c r="D59" s="477">
        <f t="shared" si="0"/>
        <v>1.652340807808534E-2</v>
      </c>
      <c r="E59" s="418">
        <f>ROUND(+'labor adj'!$K$36*D59,0)</f>
        <v>3472</v>
      </c>
      <c r="F59" s="418"/>
    </row>
    <row r="60" spans="1:6" ht="15" x14ac:dyDescent="0.25">
      <c r="A60" s="382">
        <v>31</v>
      </c>
      <c r="B60" s="382">
        <f>+'labor by acct detail'!A58</f>
        <v>594000</v>
      </c>
      <c r="C60" s="418">
        <f>+'labor by acct detail'!R58</f>
        <v>74800.957417242273</v>
      </c>
      <c r="D60" s="477">
        <f t="shared" si="0"/>
        <v>6.5626044192293514E-3</v>
      </c>
      <c r="E60" s="418">
        <f>ROUND(+'labor adj'!$K$36*D60,0)</f>
        <v>1379</v>
      </c>
      <c r="F60" s="418"/>
    </row>
    <row r="61" spans="1:6" ht="15" x14ac:dyDescent="0.25">
      <c r="A61" s="382">
        <v>32</v>
      </c>
      <c r="B61" s="382">
        <f>+'labor by acct detail'!A59</f>
        <v>595000</v>
      </c>
      <c r="C61" s="418">
        <f>+'labor by acct detail'!R59</f>
        <v>29549.181781580115</v>
      </c>
      <c r="D61" s="477">
        <f t="shared" si="0"/>
        <v>2.5924747174386961E-3</v>
      </c>
      <c r="E61" s="418">
        <f>ROUND(+'labor adj'!$K$36*D61,0)</f>
        <v>545</v>
      </c>
      <c r="F61" s="418"/>
    </row>
    <row r="62" spans="1:6" ht="15" x14ac:dyDescent="0.25">
      <c r="A62" s="382">
        <v>33</v>
      </c>
      <c r="B62" s="382">
        <f>+'labor by acct detail'!A60</f>
        <v>596000</v>
      </c>
      <c r="C62" s="418">
        <f>+'labor by acct detail'!R60</f>
        <v>31793.27482561933</v>
      </c>
      <c r="D62" s="477">
        <f t="shared" si="0"/>
        <v>2.789358493214792E-3</v>
      </c>
      <c r="E62" s="418">
        <f>ROUND(+'labor adj'!$K$36*D62,0)</f>
        <v>586</v>
      </c>
      <c r="F62" s="418"/>
    </row>
    <row r="63" spans="1:6" ht="15" x14ac:dyDescent="0.25">
      <c r="A63" s="382">
        <v>34</v>
      </c>
      <c r="B63" s="382">
        <f>+'labor by acct detail'!A61</f>
        <v>597000</v>
      </c>
      <c r="C63" s="418">
        <f>+'labor by acct detail'!R61</f>
        <v>9310.0574139729815</v>
      </c>
      <c r="D63" s="477">
        <f t="shared" si="0"/>
        <v>8.1681072058222622E-4</v>
      </c>
      <c r="E63" s="418">
        <f>ROUND(+'labor adj'!$K$36*D63,0)</f>
        <v>172</v>
      </c>
      <c r="F63" s="418"/>
    </row>
    <row r="64" spans="1:6" ht="15" x14ac:dyDescent="0.25">
      <c r="A64" s="382">
        <v>35</v>
      </c>
      <c r="B64" s="382">
        <f>+'labor by acct detail'!A62</f>
        <v>598000</v>
      </c>
      <c r="C64" s="418">
        <f>+'labor by acct detail'!R62</f>
        <v>37320.949910567055</v>
      </c>
      <c r="D64" s="477">
        <f t="shared" si="0"/>
        <v>3.2743248117365386E-3</v>
      </c>
      <c r="E64" s="418">
        <f>ROUND(+'labor adj'!$K$36*D64,0)</f>
        <v>688</v>
      </c>
      <c r="F64" s="418"/>
    </row>
    <row r="65" spans="1:6" ht="15" x14ac:dyDescent="0.25">
      <c r="A65" s="382">
        <v>36</v>
      </c>
      <c r="B65" s="382">
        <f>+'labor by acct detail'!A63</f>
        <v>903000</v>
      </c>
      <c r="C65" s="418">
        <f>+'labor by acct detail'!R63</f>
        <v>2064756.5287969233</v>
      </c>
      <c r="D65" s="477">
        <f t="shared" si="0"/>
        <v>0.18114982465975643</v>
      </c>
      <c r="E65" s="418">
        <f>ROUND(+'labor adj'!$K$36*D65,0)</f>
        <v>38065</v>
      </c>
      <c r="F65" s="418"/>
    </row>
    <row r="66" spans="1:6" ht="15" hidden="1" x14ac:dyDescent="0.25">
      <c r="A66" s="382"/>
      <c r="B66" s="382">
        <f>+'labor by acct detail'!A64</f>
        <v>903220</v>
      </c>
      <c r="C66" s="418">
        <f>+'labor by acct detail'!R64</f>
        <v>0</v>
      </c>
      <c r="D66" s="477">
        <f t="shared" si="0"/>
        <v>0</v>
      </c>
      <c r="E66" s="418">
        <f>ROUND(+'labor adj'!$K$36*D66,0)</f>
        <v>0</v>
      </c>
      <c r="F66" s="418"/>
    </row>
    <row r="67" spans="1:6" ht="15" hidden="1" x14ac:dyDescent="0.25">
      <c r="A67" s="382"/>
      <c r="B67" s="382">
        <f>+'labor by acct detail'!A65</f>
        <v>903230</v>
      </c>
      <c r="C67" s="418">
        <f>+'labor by acct detail'!R65</f>
        <v>0</v>
      </c>
      <c r="D67" s="477">
        <f t="shared" si="0"/>
        <v>0</v>
      </c>
      <c r="E67" s="418">
        <f>ROUND(+'labor adj'!$K$36*D67,0)</f>
        <v>0</v>
      </c>
      <c r="F67" s="418"/>
    </row>
    <row r="68" spans="1:6" ht="15" hidden="1" x14ac:dyDescent="0.25">
      <c r="A68" s="382">
        <v>36</v>
      </c>
      <c r="B68" s="382">
        <f>+'labor by acct detail'!A66</f>
        <v>903240</v>
      </c>
      <c r="C68" s="418">
        <f>+'labor by acct detail'!R66</f>
        <v>0</v>
      </c>
      <c r="D68" s="477">
        <f t="shared" si="0"/>
        <v>0</v>
      </c>
      <c r="E68" s="418">
        <f>ROUND(+'labor adj'!$K$36*D68,0)</f>
        <v>0</v>
      </c>
      <c r="F68" s="418"/>
    </row>
    <row r="69" spans="1:6" ht="15" x14ac:dyDescent="0.25">
      <c r="A69" s="382">
        <v>37</v>
      </c>
      <c r="B69" s="382">
        <f>+'labor by acct detail'!A67</f>
        <v>908000</v>
      </c>
      <c r="C69" s="418">
        <f>+'labor by acct detail'!R67</f>
        <v>95496.048394326179</v>
      </c>
      <c r="D69" s="477">
        <f t="shared" si="0"/>
        <v>8.3782722955773898E-3</v>
      </c>
      <c r="E69" s="418">
        <f>ROUND(+'labor adj'!$K$36*D69,0)</f>
        <v>1761</v>
      </c>
      <c r="F69" s="418"/>
    </row>
    <row r="70" spans="1:6" ht="15" x14ac:dyDescent="0.25">
      <c r="A70" s="382">
        <v>38</v>
      </c>
      <c r="B70" s="382">
        <f>+'labor by acct detail'!A68</f>
        <v>912000</v>
      </c>
      <c r="C70" s="418">
        <f>+'labor by acct detail'!R68</f>
        <v>55535.700277015312</v>
      </c>
      <c r="D70" s="477">
        <f t="shared" si="0"/>
        <v>4.8723819139101883E-3</v>
      </c>
      <c r="E70" s="418">
        <f>ROUND(+'labor adj'!$K$36*D70,0)</f>
        <v>1024</v>
      </c>
      <c r="F70" s="418"/>
    </row>
    <row r="71" spans="1:6" ht="15" hidden="1" x14ac:dyDescent="0.25">
      <c r="A71" s="382">
        <v>38</v>
      </c>
      <c r="B71" s="382">
        <f>+'labor by acct detail'!A69</f>
        <v>913000</v>
      </c>
      <c r="C71" s="418">
        <f>+'labor by acct detail'!R69</f>
        <v>0</v>
      </c>
      <c r="D71" s="477">
        <f t="shared" si="0"/>
        <v>0</v>
      </c>
      <c r="E71" s="418">
        <f>ROUND(+'labor adj'!$K$36*D71,0)</f>
        <v>0</v>
      </c>
      <c r="F71" s="418"/>
    </row>
    <row r="72" spans="1:6" ht="15" hidden="1" x14ac:dyDescent="0.25">
      <c r="A72" s="382"/>
      <c r="B72" s="382">
        <f>+'labor by acct detail'!A70</f>
        <v>913220</v>
      </c>
      <c r="C72" s="418">
        <f>+'labor by acct detail'!R70</f>
        <v>0</v>
      </c>
      <c r="D72" s="477">
        <f t="shared" si="0"/>
        <v>0</v>
      </c>
      <c r="E72" s="418">
        <f>ROUND(+'labor adj'!$K$36*D72,0)</f>
        <v>0</v>
      </c>
      <c r="F72" s="418"/>
    </row>
    <row r="73" spans="1:6" ht="15" hidden="1" x14ac:dyDescent="0.25">
      <c r="A73" s="382">
        <v>39</v>
      </c>
      <c r="B73" s="382">
        <f>+'labor by acct detail'!A71</f>
        <v>913230</v>
      </c>
      <c r="C73" s="418">
        <f>+'labor by acct detail'!R71</f>
        <v>0</v>
      </c>
      <c r="D73" s="477">
        <f t="shared" si="0"/>
        <v>0</v>
      </c>
      <c r="E73" s="418">
        <f>ROUND(+'labor adj'!$K$36*D73,0)</f>
        <v>0</v>
      </c>
      <c r="F73" s="418"/>
    </row>
    <row r="74" spans="1:6" ht="15" hidden="1" x14ac:dyDescent="0.25">
      <c r="A74" s="382"/>
      <c r="B74" s="382">
        <f>+'labor by acct detail'!A72</f>
        <v>913240</v>
      </c>
      <c r="C74" s="418">
        <f>+'labor by acct detail'!R72</f>
        <v>0</v>
      </c>
      <c r="D74" s="477">
        <f t="shared" si="0"/>
        <v>0</v>
      </c>
      <c r="E74" s="418">
        <f>ROUND(+'labor adj'!$K$36*D74,0)</f>
        <v>0</v>
      </c>
      <c r="F74" s="418"/>
    </row>
    <row r="75" spans="1:6" ht="15" x14ac:dyDescent="0.25">
      <c r="A75" s="382">
        <v>39</v>
      </c>
      <c r="B75" s="382">
        <f>+'labor by acct detail'!A73</f>
        <v>920000</v>
      </c>
      <c r="C75" s="418">
        <f>+'labor by acct detail'!R73</f>
        <v>1353065.9083562682</v>
      </c>
      <c r="D75" s="477">
        <f t="shared" ref="D75:D99" si="1">+C75/$C$102</f>
        <v>0.11871019591576229</v>
      </c>
      <c r="E75" s="418">
        <f>ROUND(+'labor adj'!$K$36*D75,0)</f>
        <v>24944</v>
      </c>
      <c r="F75" s="418"/>
    </row>
    <row r="76" spans="1:6" ht="15" x14ac:dyDescent="0.25">
      <c r="A76" s="382">
        <v>40</v>
      </c>
      <c r="B76" s="382">
        <f>+'labor by acct detail'!A74</f>
        <v>920220</v>
      </c>
      <c r="C76" s="418">
        <f>+'labor by acct detail'!R74</f>
        <v>291.47195160605588</v>
      </c>
      <c r="D76" s="477">
        <f t="shared" si="1"/>
        <v>2.5572067306860238E-5</v>
      </c>
      <c r="E76" s="418">
        <f>ROUND(+'labor adj'!$K$36*D76,0)</f>
        <v>5</v>
      </c>
      <c r="F76" s="418"/>
    </row>
    <row r="77" spans="1:6" ht="15" hidden="1" x14ac:dyDescent="0.25">
      <c r="A77" s="382"/>
      <c r="B77" s="382">
        <f>+'labor by acct detail'!A75</f>
        <v>920221</v>
      </c>
      <c r="C77" s="418">
        <f>+'labor by acct detail'!R75</f>
        <v>0</v>
      </c>
      <c r="D77" s="477">
        <f t="shared" si="1"/>
        <v>0</v>
      </c>
      <c r="E77" s="418">
        <f>ROUND(+'labor adj'!$K$36*D77,0)</f>
        <v>0</v>
      </c>
      <c r="F77" s="418"/>
    </row>
    <row r="78" spans="1:6" ht="15" x14ac:dyDescent="0.25">
      <c r="A78" s="382">
        <v>41</v>
      </c>
      <c r="B78" s="382">
        <f>+'labor by acct detail'!A76</f>
        <v>920230</v>
      </c>
      <c r="C78" s="418">
        <f>+'labor by acct detail'!R76</f>
        <v>5381.6262881142366</v>
      </c>
      <c r="D78" s="477">
        <f t="shared" si="1"/>
        <v>4.7215283975601032E-4</v>
      </c>
      <c r="E78" s="418">
        <f>ROUND(+'labor adj'!$K$36*D78,0)</f>
        <v>99</v>
      </c>
      <c r="F78" s="418"/>
    </row>
    <row r="79" spans="1:6" ht="15" hidden="1" x14ac:dyDescent="0.25">
      <c r="A79" s="382"/>
      <c r="B79" s="382">
        <f>+'labor by acct detail'!A77</f>
        <v>920231</v>
      </c>
      <c r="C79" s="418">
        <f>+'labor by acct detail'!R77</f>
        <v>0</v>
      </c>
      <c r="D79" s="477">
        <f t="shared" si="1"/>
        <v>0</v>
      </c>
      <c r="E79" s="418">
        <f>ROUND(+'labor adj'!$K$36*D79,0)</f>
        <v>0</v>
      </c>
      <c r="F79" s="418"/>
    </row>
    <row r="80" spans="1:6" ht="15" x14ac:dyDescent="0.25">
      <c r="A80" s="382">
        <v>42</v>
      </c>
      <c r="B80" s="382">
        <f>+'labor by acct detail'!A78</f>
        <v>920240</v>
      </c>
      <c r="C80" s="418">
        <f>+'labor by acct detail'!R78</f>
        <v>6649.5384062708481</v>
      </c>
      <c r="D80" s="477">
        <f t="shared" si="1"/>
        <v>5.8339213343771136E-4</v>
      </c>
      <c r="E80" s="418">
        <f>ROUND(+'labor adj'!$K$36*D80,0)</f>
        <v>123</v>
      </c>
      <c r="F80" s="418"/>
    </row>
    <row r="81" spans="1:6" ht="15" hidden="1" x14ac:dyDescent="0.25">
      <c r="A81" s="382"/>
      <c r="B81" s="382">
        <f>+'labor by acct detail'!A79</f>
        <v>920241</v>
      </c>
      <c r="C81" s="418">
        <f>+'labor by acct detail'!R79</f>
        <v>0</v>
      </c>
      <c r="D81" s="477">
        <f t="shared" si="1"/>
        <v>0</v>
      </c>
      <c r="E81" s="418">
        <f>ROUND(+'labor adj'!$K$36*D81,0)</f>
        <v>0</v>
      </c>
      <c r="F81" s="418"/>
    </row>
    <row r="82" spans="1:6" ht="15" x14ac:dyDescent="0.25">
      <c r="A82" s="382">
        <v>43</v>
      </c>
      <c r="B82" s="382">
        <f>+'labor by acct detail'!A80</f>
        <v>920250</v>
      </c>
      <c r="C82" s="418">
        <f>+'labor by acct detail'!R80</f>
        <v>17585.010776501291</v>
      </c>
      <c r="D82" s="477">
        <f t="shared" si="1"/>
        <v>1.5428073840063126E-3</v>
      </c>
      <c r="E82" s="418">
        <f>ROUND(+'labor adj'!$K$36*D82,0)</f>
        <v>324</v>
      </c>
      <c r="F82" s="418"/>
    </row>
    <row r="83" spans="1:6" ht="15" x14ac:dyDescent="0.25">
      <c r="A83" s="382">
        <v>44</v>
      </c>
      <c r="B83" s="382">
        <f>+'labor by acct detail'!A81</f>
        <v>920260</v>
      </c>
      <c r="C83" s="418">
        <f>+'labor by acct detail'!R81</f>
        <v>17130.793174042174</v>
      </c>
      <c r="D83" s="477">
        <f t="shared" si="1"/>
        <v>1.5029569522990998E-3</v>
      </c>
      <c r="E83" s="418">
        <f>ROUND(+'labor adj'!$K$36*D83,0)</f>
        <v>316</v>
      </c>
      <c r="F83" s="418"/>
    </row>
    <row r="84" spans="1:6" ht="15" x14ac:dyDescent="0.25">
      <c r="A84" s="382">
        <v>45</v>
      </c>
      <c r="B84" s="382">
        <f>+'labor by acct detail'!A82</f>
        <v>921000</v>
      </c>
      <c r="C84" s="418">
        <f>+'labor by acct detail'!R82</f>
        <v>2390</v>
      </c>
      <c r="D84" s="477">
        <f t="shared" si="1"/>
        <v>2.0968481024205056E-4</v>
      </c>
      <c r="E84" s="418">
        <f>ROUND(+'labor adj'!$K$36*D84,0)</f>
        <v>44</v>
      </c>
      <c r="F84" s="418"/>
    </row>
    <row r="85" spans="1:6" ht="15" hidden="1" x14ac:dyDescent="0.25">
      <c r="A85" s="382"/>
      <c r="B85" s="382">
        <f>+'labor by acct detail'!A83</f>
        <v>928000</v>
      </c>
      <c r="C85" s="418">
        <f>+'labor by acct detail'!R83</f>
        <v>0</v>
      </c>
      <c r="D85" s="477">
        <f t="shared" si="1"/>
        <v>0</v>
      </c>
      <c r="E85" s="418">
        <f>ROUND(+'labor adj'!$K$36*D85,0)</f>
        <v>0</v>
      </c>
      <c r="F85" s="418"/>
    </row>
    <row r="86" spans="1:6" ht="15" hidden="1" x14ac:dyDescent="0.25">
      <c r="A86" s="382"/>
      <c r="B86" s="382">
        <f>+'labor by acct detail'!A84</f>
        <v>928100</v>
      </c>
      <c r="C86" s="418">
        <f>+'labor by acct detail'!R84</f>
        <v>0</v>
      </c>
      <c r="D86" s="477">
        <f t="shared" si="1"/>
        <v>0</v>
      </c>
      <c r="E86" s="418">
        <f>ROUND(+'labor adj'!$K$36*D86,0)</f>
        <v>0</v>
      </c>
      <c r="F86" s="418"/>
    </row>
    <row r="87" spans="1:6" ht="15" hidden="1" x14ac:dyDescent="0.25">
      <c r="A87" s="382">
        <v>43</v>
      </c>
      <c r="B87" s="382">
        <f>+'labor by acct detail'!A85</f>
        <v>928300</v>
      </c>
      <c r="C87" s="418">
        <f>+'labor by acct detail'!R85</f>
        <v>0</v>
      </c>
      <c r="D87" s="477">
        <f t="shared" si="1"/>
        <v>0</v>
      </c>
      <c r="E87" s="418">
        <f>ROUND(+'labor adj'!$K$36*D87,0)</f>
        <v>0</v>
      </c>
      <c r="F87" s="418"/>
    </row>
    <row r="88" spans="1:6" ht="15" hidden="1" x14ac:dyDescent="0.25">
      <c r="A88" s="382"/>
      <c r="B88" s="382">
        <f>+'labor by acct detail'!A86</f>
        <v>928500</v>
      </c>
      <c r="C88" s="418">
        <f>+'labor by acct detail'!R86</f>
        <v>0</v>
      </c>
      <c r="D88" s="477">
        <f t="shared" si="1"/>
        <v>0</v>
      </c>
      <c r="E88" s="418">
        <f>ROUND(+'labor adj'!$K$36*D88,0)</f>
        <v>0</v>
      </c>
      <c r="F88" s="418"/>
    </row>
    <row r="89" spans="1:6" ht="15" x14ac:dyDescent="0.25">
      <c r="A89" s="382">
        <v>46</v>
      </c>
      <c r="B89" s="382">
        <f>+'labor by acct detail'!A87</f>
        <v>928600</v>
      </c>
      <c r="C89" s="418">
        <f>+'labor by acct detail'!R87</f>
        <v>517.79000000000008</v>
      </c>
      <c r="D89" s="477">
        <f t="shared" si="1"/>
        <v>4.5427907069134468E-5</v>
      </c>
      <c r="E89" s="418">
        <f>ROUND(+'labor adj'!$K$36*D89,0)</f>
        <v>10</v>
      </c>
      <c r="F89" s="418"/>
    </row>
    <row r="90" spans="1:6" ht="15" hidden="1" x14ac:dyDescent="0.25">
      <c r="A90" s="382"/>
      <c r="B90" s="382">
        <f>+'labor by acct detail'!A88</f>
        <v>928610</v>
      </c>
      <c r="C90" s="418">
        <f>+'labor by acct detail'!R88</f>
        <v>0</v>
      </c>
      <c r="D90" s="477">
        <f t="shared" si="1"/>
        <v>0</v>
      </c>
      <c r="E90" s="418">
        <f>ROUND(+'labor adj'!$K$36*D90,0)</f>
        <v>0</v>
      </c>
      <c r="F90" s="418"/>
    </row>
    <row r="91" spans="1:6" ht="15" hidden="1" x14ac:dyDescent="0.25">
      <c r="A91" s="382"/>
      <c r="B91" s="382">
        <f>+'labor by acct detail'!A89</f>
        <v>930100</v>
      </c>
      <c r="C91" s="418">
        <f>+'labor by acct detail'!R89</f>
        <v>0</v>
      </c>
      <c r="D91" s="477">
        <f t="shared" si="1"/>
        <v>0</v>
      </c>
      <c r="E91" s="418">
        <f>ROUND(+'labor adj'!$K$36*D91,0)</f>
        <v>0</v>
      </c>
      <c r="F91" s="418"/>
    </row>
    <row r="92" spans="1:6" ht="15" x14ac:dyDescent="0.25">
      <c r="A92" s="382">
        <v>47</v>
      </c>
      <c r="B92" s="382">
        <f>+'labor by acct detail'!A90</f>
        <v>930200</v>
      </c>
      <c r="C92" s="418">
        <f>+'labor by acct detail'!R90</f>
        <v>113610.17212678792</v>
      </c>
      <c r="D92" s="477">
        <f t="shared" si="1"/>
        <v>9.9675009974779186E-3</v>
      </c>
      <c r="E92" s="418">
        <f>ROUND(+'labor adj'!$K$36*D92,0)</f>
        <v>2094</v>
      </c>
      <c r="F92" s="418"/>
    </row>
    <row r="93" spans="1:6" ht="15" hidden="1" x14ac:dyDescent="0.25">
      <c r="A93" s="382"/>
      <c r="B93" s="382">
        <f>+'labor by acct detail'!A91</f>
        <v>930220</v>
      </c>
      <c r="C93" s="418">
        <f>+'labor by acct detail'!R91</f>
        <v>0</v>
      </c>
      <c r="D93" s="477">
        <f t="shared" si="1"/>
        <v>0</v>
      </c>
      <c r="E93" s="418">
        <f>ROUND(+'labor adj'!$K$36*D93,0)</f>
        <v>0</v>
      </c>
      <c r="F93" s="418"/>
    </row>
    <row r="94" spans="1:6" ht="15" hidden="1" x14ac:dyDescent="0.25">
      <c r="A94" s="382"/>
      <c r="B94" s="382">
        <f>+'labor by acct detail'!A92</f>
        <v>930221</v>
      </c>
      <c r="C94" s="418">
        <f>+'labor by acct detail'!R92</f>
        <v>0</v>
      </c>
      <c r="D94" s="477">
        <f t="shared" si="1"/>
        <v>0</v>
      </c>
      <c r="E94" s="418">
        <f>ROUND(+'labor adj'!$K$36*D94,0)</f>
        <v>0</v>
      </c>
      <c r="F94" s="418"/>
    </row>
    <row r="95" spans="1:6" ht="15" hidden="1" x14ac:dyDescent="0.25">
      <c r="A95" s="382"/>
      <c r="B95" s="382">
        <f>+'labor by acct detail'!A93</f>
        <v>930230</v>
      </c>
      <c r="C95" s="418">
        <f>+'labor by acct detail'!R93</f>
        <v>0</v>
      </c>
      <c r="D95" s="477">
        <f t="shared" si="1"/>
        <v>0</v>
      </c>
      <c r="E95" s="418">
        <f>ROUND(+'labor adj'!$K$36*D95,0)</f>
        <v>0</v>
      </c>
      <c r="F95" s="418"/>
    </row>
    <row r="96" spans="1:6" ht="15" hidden="1" x14ac:dyDescent="0.25">
      <c r="A96" s="382"/>
      <c r="B96" s="382">
        <f>+'labor by acct detail'!A94</f>
        <v>930231</v>
      </c>
      <c r="C96" s="418">
        <f>+'labor by acct detail'!R94</f>
        <v>0</v>
      </c>
      <c r="D96" s="477">
        <f t="shared" si="1"/>
        <v>0</v>
      </c>
      <c r="E96" s="418">
        <f>ROUND(+'labor adj'!$K$36*D96,0)</f>
        <v>0</v>
      </c>
      <c r="F96" s="418"/>
    </row>
    <row r="97" spans="1:6" ht="15" hidden="1" x14ac:dyDescent="0.25">
      <c r="A97" s="382"/>
      <c r="B97" s="382">
        <f>+'labor by acct detail'!A95</f>
        <v>930240</v>
      </c>
      <c r="C97" s="418">
        <f>+'labor by acct detail'!R95</f>
        <v>0</v>
      </c>
      <c r="D97" s="477">
        <f t="shared" si="1"/>
        <v>0</v>
      </c>
      <c r="E97" s="418">
        <f>ROUND(+'labor adj'!$K$36*D97,0)</f>
        <v>0</v>
      </c>
      <c r="F97" s="418"/>
    </row>
    <row r="98" spans="1:6" ht="15" hidden="1" x14ac:dyDescent="0.25">
      <c r="A98" s="382"/>
      <c r="B98" s="382">
        <f>+'labor by acct detail'!A96</f>
        <v>930241</v>
      </c>
      <c r="C98" s="418">
        <f>+'labor by acct detail'!R96</f>
        <v>0</v>
      </c>
      <c r="D98" s="477">
        <f t="shared" si="1"/>
        <v>0</v>
      </c>
      <c r="E98" s="418">
        <f>ROUND(+'labor adj'!$K$36*D98,0)</f>
        <v>0</v>
      </c>
      <c r="F98" s="418"/>
    </row>
    <row r="99" spans="1:6" ht="15" x14ac:dyDescent="0.25">
      <c r="A99" s="382">
        <v>48</v>
      </c>
      <c r="B99" s="382">
        <f>+'labor by acct detail'!A97</f>
        <v>935000</v>
      </c>
      <c r="C99" s="418">
        <f>+'labor by acct detail'!R97</f>
        <v>341950.39641988516</v>
      </c>
      <c r="D99" s="477">
        <f t="shared" si="1"/>
        <v>3.0000754805647525E-2</v>
      </c>
      <c r="E99" s="418">
        <f>ROUND(+'labor adj'!$K$36*D99,0)</f>
        <v>6304</v>
      </c>
      <c r="F99" s="418"/>
    </row>
    <row r="100" spans="1:6" ht="15" x14ac:dyDescent="0.25">
      <c r="A100" s="382">
        <v>49</v>
      </c>
      <c r="B100" s="382"/>
      <c r="C100" s="418"/>
      <c r="D100" s="383"/>
      <c r="E100" s="418"/>
      <c r="F100" s="418"/>
    </row>
    <row r="101" spans="1:6" ht="15" x14ac:dyDescent="0.25">
      <c r="A101" s="382">
        <v>50</v>
      </c>
      <c r="B101" s="382"/>
      <c r="C101" s="418"/>
      <c r="D101" s="383"/>
      <c r="E101" s="418"/>
      <c r="F101" s="418"/>
    </row>
    <row r="102" spans="1:6" ht="15.6" thickBot="1" x14ac:dyDescent="0.3">
      <c r="A102" s="382">
        <v>51</v>
      </c>
      <c r="B102" s="386"/>
      <c r="C102" s="478">
        <f>SUM(C10:C99)</f>
        <v>11398059.769999998</v>
      </c>
      <c r="D102" s="479">
        <f>SUM(D10:D101)</f>
        <v>1.0000000000000004</v>
      </c>
      <c r="E102" s="478">
        <f>SUM(E10:E100)</f>
        <v>210127</v>
      </c>
      <c r="F102" s="418"/>
    </row>
    <row r="103" spans="1:6" ht="15.6" thickTop="1" x14ac:dyDescent="0.25">
      <c r="A103" s="382">
        <v>52</v>
      </c>
      <c r="B103" s="386" t="s">
        <v>83</v>
      </c>
      <c r="C103" s="418"/>
      <c r="D103" s="383"/>
      <c r="E103" s="418"/>
      <c r="F103" s="418"/>
    </row>
    <row r="104" spans="1:6" ht="15" x14ac:dyDescent="0.25">
      <c r="A104" s="382">
        <v>53</v>
      </c>
      <c r="B104" s="382" t="s">
        <v>188</v>
      </c>
      <c r="C104" s="418">
        <f>ROUND(SUM(C10:C31)++C38,0)</f>
        <v>3677190</v>
      </c>
      <c r="D104" s="480">
        <f>SUM(D10:D31)+D38</f>
        <v>0.32261544332420755</v>
      </c>
      <c r="E104" s="470">
        <f>+$E$102*D104</f>
        <v>67790.215259385761</v>
      </c>
      <c r="F104" s="462">
        <f>+'labor by acct detail'!S105</f>
        <v>0.32261544332420744</v>
      </c>
    </row>
    <row r="105" spans="1:6" ht="15" x14ac:dyDescent="0.25">
      <c r="A105" s="382">
        <v>54</v>
      </c>
      <c r="B105" s="382" t="s">
        <v>189</v>
      </c>
      <c r="C105" s="418">
        <f>ROUND(SUM(C32:C35),0)</f>
        <v>4986</v>
      </c>
      <c r="D105" s="480">
        <f>SUM(D32:D34)</f>
        <v>4.3744462659542631E-4</v>
      </c>
      <c r="E105" s="470">
        <f>+$E$102*D105</f>
        <v>91.91892705261715</v>
      </c>
      <c r="F105" s="462">
        <f>+'labor by acct detail'!S106</f>
        <v>4.374446265954262E-4</v>
      </c>
    </row>
    <row r="106" spans="1:6" ht="15" x14ac:dyDescent="0.25">
      <c r="A106" s="382">
        <v>55</v>
      </c>
      <c r="B106" s="382" t="s">
        <v>190</v>
      </c>
      <c r="C106" s="418">
        <f>ROUND(SUM(C39:C46),0)+1</f>
        <v>913</v>
      </c>
      <c r="D106" s="480">
        <f>SUM(D40:D46)</f>
        <v>8.0021514047561474E-5</v>
      </c>
      <c r="E106" s="470">
        <f t="shared" ref="E106:E107" si="2">+$E$102*D106</f>
        <v>16.814680682271948</v>
      </c>
      <c r="F106" s="462">
        <f>+'labor by acct detail'!S108</f>
        <v>8.0021514047561447E-5</v>
      </c>
    </row>
    <row r="107" spans="1:6" ht="15" x14ac:dyDescent="0.25">
      <c r="A107" s="382">
        <v>56</v>
      </c>
      <c r="B107" s="382" t="s">
        <v>191</v>
      </c>
      <c r="C107" s="481">
        <f>ROUND(SUM(C47:C99),0)-1</f>
        <v>7714971</v>
      </c>
      <c r="D107" s="482">
        <f>SUM(D47:D99)</f>
        <v>0.67686709053514971</v>
      </c>
      <c r="E107" s="470">
        <f t="shared" si="2"/>
        <v>142228.05113287939</v>
      </c>
      <c r="F107" s="462">
        <f>+'labor by acct detail'!S109</f>
        <v>0.6768670905351496</v>
      </c>
    </row>
    <row r="108" spans="1:6" ht="15.6" thickBot="1" x14ac:dyDescent="0.3">
      <c r="A108" s="382">
        <v>57</v>
      </c>
      <c r="B108" s="388"/>
      <c r="C108" s="478">
        <f>SUM(C104:C107)</f>
        <v>11398060</v>
      </c>
      <c r="D108" s="483">
        <f>SUM(D104:D107)</f>
        <v>1.0000000000000002</v>
      </c>
      <c r="E108" s="478">
        <f>SUM(E104:E107)</f>
        <v>210127.00000000006</v>
      </c>
      <c r="F108" s="463">
        <f>SUM(F104:F107)</f>
        <v>1</v>
      </c>
    </row>
    <row r="109" spans="1:6" ht="15.6" thickTop="1" x14ac:dyDescent="0.25">
      <c r="A109" s="382"/>
      <c r="B109" s="388"/>
      <c r="C109" s="418"/>
      <c r="D109" s="383"/>
      <c r="E109" s="418"/>
      <c r="F109" s="418"/>
    </row>
    <row r="110" spans="1:6" ht="15" x14ac:dyDescent="0.25">
      <c r="A110" s="358"/>
      <c r="B110" s="388"/>
      <c r="C110" s="418"/>
      <c r="D110" s="383"/>
      <c r="E110" s="418"/>
      <c r="F110" s="418"/>
    </row>
    <row r="111" spans="1:6" ht="15" x14ac:dyDescent="0.25">
      <c r="A111" s="356" t="s">
        <v>519</v>
      </c>
      <c r="B111" s="484"/>
      <c r="C111" s="470"/>
      <c r="D111" s="357"/>
      <c r="E111" s="470"/>
      <c r="F111" s="470"/>
    </row>
    <row r="112" spans="1:6" x14ac:dyDescent="0.25">
      <c r="B112" s="48"/>
    </row>
    <row r="113" spans="2:2" x14ac:dyDescent="0.25">
      <c r="B113" s="48"/>
    </row>
    <row r="114" spans="2:2" x14ac:dyDescent="0.25">
      <c r="B114" s="48"/>
    </row>
    <row r="115" spans="2:2" x14ac:dyDescent="0.25">
      <c r="B115" s="48"/>
    </row>
    <row r="116" spans="2:2" x14ac:dyDescent="0.25">
      <c r="B116" s="48"/>
    </row>
    <row r="117" spans="2:2" x14ac:dyDescent="0.25">
      <c r="B117" s="48"/>
    </row>
    <row r="118" spans="2:2" x14ac:dyDescent="0.25">
      <c r="B118" s="48"/>
    </row>
    <row r="119" spans="2:2" x14ac:dyDescent="0.25">
      <c r="B119" s="48"/>
    </row>
    <row r="120" spans="2:2" x14ac:dyDescent="0.25">
      <c r="B120" s="48"/>
    </row>
    <row r="121" spans="2:2" x14ac:dyDescent="0.25">
      <c r="B121" s="48"/>
    </row>
  </sheetData>
  <phoneticPr fontId="8" type="noConversion"/>
  <printOptions horizontalCentered="1"/>
  <pageMargins left="0.25" right="0.25" top="0.24" bottom="0.25" header="0.5" footer="0.5"/>
  <pageSetup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130"/>
  <sheetViews>
    <sheetView zoomScale="70" zoomScaleNormal="70" workbookViewId="0">
      <selection sqref="A1:AI117"/>
    </sheetView>
  </sheetViews>
  <sheetFormatPr defaultColWidth="18.109375" defaultRowHeight="15" x14ac:dyDescent="0.25"/>
  <cols>
    <col min="1" max="1" width="5.6640625" style="358" customWidth="1"/>
    <col min="2" max="2" width="15.33203125" style="188" customWidth="1"/>
    <col min="3" max="5" width="16.109375" style="191" hidden="1" customWidth="1"/>
    <col min="6" max="7" width="14.33203125" style="191" hidden="1" customWidth="1"/>
    <col min="8" max="8" width="12.88671875" style="191" hidden="1" customWidth="1"/>
    <col min="9" max="10" width="14.33203125" style="191" hidden="1" customWidth="1"/>
    <col min="11" max="11" width="12.88671875" style="191" hidden="1" customWidth="1"/>
    <col min="12" max="12" width="3.6640625" style="188" hidden="1" customWidth="1"/>
    <col min="13" max="15" width="16.109375" style="191" hidden="1" customWidth="1"/>
    <col min="16" max="17" width="14.33203125" style="191" hidden="1" customWidth="1"/>
    <col min="18" max="18" width="12.88671875" style="191" hidden="1" customWidth="1"/>
    <col min="19" max="21" width="14.33203125" style="191" hidden="1" customWidth="1"/>
    <col min="22" max="22" width="3.44140625" style="188" hidden="1" customWidth="1"/>
    <col min="23" max="23" width="16.109375" style="191" hidden="1" customWidth="1"/>
    <col min="24" max="24" width="14.33203125" style="191" hidden="1" customWidth="1"/>
    <col min="25" max="25" width="16.109375" style="191" hidden="1" customWidth="1"/>
    <col min="26" max="27" width="14.33203125" style="191" hidden="1" customWidth="1"/>
    <col min="28" max="31" width="12.88671875" style="191" hidden="1" customWidth="1"/>
    <col min="32" max="32" width="16.109375" style="188" bestFit="1" customWidth="1"/>
    <col min="33" max="33" width="12.88671875" style="188" hidden="1" customWidth="1"/>
    <col min="34" max="34" width="18.109375" style="188"/>
    <col min="35" max="35" width="16.109375" style="188" bestFit="1" customWidth="1"/>
    <col min="36" max="36" width="14.33203125" style="188" bestFit="1" customWidth="1"/>
    <col min="37" max="37" width="9.6640625" style="188" bestFit="1" customWidth="1"/>
    <col min="38" max="38" width="11.5546875" style="188" bestFit="1" customWidth="1"/>
    <col min="39" max="16384" width="18.109375" style="188"/>
  </cols>
  <sheetData>
    <row r="1" spans="1:36" ht="15.6" x14ac:dyDescent="0.3">
      <c r="A1" s="352" t="s">
        <v>81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 t="s">
        <v>83</v>
      </c>
      <c r="N1" s="352"/>
      <c r="O1" s="352"/>
      <c r="P1" s="352"/>
      <c r="Q1" s="352"/>
      <c r="R1" s="352"/>
      <c r="S1" s="352"/>
      <c r="T1" s="352"/>
      <c r="U1" s="352"/>
      <c r="V1" s="352"/>
      <c r="W1" s="352" t="s">
        <v>83</v>
      </c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6"/>
    </row>
    <row r="2" spans="1:36" ht="15.6" x14ac:dyDescent="0.3">
      <c r="A2" s="352" t="s">
        <v>510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6"/>
    </row>
    <row r="3" spans="1:36" ht="15.6" x14ac:dyDescent="0.3">
      <c r="A3" s="352" t="s">
        <v>511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6"/>
    </row>
    <row r="4" spans="1:36" s="358" customFormat="1" ht="15.6" x14ac:dyDescent="0.3">
      <c r="B4" s="370"/>
      <c r="C4" s="383"/>
      <c r="D4" s="383"/>
      <c r="E4" s="383"/>
      <c r="F4" s="383"/>
      <c r="G4" s="383"/>
      <c r="H4" s="383"/>
      <c r="I4" s="383"/>
      <c r="J4" s="383"/>
      <c r="K4" s="383"/>
      <c r="M4" s="383"/>
      <c r="N4" s="383"/>
      <c r="O4" s="383"/>
      <c r="P4" s="383"/>
      <c r="Q4" s="383"/>
      <c r="R4" s="383"/>
      <c r="S4" s="383"/>
      <c r="T4" s="383"/>
      <c r="U4" s="383"/>
      <c r="W4" s="383"/>
      <c r="X4" s="383"/>
      <c r="Y4" s="383"/>
      <c r="Z4" s="383"/>
      <c r="AA4" s="383"/>
      <c r="AB4" s="383"/>
      <c r="AC4" s="383"/>
      <c r="AD4" s="383"/>
      <c r="AE4" s="383"/>
      <c r="AI4" s="370"/>
    </row>
    <row r="5" spans="1:36" s="358" customFormat="1" ht="15.6" x14ac:dyDescent="0.3">
      <c r="B5" s="370"/>
      <c r="C5" s="383"/>
      <c r="D5" s="383"/>
      <c r="E5" s="383"/>
      <c r="F5" s="383"/>
      <c r="G5" s="383"/>
      <c r="H5" s="383"/>
      <c r="I5" s="383"/>
      <c r="J5" s="383"/>
      <c r="K5" s="383"/>
      <c r="M5" s="383"/>
      <c r="N5" s="383"/>
      <c r="O5" s="383"/>
      <c r="P5" s="383"/>
      <c r="Q5" s="383"/>
      <c r="R5" s="383"/>
      <c r="S5" s="383"/>
      <c r="T5" s="383"/>
      <c r="U5" s="383"/>
      <c r="W5" s="383"/>
      <c r="X5" s="383"/>
      <c r="Y5" s="383"/>
      <c r="Z5" s="383"/>
      <c r="AA5" s="383"/>
      <c r="AB5" s="383"/>
      <c r="AC5" s="383"/>
      <c r="AD5" s="383"/>
      <c r="AE5" s="383"/>
      <c r="AI5" s="370"/>
    </row>
    <row r="6" spans="1:36" s="189" customFormat="1" ht="15.6" x14ac:dyDescent="0.3">
      <c r="A6" s="370"/>
      <c r="B6" s="197"/>
      <c r="C6" s="198" t="s">
        <v>193</v>
      </c>
      <c r="D6" s="199"/>
      <c r="E6" s="199"/>
      <c r="F6" s="199"/>
      <c r="G6" s="199"/>
      <c r="H6" s="199"/>
      <c r="I6" s="199"/>
      <c r="J6" s="199"/>
      <c r="K6" s="200"/>
      <c r="L6" s="370"/>
      <c r="M6" s="198" t="s">
        <v>85</v>
      </c>
      <c r="N6" s="199"/>
      <c r="O6" s="199"/>
      <c r="P6" s="199"/>
      <c r="Q6" s="199"/>
      <c r="R6" s="199"/>
      <c r="S6" s="199"/>
      <c r="T6" s="199"/>
      <c r="U6" s="200"/>
      <c r="V6" s="370"/>
      <c r="W6" s="198" t="s">
        <v>281</v>
      </c>
      <c r="X6" s="199"/>
      <c r="Y6" s="199"/>
      <c r="Z6" s="199"/>
      <c r="AA6" s="199"/>
      <c r="AB6" s="199"/>
      <c r="AC6" s="199"/>
      <c r="AD6" s="199"/>
      <c r="AE6" s="200"/>
      <c r="AF6" s="370"/>
      <c r="AG6" s="370"/>
      <c r="AH6" s="382" t="s">
        <v>265</v>
      </c>
      <c r="AI6" s="370"/>
    </row>
    <row r="7" spans="1:36" x14ac:dyDescent="0.25">
      <c r="B7" s="358"/>
      <c r="C7" s="504"/>
      <c r="D7" s="201"/>
      <c r="E7" s="201"/>
      <c r="F7" s="201"/>
      <c r="G7" s="201"/>
      <c r="H7" s="201"/>
      <c r="I7" s="201"/>
      <c r="J7" s="201"/>
      <c r="K7" s="202"/>
      <c r="L7" s="358"/>
      <c r="M7" s="504" t="s">
        <v>194</v>
      </c>
      <c r="N7" s="201"/>
      <c r="O7" s="201"/>
      <c r="P7" s="201"/>
      <c r="Q7" s="201"/>
      <c r="R7" s="201"/>
      <c r="S7" s="201"/>
      <c r="T7" s="201"/>
      <c r="U7" s="202"/>
      <c r="V7" s="358"/>
      <c r="W7" s="505"/>
      <c r="X7" s="201"/>
      <c r="Y7" s="201"/>
      <c r="Z7" s="201"/>
      <c r="AA7" s="201"/>
      <c r="AB7" s="201"/>
      <c r="AC7" s="201"/>
      <c r="AD7" s="201"/>
      <c r="AE7" s="202"/>
      <c r="AF7" s="382" t="s">
        <v>92</v>
      </c>
      <c r="AG7" s="358"/>
      <c r="AH7" s="382" t="s">
        <v>142</v>
      </c>
      <c r="AI7" s="358"/>
    </row>
    <row r="8" spans="1:36" s="190" customFormat="1" ht="15.6" thickBot="1" x14ac:dyDescent="0.3">
      <c r="A8" s="382"/>
      <c r="B8" s="203" t="s">
        <v>195</v>
      </c>
      <c r="C8" s="204" t="s">
        <v>160</v>
      </c>
      <c r="D8" s="205" t="s">
        <v>197</v>
      </c>
      <c r="E8" s="205" t="s">
        <v>196</v>
      </c>
      <c r="F8" s="205" t="s">
        <v>161</v>
      </c>
      <c r="G8" s="205" t="s">
        <v>200</v>
      </c>
      <c r="H8" s="205" t="s">
        <v>162</v>
      </c>
      <c r="I8" s="205" t="s">
        <v>199</v>
      </c>
      <c r="J8" s="205" t="s">
        <v>198</v>
      </c>
      <c r="K8" s="206" t="s">
        <v>282</v>
      </c>
      <c r="L8" s="382"/>
      <c r="M8" s="204" t="s">
        <v>160</v>
      </c>
      <c r="N8" s="205" t="s">
        <v>197</v>
      </c>
      <c r="O8" s="205" t="s">
        <v>196</v>
      </c>
      <c r="P8" s="205" t="s">
        <v>161</v>
      </c>
      <c r="Q8" s="205" t="s">
        <v>200</v>
      </c>
      <c r="R8" s="205" t="s">
        <v>162</v>
      </c>
      <c r="S8" s="205" t="s">
        <v>199</v>
      </c>
      <c r="T8" s="205" t="s">
        <v>198</v>
      </c>
      <c r="U8" s="206" t="s">
        <v>282</v>
      </c>
      <c r="V8" s="382"/>
      <c r="W8" s="204" t="s">
        <v>160</v>
      </c>
      <c r="X8" s="205" t="s">
        <v>197</v>
      </c>
      <c r="Y8" s="205" t="s">
        <v>196</v>
      </c>
      <c r="Z8" s="205" t="s">
        <v>161</v>
      </c>
      <c r="AA8" s="205" t="s">
        <v>200</v>
      </c>
      <c r="AB8" s="205" t="s">
        <v>162</v>
      </c>
      <c r="AC8" s="205" t="s">
        <v>199</v>
      </c>
      <c r="AD8" s="205" t="s">
        <v>198</v>
      </c>
      <c r="AE8" s="206" t="s">
        <v>282</v>
      </c>
      <c r="AF8" s="212" t="s">
        <v>192</v>
      </c>
      <c r="AG8" s="382"/>
      <c r="AH8" s="212" t="s">
        <v>95</v>
      </c>
      <c r="AI8" s="382"/>
    </row>
    <row r="9" spans="1:36" x14ac:dyDescent="0.25">
      <c r="B9" s="381"/>
      <c r="C9" s="383"/>
      <c r="D9" s="383"/>
      <c r="E9" s="383"/>
      <c r="F9" s="383"/>
      <c r="G9" s="383"/>
      <c r="H9" s="383"/>
      <c r="I9" s="383"/>
      <c r="J9" s="383"/>
      <c r="K9" s="383"/>
      <c r="L9" s="358"/>
      <c r="M9" s="383"/>
      <c r="N9" s="383"/>
      <c r="O9" s="383"/>
      <c r="P9" s="383"/>
      <c r="Q9" s="383"/>
      <c r="R9" s="383"/>
      <c r="S9" s="383"/>
      <c r="T9" s="383"/>
      <c r="U9" s="383"/>
      <c r="V9" s="358"/>
      <c r="W9" s="383"/>
      <c r="X9" s="383"/>
      <c r="Y9" s="383"/>
      <c r="Z9" s="383"/>
      <c r="AA9" s="383"/>
      <c r="AB9" s="383"/>
      <c r="AC9" s="383"/>
      <c r="AD9" s="383"/>
      <c r="AE9" s="383"/>
      <c r="AF9" s="358"/>
      <c r="AG9" s="358"/>
      <c r="AH9" s="358"/>
      <c r="AI9" s="358"/>
    </row>
    <row r="10" spans="1:36" x14ac:dyDescent="0.25">
      <c r="A10" s="358">
        <v>1</v>
      </c>
      <c r="B10" s="381">
        <v>107100</v>
      </c>
      <c r="C10" s="383">
        <v>8667.5300000000007</v>
      </c>
      <c r="D10" s="383">
        <v>1756.0800000000002</v>
      </c>
      <c r="E10" s="383">
        <v>11540.62</v>
      </c>
      <c r="F10" s="383">
        <v>4033.4799999999996</v>
      </c>
      <c r="G10" s="383">
        <v>1184.3600000000001</v>
      </c>
      <c r="H10" s="383">
        <v>383.59</v>
      </c>
      <c r="I10" s="383">
        <v>64.16</v>
      </c>
      <c r="J10" s="383">
        <v>80.69</v>
      </c>
      <c r="K10" s="383">
        <v>2.12</v>
      </c>
      <c r="L10" s="358"/>
      <c r="M10" s="207">
        <v>8674.3900000000012</v>
      </c>
      <c r="N10" s="207">
        <v>1757.8400000000001</v>
      </c>
      <c r="O10" s="207">
        <v>11549.09</v>
      </c>
      <c r="P10" s="207">
        <v>4036.5899999999997</v>
      </c>
      <c r="Q10" s="207">
        <v>1185.3600000000001</v>
      </c>
      <c r="R10" s="207">
        <v>383.81</v>
      </c>
      <c r="S10" s="207">
        <v>64.209999999999994</v>
      </c>
      <c r="T10" s="207">
        <v>80.759999999999991</v>
      </c>
      <c r="U10" s="207">
        <v>2.12</v>
      </c>
      <c r="V10" s="358"/>
      <c r="W10" s="383">
        <v>33201.130000000005</v>
      </c>
      <c r="X10" s="383">
        <v>5251.24</v>
      </c>
      <c r="Y10" s="383">
        <v>33127.440000000002</v>
      </c>
      <c r="Z10" s="383">
        <v>11813.76</v>
      </c>
      <c r="AA10" s="383">
        <v>3197.7200000000003</v>
      </c>
      <c r="AB10" s="383">
        <v>923.05</v>
      </c>
      <c r="AC10" s="383">
        <v>250.3</v>
      </c>
      <c r="AD10" s="383">
        <v>309.53999999999996</v>
      </c>
      <c r="AE10" s="383">
        <v>18.95</v>
      </c>
      <c r="AF10" s="416">
        <f>SUM(W10:AE10)</f>
        <v>88093.12999999999</v>
      </c>
      <c r="AG10" s="417">
        <f>+ROUND(AF10/$AF$105,6)</f>
        <v>1.5004999999999999E-2</v>
      </c>
      <c r="AH10" s="418">
        <f>+AG10*'OH adj'!$G$28</f>
        <v>2660.9823470494775</v>
      </c>
      <c r="AI10" s="358"/>
    </row>
    <row r="11" spans="1:36" x14ac:dyDescent="0.25">
      <c r="A11" s="358">
        <f>A10+1</f>
        <v>2</v>
      </c>
      <c r="B11" s="381">
        <v>107200</v>
      </c>
      <c r="C11" s="383">
        <v>554484.2300000001</v>
      </c>
      <c r="D11" s="383">
        <v>81363.039999999979</v>
      </c>
      <c r="E11" s="383">
        <v>542239.25</v>
      </c>
      <c r="F11" s="383">
        <v>186432.12</v>
      </c>
      <c r="G11" s="383">
        <v>50160.630000000005</v>
      </c>
      <c r="H11" s="383">
        <v>13018.039999999997</v>
      </c>
      <c r="I11" s="383">
        <v>3998</v>
      </c>
      <c r="J11" s="383">
        <v>5002.3899999999985</v>
      </c>
      <c r="K11" s="383">
        <v>342.24</v>
      </c>
      <c r="L11" s="358"/>
      <c r="M11" s="207">
        <v>555605.76000000013</v>
      </c>
      <c r="N11" s="207">
        <v>81650.879999999976</v>
      </c>
      <c r="O11" s="207">
        <v>543623.76</v>
      </c>
      <c r="P11" s="207">
        <v>186940.55</v>
      </c>
      <c r="Q11" s="207">
        <v>50323.22</v>
      </c>
      <c r="R11" s="207">
        <v>13054.219999999998</v>
      </c>
      <c r="S11" s="207">
        <v>4006.6</v>
      </c>
      <c r="T11" s="207">
        <v>5013.2799999999988</v>
      </c>
      <c r="U11" s="207">
        <v>342.87</v>
      </c>
      <c r="V11" s="358"/>
      <c r="W11" s="383">
        <v>652268.07000000007</v>
      </c>
      <c r="X11" s="383">
        <v>95418.699999999983</v>
      </c>
      <c r="Y11" s="383">
        <v>628666.16</v>
      </c>
      <c r="Z11" s="383">
        <v>217591.16999999998</v>
      </c>
      <c r="AA11" s="383">
        <v>58254.130000000005</v>
      </c>
      <c r="AB11" s="383">
        <v>15179.409999999998</v>
      </c>
      <c r="AC11" s="383">
        <v>4739.9799999999996</v>
      </c>
      <c r="AD11" s="383">
        <v>5914.9399999999987</v>
      </c>
      <c r="AE11" s="383">
        <v>409.2</v>
      </c>
      <c r="AF11" s="416">
        <f t="shared" ref="AF11:AF74" si="0">SUM(W11:AE11)</f>
        <v>1678441.7599999998</v>
      </c>
      <c r="AG11" s="417">
        <f t="shared" ref="AG11:AG74" si="1">+ROUND(AF11/$AF$105,6)</f>
        <v>0.28588200000000002</v>
      </c>
      <c r="AH11" s="418">
        <f>+AG11*'OH adj'!$G$28</f>
        <v>50698.230945631374</v>
      </c>
      <c r="AI11" s="358"/>
    </row>
    <row r="12" spans="1:36" hidden="1" x14ac:dyDescent="0.25">
      <c r="B12" s="381">
        <v>107210</v>
      </c>
      <c r="C12" s="383">
        <v>0</v>
      </c>
      <c r="D12" s="383">
        <v>0</v>
      </c>
      <c r="E12" s="383">
        <v>0</v>
      </c>
      <c r="F12" s="383">
        <v>0</v>
      </c>
      <c r="G12" s="383">
        <v>0</v>
      </c>
      <c r="H12" s="383">
        <v>0</v>
      </c>
      <c r="I12" s="383">
        <v>0</v>
      </c>
      <c r="J12" s="383">
        <v>0</v>
      </c>
      <c r="K12" s="383">
        <v>0</v>
      </c>
      <c r="L12" s="358"/>
      <c r="M12" s="207">
        <v>0</v>
      </c>
      <c r="N12" s="207">
        <v>0</v>
      </c>
      <c r="O12" s="207">
        <v>0</v>
      </c>
      <c r="P12" s="207">
        <v>0</v>
      </c>
      <c r="Q12" s="207">
        <v>0</v>
      </c>
      <c r="R12" s="207">
        <v>0</v>
      </c>
      <c r="S12" s="207">
        <v>0</v>
      </c>
      <c r="T12" s="207">
        <v>0</v>
      </c>
      <c r="U12" s="207">
        <v>0</v>
      </c>
      <c r="V12" s="358"/>
      <c r="W12" s="383">
        <v>0</v>
      </c>
      <c r="X12" s="383">
        <v>0</v>
      </c>
      <c r="Y12" s="383">
        <v>0</v>
      </c>
      <c r="Z12" s="383">
        <v>0</v>
      </c>
      <c r="AA12" s="383">
        <v>0</v>
      </c>
      <c r="AB12" s="383">
        <v>0</v>
      </c>
      <c r="AC12" s="383">
        <v>0</v>
      </c>
      <c r="AD12" s="383">
        <v>0</v>
      </c>
      <c r="AE12" s="383">
        <v>0</v>
      </c>
      <c r="AF12" s="416">
        <f t="shared" si="0"/>
        <v>0</v>
      </c>
      <c r="AG12" s="417">
        <f t="shared" si="1"/>
        <v>0</v>
      </c>
      <c r="AH12" s="418">
        <f>+AG12*'OH adj'!$G$28</f>
        <v>0</v>
      </c>
      <c r="AI12" s="358"/>
    </row>
    <row r="13" spans="1:36" hidden="1" x14ac:dyDescent="0.25">
      <c r="B13" s="381">
        <v>107215</v>
      </c>
      <c r="C13" s="383">
        <v>0</v>
      </c>
      <c r="D13" s="383">
        <v>0</v>
      </c>
      <c r="E13" s="383">
        <v>0</v>
      </c>
      <c r="F13" s="383">
        <v>0</v>
      </c>
      <c r="G13" s="383">
        <v>0</v>
      </c>
      <c r="H13" s="383">
        <v>0</v>
      </c>
      <c r="I13" s="383">
        <v>0</v>
      </c>
      <c r="J13" s="383">
        <v>0</v>
      </c>
      <c r="K13" s="383">
        <v>0</v>
      </c>
      <c r="L13" s="358"/>
      <c r="M13" s="207">
        <v>0</v>
      </c>
      <c r="N13" s="207">
        <v>0</v>
      </c>
      <c r="O13" s="207">
        <v>0</v>
      </c>
      <c r="P13" s="207">
        <v>0</v>
      </c>
      <c r="Q13" s="207">
        <v>0</v>
      </c>
      <c r="R13" s="207">
        <v>0</v>
      </c>
      <c r="S13" s="207">
        <v>0</v>
      </c>
      <c r="T13" s="207">
        <v>0</v>
      </c>
      <c r="U13" s="207">
        <v>0</v>
      </c>
      <c r="V13" s="358"/>
      <c r="W13" s="383">
        <v>0</v>
      </c>
      <c r="X13" s="383">
        <v>0</v>
      </c>
      <c r="Y13" s="383">
        <v>0</v>
      </c>
      <c r="Z13" s="383">
        <v>0</v>
      </c>
      <c r="AA13" s="383">
        <v>0</v>
      </c>
      <c r="AB13" s="383">
        <v>0</v>
      </c>
      <c r="AC13" s="383">
        <v>0</v>
      </c>
      <c r="AD13" s="383">
        <v>0</v>
      </c>
      <c r="AE13" s="383">
        <v>0</v>
      </c>
      <c r="AF13" s="416">
        <f t="shared" si="0"/>
        <v>0</v>
      </c>
      <c r="AG13" s="417">
        <f t="shared" si="1"/>
        <v>0</v>
      </c>
      <c r="AH13" s="418">
        <f>+AG13*'OH adj'!$G$28</f>
        <v>0</v>
      </c>
      <c r="AI13" s="358"/>
    </row>
    <row r="14" spans="1:36" x14ac:dyDescent="0.25">
      <c r="A14" s="358">
        <f t="shared" ref="A14:A77" si="2">A13+1</f>
        <v>1</v>
      </c>
      <c r="B14" s="381">
        <v>107218</v>
      </c>
      <c r="C14" s="383">
        <v>92.09</v>
      </c>
      <c r="D14" s="383">
        <v>25.78</v>
      </c>
      <c r="E14" s="383">
        <v>105.81</v>
      </c>
      <c r="F14" s="383">
        <v>41.77</v>
      </c>
      <c r="G14" s="383">
        <v>10.64</v>
      </c>
      <c r="H14" s="383">
        <v>2.41</v>
      </c>
      <c r="I14" s="383">
        <v>0</v>
      </c>
      <c r="J14" s="383">
        <v>0</v>
      </c>
      <c r="K14" s="383">
        <v>0.14000000000000001</v>
      </c>
      <c r="L14" s="358"/>
      <c r="M14" s="207">
        <v>92.09</v>
      </c>
      <c r="N14" s="207">
        <v>25.78</v>
      </c>
      <c r="O14" s="207">
        <v>105.81</v>
      </c>
      <c r="P14" s="207">
        <v>41.77</v>
      </c>
      <c r="Q14" s="207">
        <v>10.64</v>
      </c>
      <c r="R14" s="207">
        <v>2.41</v>
      </c>
      <c r="S14" s="207">
        <v>0</v>
      </c>
      <c r="T14" s="207">
        <v>0</v>
      </c>
      <c r="U14" s="207">
        <v>0.14000000000000001</v>
      </c>
      <c r="V14" s="358"/>
      <c r="W14" s="383">
        <v>92.09</v>
      </c>
      <c r="X14" s="383">
        <v>25.78</v>
      </c>
      <c r="Y14" s="383">
        <v>105.81</v>
      </c>
      <c r="Z14" s="383">
        <v>41.77</v>
      </c>
      <c r="AA14" s="383">
        <v>10.64</v>
      </c>
      <c r="AB14" s="383">
        <v>2.41</v>
      </c>
      <c r="AC14" s="383">
        <v>0</v>
      </c>
      <c r="AD14" s="383">
        <v>0</v>
      </c>
      <c r="AE14" s="383">
        <v>0.14000000000000001</v>
      </c>
      <c r="AF14" s="416">
        <f t="shared" si="0"/>
        <v>278.64</v>
      </c>
      <c r="AG14" s="417">
        <f t="shared" si="1"/>
        <v>4.6999999999999997E-5</v>
      </c>
      <c r="AH14" s="418">
        <f>+AG14*'OH adj'!$G$28</f>
        <v>8.3349663652999286</v>
      </c>
      <c r="AI14" s="358"/>
    </row>
    <row r="15" spans="1:36" hidden="1" x14ac:dyDescent="0.25">
      <c r="A15" s="358">
        <f t="shared" si="2"/>
        <v>2</v>
      </c>
      <c r="B15" s="381">
        <v>107230</v>
      </c>
      <c r="C15" s="383">
        <v>0</v>
      </c>
      <c r="D15" s="383">
        <v>0</v>
      </c>
      <c r="E15" s="383">
        <v>0</v>
      </c>
      <c r="F15" s="383">
        <v>0</v>
      </c>
      <c r="G15" s="383">
        <v>0</v>
      </c>
      <c r="H15" s="383">
        <v>0</v>
      </c>
      <c r="I15" s="383">
        <v>0</v>
      </c>
      <c r="J15" s="383">
        <v>0</v>
      </c>
      <c r="K15" s="383">
        <v>0</v>
      </c>
      <c r="L15" s="358"/>
      <c r="M15" s="207">
        <v>0</v>
      </c>
      <c r="N15" s="207">
        <v>0</v>
      </c>
      <c r="O15" s="207">
        <v>0</v>
      </c>
      <c r="P15" s="207">
        <v>0</v>
      </c>
      <c r="Q15" s="207">
        <v>0</v>
      </c>
      <c r="R15" s="207">
        <v>0</v>
      </c>
      <c r="S15" s="207">
        <v>0</v>
      </c>
      <c r="T15" s="207">
        <v>0</v>
      </c>
      <c r="U15" s="207">
        <v>0</v>
      </c>
      <c r="V15" s="358"/>
      <c r="W15" s="383">
        <v>0</v>
      </c>
      <c r="X15" s="383">
        <v>0</v>
      </c>
      <c r="Y15" s="383">
        <v>0</v>
      </c>
      <c r="Z15" s="383">
        <v>0</v>
      </c>
      <c r="AA15" s="383">
        <v>0</v>
      </c>
      <c r="AB15" s="383">
        <v>0</v>
      </c>
      <c r="AC15" s="383">
        <v>0</v>
      </c>
      <c r="AD15" s="383">
        <v>0</v>
      </c>
      <c r="AE15" s="383">
        <v>0</v>
      </c>
      <c r="AF15" s="416">
        <f t="shared" si="0"/>
        <v>0</v>
      </c>
      <c r="AG15" s="417">
        <f t="shared" si="1"/>
        <v>0</v>
      </c>
      <c r="AH15" s="418">
        <f>+AG15*'OH adj'!$G$28</f>
        <v>0</v>
      </c>
      <c r="AI15" s="358"/>
    </row>
    <row r="16" spans="1:36" hidden="1" x14ac:dyDescent="0.25">
      <c r="A16" s="358">
        <f t="shared" si="2"/>
        <v>3</v>
      </c>
      <c r="B16" s="381">
        <v>107235</v>
      </c>
      <c r="C16" s="383">
        <v>0</v>
      </c>
      <c r="D16" s="383">
        <v>0</v>
      </c>
      <c r="E16" s="383">
        <v>0</v>
      </c>
      <c r="F16" s="383">
        <v>0</v>
      </c>
      <c r="G16" s="383">
        <v>0</v>
      </c>
      <c r="H16" s="383">
        <v>0</v>
      </c>
      <c r="I16" s="383">
        <v>0</v>
      </c>
      <c r="J16" s="383">
        <v>0</v>
      </c>
      <c r="K16" s="383">
        <v>0</v>
      </c>
      <c r="L16" s="358"/>
      <c r="M16" s="207">
        <v>0</v>
      </c>
      <c r="N16" s="207">
        <v>0</v>
      </c>
      <c r="O16" s="207">
        <v>0</v>
      </c>
      <c r="P16" s="207">
        <v>0</v>
      </c>
      <c r="Q16" s="207">
        <v>0</v>
      </c>
      <c r="R16" s="207">
        <v>0</v>
      </c>
      <c r="S16" s="207">
        <v>0</v>
      </c>
      <c r="T16" s="207">
        <v>0</v>
      </c>
      <c r="U16" s="207">
        <v>0</v>
      </c>
      <c r="V16" s="358"/>
      <c r="W16" s="383">
        <v>0</v>
      </c>
      <c r="X16" s="383">
        <v>0</v>
      </c>
      <c r="Y16" s="383">
        <v>0</v>
      </c>
      <c r="Z16" s="383">
        <v>0</v>
      </c>
      <c r="AA16" s="383">
        <v>0</v>
      </c>
      <c r="AB16" s="383">
        <v>0</v>
      </c>
      <c r="AC16" s="383">
        <v>0</v>
      </c>
      <c r="AD16" s="383">
        <v>0</v>
      </c>
      <c r="AE16" s="383">
        <v>0</v>
      </c>
      <c r="AF16" s="416">
        <f t="shared" si="0"/>
        <v>0</v>
      </c>
      <c r="AG16" s="417">
        <f t="shared" si="1"/>
        <v>0</v>
      </c>
      <c r="AH16" s="418">
        <f>+AG16*'OH adj'!$G$28</f>
        <v>0</v>
      </c>
      <c r="AI16" s="358"/>
    </row>
    <row r="17" spans="1:35" hidden="1" x14ac:dyDescent="0.25">
      <c r="A17" s="358">
        <f t="shared" si="2"/>
        <v>4</v>
      </c>
      <c r="B17" s="381">
        <v>107240</v>
      </c>
      <c r="C17" s="383">
        <v>0</v>
      </c>
      <c r="D17" s="383">
        <v>0</v>
      </c>
      <c r="E17" s="383">
        <v>0</v>
      </c>
      <c r="F17" s="383">
        <v>0</v>
      </c>
      <c r="G17" s="383">
        <v>0</v>
      </c>
      <c r="H17" s="383">
        <v>0</v>
      </c>
      <c r="I17" s="383">
        <v>0</v>
      </c>
      <c r="J17" s="383">
        <v>0</v>
      </c>
      <c r="K17" s="383">
        <v>0</v>
      </c>
      <c r="L17" s="358"/>
      <c r="M17" s="207">
        <v>0</v>
      </c>
      <c r="N17" s="207">
        <v>0</v>
      </c>
      <c r="O17" s="207">
        <v>0</v>
      </c>
      <c r="P17" s="207">
        <v>0</v>
      </c>
      <c r="Q17" s="207">
        <v>0</v>
      </c>
      <c r="R17" s="207">
        <v>0</v>
      </c>
      <c r="S17" s="207">
        <v>0</v>
      </c>
      <c r="T17" s="207">
        <v>0</v>
      </c>
      <c r="U17" s="207">
        <v>0</v>
      </c>
      <c r="V17" s="358"/>
      <c r="W17" s="383">
        <v>0</v>
      </c>
      <c r="X17" s="383">
        <v>0</v>
      </c>
      <c r="Y17" s="383">
        <v>0</v>
      </c>
      <c r="Z17" s="383">
        <v>0</v>
      </c>
      <c r="AA17" s="383">
        <v>0</v>
      </c>
      <c r="AB17" s="383">
        <v>0</v>
      </c>
      <c r="AC17" s="383">
        <v>0</v>
      </c>
      <c r="AD17" s="383">
        <v>0</v>
      </c>
      <c r="AE17" s="383">
        <v>0</v>
      </c>
      <c r="AF17" s="416">
        <f t="shared" si="0"/>
        <v>0</v>
      </c>
      <c r="AG17" s="417">
        <f t="shared" si="1"/>
        <v>0</v>
      </c>
      <c r="AH17" s="418">
        <f>+AG17*'OH adj'!$G$28</f>
        <v>0</v>
      </c>
      <c r="AI17" s="358"/>
    </row>
    <row r="18" spans="1:35" hidden="1" x14ac:dyDescent="0.25">
      <c r="A18" s="358">
        <f t="shared" si="2"/>
        <v>5</v>
      </c>
      <c r="B18" s="381">
        <v>107245</v>
      </c>
      <c r="C18" s="383">
        <v>0</v>
      </c>
      <c r="D18" s="383">
        <v>0</v>
      </c>
      <c r="E18" s="383">
        <v>0</v>
      </c>
      <c r="F18" s="383">
        <v>0</v>
      </c>
      <c r="G18" s="383">
        <v>0</v>
      </c>
      <c r="H18" s="383">
        <v>0</v>
      </c>
      <c r="I18" s="383">
        <v>0</v>
      </c>
      <c r="J18" s="383">
        <v>0</v>
      </c>
      <c r="K18" s="383">
        <v>0</v>
      </c>
      <c r="L18" s="358"/>
      <c r="M18" s="207">
        <v>0</v>
      </c>
      <c r="N18" s="207">
        <v>0</v>
      </c>
      <c r="O18" s="207">
        <v>0</v>
      </c>
      <c r="P18" s="207">
        <v>0</v>
      </c>
      <c r="Q18" s="207">
        <v>0</v>
      </c>
      <c r="R18" s="207">
        <v>0</v>
      </c>
      <c r="S18" s="207">
        <v>0</v>
      </c>
      <c r="T18" s="207">
        <v>0</v>
      </c>
      <c r="U18" s="207">
        <v>0</v>
      </c>
      <c r="V18" s="358"/>
      <c r="W18" s="383">
        <v>0</v>
      </c>
      <c r="X18" s="383">
        <v>0</v>
      </c>
      <c r="Y18" s="383">
        <v>0</v>
      </c>
      <c r="Z18" s="383">
        <v>0</v>
      </c>
      <c r="AA18" s="383">
        <v>0</v>
      </c>
      <c r="AB18" s="383">
        <v>0</v>
      </c>
      <c r="AC18" s="383">
        <v>0</v>
      </c>
      <c r="AD18" s="383">
        <v>0</v>
      </c>
      <c r="AE18" s="383">
        <v>0</v>
      </c>
      <c r="AF18" s="416">
        <f t="shared" si="0"/>
        <v>0</v>
      </c>
      <c r="AG18" s="417">
        <f t="shared" si="1"/>
        <v>0</v>
      </c>
      <c r="AH18" s="418">
        <f>+AG18*'OH adj'!$G$28</f>
        <v>0</v>
      </c>
      <c r="AI18" s="358"/>
    </row>
    <row r="19" spans="1:35" x14ac:dyDescent="0.25">
      <c r="A19" s="358">
        <f t="shared" si="2"/>
        <v>6</v>
      </c>
      <c r="B19" s="381">
        <v>107250</v>
      </c>
      <c r="C19" s="383">
        <v>109.05</v>
      </c>
      <c r="D19" s="383">
        <v>-7.1199999999999992</v>
      </c>
      <c r="E19" s="383">
        <v>113.77</v>
      </c>
      <c r="F19" s="383">
        <v>40.019999999999996</v>
      </c>
      <c r="G19" s="383">
        <v>0</v>
      </c>
      <c r="H19" s="383">
        <v>2.96</v>
      </c>
      <c r="I19" s="383">
        <v>0</v>
      </c>
      <c r="J19" s="383">
        <v>0</v>
      </c>
      <c r="K19" s="383">
        <v>0</v>
      </c>
      <c r="L19" s="358"/>
      <c r="M19" s="207">
        <v>109.05</v>
      </c>
      <c r="N19" s="207">
        <v>-7.1199999999999992</v>
      </c>
      <c r="O19" s="207">
        <v>113.77</v>
      </c>
      <c r="P19" s="207">
        <v>40.019999999999996</v>
      </c>
      <c r="Q19" s="207">
        <v>0</v>
      </c>
      <c r="R19" s="207">
        <v>2.96</v>
      </c>
      <c r="S19" s="207">
        <v>0</v>
      </c>
      <c r="T19" s="207">
        <v>0</v>
      </c>
      <c r="U19" s="207">
        <v>0</v>
      </c>
      <c r="V19" s="358"/>
      <c r="W19" s="383">
        <v>109.05</v>
      </c>
      <c r="X19" s="383">
        <v>-7.1199999999999992</v>
      </c>
      <c r="Y19" s="383">
        <v>113.77</v>
      </c>
      <c r="Z19" s="383">
        <v>40.019999999999996</v>
      </c>
      <c r="AA19" s="383">
        <v>0</v>
      </c>
      <c r="AB19" s="383">
        <v>2.96</v>
      </c>
      <c r="AC19" s="383">
        <v>0</v>
      </c>
      <c r="AD19" s="383">
        <v>0</v>
      </c>
      <c r="AE19" s="383">
        <v>0</v>
      </c>
      <c r="AF19" s="416">
        <f t="shared" si="0"/>
        <v>258.67999999999995</v>
      </c>
      <c r="AG19" s="417">
        <f t="shared" si="1"/>
        <v>4.3999999999999999E-5</v>
      </c>
      <c r="AH19" s="418">
        <f>+AG19*'OH adj'!$G$28</f>
        <v>7.8029472355999339</v>
      </c>
      <c r="AI19" s="358"/>
    </row>
    <row r="20" spans="1:35" x14ac:dyDescent="0.25">
      <c r="A20" s="358">
        <f t="shared" si="2"/>
        <v>7</v>
      </c>
      <c r="B20" s="381">
        <v>107255</v>
      </c>
      <c r="C20" s="383">
        <v>7692.6799999999994</v>
      </c>
      <c r="D20" s="383">
        <v>978.86</v>
      </c>
      <c r="E20" s="383">
        <v>6297.27</v>
      </c>
      <c r="F20" s="383">
        <v>2278</v>
      </c>
      <c r="G20" s="383">
        <v>416.15</v>
      </c>
      <c r="H20" s="383">
        <v>158.37</v>
      </c>
      <c r="I20" s="383">
        <v>0</v>
      </c>
      <c r="J20" s="383">
        <v>0</v>
      </c>
      <c r="K20" s="383">
        <v>13.93</v>
      </c>
      <c r="L20" s="358"/>
      <c r="M20" s="207">
        <v>7738.74</v>
      </c>
      <c r="N20" s="207">
        <v>990.68000000000006</v>
      </c>
      <c r="O20" s="207">
        <v>6354.14</v>
      </c>
      <c r="P20" s="207">
        <v>2298.88</v>
      </c>
      <c r="Q20" s="207">
        <v>422.83</v>
      </c>
      <c r="R20" s="207">
        <v>159.86000000000001</v>
      </c>
      <c r="S20" s="207">
        <v>0.35</v>
      </c>
      <c r="T20" s="207">
        <v>0.45</v>
      </c>
      <c r="U20" s="207">
        <v>13.959999999999999</v>
      </c>
      <c r="V20" s="358"/>
      <c r="W20" s="383">
        <v>7738.74</v>
      </c>
      <c r="X20" s="383">
        <v>990.68000000000006</v>
      </c>
      <c r="Y20" s="383">
        <v>6354.14</v>
      </c>
      <c r="Z20" s="383">
        <v>2298.88</v>
      </c>
      <c r="AA20" s="383">
        <v>422.83</v>
      </c>
      <c r="AB20" s="383">
        <v>159.86000000000001</v>
      </c>
      <c r="AC20" s="383">
        <v>0.35</v>
      </c>
      <c r="AD20" s="383">
        <v>0.45</v>
      </c>
      <c r="AE20" s="383">
        <v>13.959999999999999</v>
      </c>
      <c r="AF20" s="416">
        <f t="shared" si="0"/>
        <v>17979.890000000003</v>
      </c>
      <c r="AG20" s="417">
        <f t="shared" si="1"/>
        <v>3.0620000000000001E-3</v>
      </c>
      <c r="AH20" s="418">
        <f>+AG20*'OH adj'!$G$28</f>
        <v>543.01419171379541</v>
      </c>
      <c r="AI20" s="358"/>
    </row>
    <row r="21" spans="1:35" x14ac:dyDescent="0.25">
      <c r="A21" s="358">
        <f t="shared" si="2"/>
        <v>8</v>
      </c>
      <c r="B21" s="381">
        <v>107260</v>
      </c>
      <c r="C21" s="383">
        <v>804.9799999999999</v>
      </c>
      <c r="D21" s="383">
        <v>-89.45</v>
      </c>
      <c r="E21" s="383">
        <v>1050.3800000000001</v>
      </c>
      <c r="F21" s="383">
        <v>232.81</v>
      </c>
      <c r="G21" s="383">
        <v>0</v>
      </c>
      <c r="H21" s="383">
        <v>29.71</v>
      </c>
      <c r="I21" s="383">
        <v>0</v>
      </c>
      <c r="J21" s="383">
        <v>0</v>
      </c>
      <c r="K21" s="383">
        <v>0.05</v>
      </c>
      <c r="L21" s="358"/>
      <c r="M21" s="207">
        <v>805.40999999999985</v>
      </c>
      <c r="N21" s="207">
        <v>-89.34</v>
      </c>
      <c r="O21" s="207">
        <v>1050.9100000000001</v>
      </c>
      <c r="P21" s="207">
        <v>233.01</v>
      </c>
      <c r="Q21" s="207">
        <v>0.06</v>
      </c>
      <c r="R21" s="207">
        <v>29.720000000000002</v>
      </c>
      <c r="S21" s="207">
        <v>0</v>
      </c>
      <c r="T21" s="207">
        <v>0</v>
      </c>
      <c r="U21" s="207">
        <v>0.05</v>
      </c>
      <c r="V21" s="358"/>
      <c r="W21" s="383">
        <v>805.40999999999985</v>
      </c>
      <c r="X21" s="383">
        <v>-89.34</v>
      </c>
      <c r="Y21" s="383">
        <v>1050.9100000000001</v>
      </c>
      <c r="Z21" s="383">
        <v>233.01</v>
      </c>
      <c r="AA21" s="383">
        <v>0.06</v>
      </c>
      <c r="AB21" s="383">
        <v>29.720000000000002</v>
      </c>
      <c r="AC21" s="383">
        <v>0</v>
      </c>
      <c r="AD21" s="383">
        <v>0</v>
      </c>
      <c r="AE21" s="383">
        <v>0.05</v>
      </c>
      <c r="AF21" s="416">
        <f t="shared" si="0"/>
        <v>2029.82</v>
      </c>
      <c r="AG21" s="417">
        <f t="shared" si="1"/>
        <v>3.4600000000000001E-4</v>
      </c>
      <c r="AH21" s="418">
        <f>+AG21*'OH adj'!$G$28</f>
        <v>61.359539625399485</v>
      </c>
      <c r="AI21" s="358"/>
    </row>
    <row r="22" spans="1:35" x14ac:dyDescent="0.25">
      <c r="A22" s="358">
        <f t="shared" si="2"/>
        <v>9</v>
      </c>
      <c r="B22" s="381">
        <v>107265</v>
      </c>
      <c r="C22" s="383">
        <v>69.56</v>
      </c>
      <c r="D22" s="383">
        <v>17.22</v>
      </c>
      <c r="E22" s="383">
        <v>74.12</v>
      </c>
      <c r="F22" s="383">
        <v>24.92</v>
      </c>
      <c r="G22" s="383">
        <v>8.0500000000000007</v>
      </c>
      <c r="H22" s="383">
        <v>1.86</v>
      </c>
      <c r="I22" s="383">
        <v>0</v>
      </c>
      <c r="J22" s="383">
        <v>0</v>
      </c>
      <c r="K22" s="383">
        <v>0</v>
      </c>
      <c r="L22" s="358"/>
      <c r="M22" s="207">
        <v>69.56</v>
      </c>
      <c r="N22" s="207">
        <v>17.22</v>
      </c>
      <c r="O22" s="207">
        <v>74.12</v>
      </c>
      <c r="P22" s="207">
        <v>24.92</v>
      </c>
      <c r="Q22" s="207">
        <v>8.0500000000000007</v>
      </c>
      <c r="R22" s="207">
        <v>1.86</v>
      </c>
      <c r="S22" s="207">
        <v>0</v>
      </c>
      <c r="T22" s="207">
        <v>0</v>
      </c>
      <c r="U22" s="207">
        <v>0</v>
      </c>
      <c r="V22" s="358"/>
      <c r="W22" s="383">
        <v>69.56</v>
      </c>
      <c r="X22" s="383">
        <v>17.22</v>
      </c>
      <c r="Y22" s="383">
        <v>74.12</v>
      </c>
      <c r="Z22" s="383">
        <v>24.92</v>
      </c>
      <c r="AA22" s="383">
        <v>8.0500000000000007</v>
      </c>
      <c r="AB22" s="383">
        <v>1.86</v>
      </c>
      <c r="AC22" s="383">
        <v>0</v>
      </c>
      <c r="AD22" s="383">
        <v>0</v>
      </c>
      <c r="AE22" s="383">
        <v>0</v>
      </c>
      <c r="AF22" s="416">
        <f t="shared" si="0"/>
        <v>195.73000000000002</v>
      </c>
      <c r="AG22" s="417">
        <f t="shared" si="1"/>
        <v>3.3000000000000003E-5</v>
      </c>
      <c r="AH22" s="418">
        <f>+AG22*'OH adj'!$G$28</f>
        <v>5.8522104266999513</v>
      </c>
      <c r="AI22" s="358"/>
    </row>
    <row r="23" spans="1:35" hidden="1" x14ac:dyDescent="0.25">
      <c r="A23" s="358">
        <f t="shared" si="2"/>
        <v>10</v>
      </c>
      <c r="B23" s="381">
        <v>107270</v>
      </c>
      <c r="C23" s="383">
        <v>0</v>
      </c>
      <c r="D23" s="383">
        <v>0</v>
      </c>
      <c r="E23" s="383">
        <v>0</v>
      </c>
      <c r="F23" s="383">
        <v>0</v>
      </c>
      <c r="G23" s="383">
        <v>0</v>
      </c>
      <c r="H23" s="383">
        <v>0</v>
      </c>
      <c r="I23" s="383">
        <v>0</v>
      </c>
      <c r="J23" s="383">
        <v>0</v>
      </c>
      <c r="K23" s="383">
        <v>0</v>
      </c>
      <c r="L23" s="358"/>
      <c r="M23" s="207">
        <v>0</v>
      </c>
      <c r="N23" s="207">
        <v>0</v>
      </c>
      <c r="O23" s="207">
        <v>0</v>
      </c>
      <c r="P23" s="207">
        <v>0</v>
      </c>
      <c r="Q23" s="207">
        <v>0</v>
      </c>
      <c r="R23" s="207">
        <v>0</v>
      </c>
      <c r="S23" s="207">
        <v>0</v>
      </c>
      <c r="T23" s="207">
        <v>0</v>
      </c>
      <c r="U23" s="207">
        <v>0</v>
      </c>
      <c r="V23" s="358"/>
      <c r="W23" s="383">
        <v>0</v>
      </c>
      <c r="X23" s="383">
        <v>0</v>
      </c>
      <c r="Y23" s="383">
        <v>0</v>
      </c>
      <c r="Z23" s="383">
        <v>0</v>
      </c>
      <c r="AA23" s="383">
        <v>0</v>
      </c>
      <c r="AB23" s="383">
        <v>0</v>
      </c>
      <c r="AC23" s="383">
        <v>0</v>
      </c>
      <c r="AD23" s="383">
        <v>0</v>
      </c>
      <c r="AE23" s="383">
        <v>0</v>
      </c>
      <c r="AF23" s="416">
        <f t="shared" si="0"/>
        <v>0</v>
      </c>
      <c r="AG23" s="417">
        <f t="shared" si="1"/>
        <v>0</v>
      </c>
      <c r="AH23" s="418">
        <f>+AG23*'OH adj'!$G$28</f>
        <v>0</v>
      </c>
      <c r="AI23" s="358"/>
    </row>
    <row r="24" spans="1:35" hidden="1" x14ac:dyDescent="0.25">
      <c r="A24" s="358">
        <f t="shared" si="2"/>
        <v>11</v>
      </c>
      <c r="B24" s="381">
        <v>107275</v>
      </c>
      <c r="C24" s="383">
        <v>0</v>
      </c>
      <c r="D24" s="383">
        <v>0</v>
      </c>
      <c r="E24" s="383">
        <v>0</v>
      </c>
      <c r="F24" s="383">
        <v>0</v>
      </c>
      <c r="G24" s="383">
        <v>0</v>
      </c>
      <c r="H24" s="383">
        <v>0</v>
      </c>
      <c r="I24" s="383">
        <v>0</v>
      </c>
      <c r="J24" s="383">
        <v>0</v>
      </c>
      <c r="K24" s="383">
        <v>0</v>
      </c>
      <c r="L24" s="358"/>
      <c r="M24" s="207">
        <v>0</v>
      </c>
      <c r="N24" s="207">
        <v>0</v>
      </c>
      <c r="O24" s="207">
        <v>0</v>
      </c>
      <c r="P24" s="207">
        <v>0</v>
      </c>
      <c r="Q24" s="207">
        <v>0</v>
      </c>
      <c r="R24" s="207">
        <v>0</v>
      </c>
      <c r="S24" s="207">
        <v>0</v>
      </c>
      <c r="T24" s="207">
        <v>0</v>
      </c>
      <c r="U24" s="207">
        <v>0</v>
      </c>
      <c r="V24" s="358"/>
      <c r="W24" s="383">
        <v>0</v>
      </c>
      <c r="X24" s="383">
        <v>0</v>
      </c>
      <c r="Y24" s="383">
        <v>0</v>
      </c>
      <c r="Z24" s="383">
        <v>0</v>
      </c>
      <c r="AA24" s="383">
        <v>0</v>
      </c>
      <c r="AB24" s="383">
        <v>0</v>
      </c>
      <c r="AC24" s="383">
        <v>0</v>
      </c>
      <c r="AD24" s="383">
        <v>0</v>
      </c>
      <c r="AE24" s="383">
        <v>0</v>
      </c>
      <c r="AF24" s="416">
        <f t="shared" si="0"/>
        <v>0</v>
      </c>
      <c r="AG24" s="417">
        <f t="shared" si="1"/>
        <v>0</v>
      </c>
      <c r="AH24" s="418">
        <f>+AG24*'OH adj'!$G$28</f>
        <v>0</v>
      </c>
      <c r="AI24" s="358"/>
    </row>
    <row r="25" spans="1:35" hidden="1" x14ac:dyDescent="0.25">
      <c r="A25" s="358">
        <f t="shared" si="2"/>
        <v>12</v>
      </c>
      <c r="B25" s="381">
        <v>107280</v>
      </c>
      <c r="C25" s="383">
        <v>0</v>
      </c>
      <c r="D25" s="383">
        <v>0</v>
      </c>
      <c r="E25" s="383">
        <v>0</v>
      </c>
      <c r="F25" s="383">
        <v>0</v>
      </c>
      <c r="G25" s="383">
        <v>0</v>
      </c>
      <c r="H25" s="383">
        <v>0</v>
      </c>
      <c r="I25" s="383">
        <v>0</v>
      </c>
      <c r="J25" s="383">
        <v>0</v>
      </c>
      <c r="K25" s="383">
        <v>0</v>
      </c>
      <c r="L25" s="358"/>
      <c r="M25" s="207">
        <v>0</v>
      </c>
      <c r="N25" s="207">
        <v>0</v>
      </c>
      <c r="O25" s="207">
        <v>0</v>
      </c>
      <c r="P25" s="207">
        <v>0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358"/>
      <c r="W25" s="383">
        <v>0</v>
      </c>
      <c r="X25" s="383">
        <v>0</v>
      </c>
      <c r="Y25" s="383">
        <v>0</v>
      </c>
      <c r="Z25" s="383">
        <v>0</v>
      </c>
      <c r="AA25" s="383">
        <v>0</v>
      </c>
      <c r="AB25" s="383">
        <v>0</v>
      </c>
      <c r="AC25" s="383">
        <v>0</v>
      </c>
      <c r="AD25" s="383">
        <v>0</v>
      </c>
      <c r="AE25" s="383">
        <v>0</v>
      </c>
      <c r="AF25" s="416">
        <f t="shared" si="0"/>
        <v>0</v>
      </c>
      <c r="AG25" s="417">
        <f t="shared" si="1"/>
        <v>0</v>
      </c>
      <c r="AH25" s="418">
        <f>+AG25*'OH adj'!$G$28</f>
        <v>0</v>
      </c>
      <c r="AI25" s="358"/>
    </row>
    <row r="26" spans="1:35" x14ac:dyDescent="0.25">
      <c r="A26" s="358">
        <f t="shared" si="2"/>
        <v>13</v>
      </c>
      <c r="B26" s="381">
        <v>107285</v>
      </c>
      <c r="C26" s="383">
        <v>1309.6199999999997</v>
      </c>
      <c r="D26" s="383">
        <v>250.51</v>
      </c>
      <c r="E26" s="383">
        <v>1198.03</v>
      </c>
      <c r="F26" s="383">
        <v>379.90999999999997</v>
      </c>
      <c r="G26" s="383">
        <v>114.93</v>
      </c>
      <c r="H26" s="383">
        <v>27.99</v>
      </c>
      <c r="I26" s="383">
        <v>0</v>
      </c>
      <c r="J26" s="383">
        <v>0</v>
      </c>
      <c r="K26" s="383">
        <v>0.88000000000000012</v>
      </c>
      <c r="L26" s="358"/>
      <c r="M26" s="207">
        <v>1311.0399999999997</v>
      </c>
      <c r="N26" s="207">
        <v>250.88</v>
      </c>
      <c r="O26" s="207">
        <v>1199.79</v>
      </c>
      <c r="P26" s="207">
        <v>380.55999999999995</v>
      </c>
      <c r="Q26" s="207">
        <v>115.14</v>
      </c>
      <c r="R26" s="207">
        <v>28.04</v>
      </c>
      <c r="S26" s="207">
        <v>0.01</v>
      </c>
      <c r="T26" s="207">
        <v>0.01</v>
      </c>
      <c r="U26" s="207">
        <v>0.88000000000000012</v>
      </c>
      <c r="V26" s="358"/>
      <c r="W26" s="383">
        <v>1311.0399999999997</v>
      </c>
      <c r="X26" s="383">
        <v>250.88</v>
      </c>
      <c r="Y26" s="383">
        <v>1199.79</v>
      </c>
      <c r="Z26" s="383">
        <v>380.55999999999995</v>
      </c>
      <c r="AA26" s="383">
        <v>115.14</v>
      </c>
      <c r="AB26" s="383">
        <v>28.04</v>
      </c>
      <c r="AC26" s="383">
        <v>0.01</v>
      </c>
      <c r="AD26" s="383">
        <v>0.01</v>
      </c>
      <c r="AE26" s="383">
        <v>0.88000000000000012</v>
      </c>
      <c r="AF26" s="416">
        <f t="shared" si="0"/>
        <v>3286.35</v>
      </c>
      <c r="AG26" s="417">
        <f t="shared" si="1"/>
        <v>5.5999999999999995E-4</v>
      </c>
      <c r="AH26" s="418">
        <f>+AG26*'OH adj'!$G$28</f>
        <v>99.31023754399915</v>
      </c>
      <c r="AI26" s="358"/>
    </row>
    <row r="27" spans="1:35" x14ac:dyDescent="0.25">
      <c r="A27" s="358">
        <f t="shared" si="2"/>
        <v>14</v>
      </c>
      <c r="B27" s="381">
        <v>107295</v>
      </c>
      <c r="C27" s="383">
        <v>5813.42</v>
      </c>
      <c r="D27" s="383">
        <v>1039.8399999999999</v>
      </c>
      <c r="E27" s="383">
        <v>5810.91</v>
      </c>
      <c r="F27" s="383">
        <v>1850.0600000000002</v>
      </c>
      <c r="G27" s="383">
        <v>578.30999999999995</v>
      </c>
      <c r="H27" s="383">
        <v>141.85</v>
      </c>
      <c r="I27" s="383">
        <v>0</v>
      </c>
      <c r="J27" s="383">
        <v>0</v>
      </c>
      <c r="K27" s="383">
        <v>9.0399999999999991</v>
      </c>
      <c r="L27" s="358"/>
      <c r="M27" s="207">
        <v>5823.32</v>
      </c>
      <c r="N27" s="207">
        <v>1042.3799999999999</v>
      </c>
      <c r="O27" s="207">
        <v>5823.13</v>
      </c>
      <c r="P27" s="207">
        <v>1854.5500000000002</v>
      </c>
      <c r="Q27" s="207">
        <v>579.75</v>
      </c>
      <c r="R27" s="207">
        <v>142.16999999999999</v>
      </c>
      <c r="S27" s="207">
        <v>0.08</v>
      </c>
      <c r="T27" s="207">
        <v>0.1</v>
      </c>
      <c r="U27" s="207">
        <v>9.0499999999999989</v>
      </c>
      <c r="V27" s="358"/>
      <c r="W27" s="383">
        <v>5823.32</v>
      </c>
      <c r="X27" s="383">
        <v>1042.3799999999999</v>
      </c>
      <c r="Y27" s="383">
        <v>5823.13</v>
      </c>
      <c r="Z27" s="383">
        <v>1854.5500000000002</v>
      </c>
      <c r="AA27" s="383">
        <v>579.75</v>
      </c>
      <c r="AB27" s="383">
        <v>142.16999999999999</v>
      </c>
      <c r="AC27" s="383">
        <v>0.08</v>
      </c>
      <c r="AD27" s="383">
        <v>0.1</v>
      </c>
      <c r="AE27" s="383">
        <v>9.0499999999999989</v>
      </c>
      <c r="AF27" s="416">
        <f t="shared" si="0"/>
        <v>15274.53</v>
      </c>
      <c r="AG27" s="417">
        <f t="shared" si="1"/>
        <v>2.6020000000000001E-3</v>
      </c>
      <c r="AH27" s="418">
        <f>+AG27*'OH adj'!$G$28</f>
        <v>461.43792515979612</v>
      </c>
      <c r="AI27" s="358"/>
    </row>
    <row r="28" spans="1:35" hidden="1" x14ac:dyDescent="0.25">
      <c r="A28" s="358">
        <f t="shared" si="2"/>
        <v>15</v>
      </c>
      <c r="B28" s="381">
        <v>107400</v>
      </c>
      <c r="C28" s="383">
        <v>0</v>
      </c>
      <c r="D28" s="383">
        <v>0</v>
      </c>
      <c r="E28" s="383">
        <v>0</v>
      </c>
      <c r="F28" s="383">
        <v>0</v>
      </c>
      <c r="G28" s="383">
        <v>0</v>
      </c>
      <c r="H28" s="383">
        <v>0</v>
      </c>
      <c r="I28" s="383">
        <v>0</v>
      </c>
      <c r="J28" s="383">
        <v>0</v>
      </c>
      <c r="K28" s="383">
        <v>0</v>
      </c>
      <c r="L28" s="358"/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358"/>
      <c r="W28" s="383">
        <v>0</v>
      </c>
      <c r="X28" s="383">
        <v>0</v>
      </c>
      <c r="Y28" s="383">
        <v>0</v>
      </c>
      <c r="Z28" s="383">
        <v>0</v>
      </c>
      <c r="AA28" s="383">
        <v>0</v>
      </c>
      <c r="AB28" s="383">
        <v>0</v>
      </c>
      <c r="AC28" s="383">
        <v>0</v>
      </c>
      <c r="AD28" s="383">
        <v>0</v>
      </c>
      <c r="AE28" s="383">
        <v>0</v>
      </c>
      <c r="AF28" s="416">
        <f t="shared" si="0"/>
        <v>0</v>
      </c>
      <c r="AG28" s="417">
        <f t="shared" si="1"/>
        <v>0</v>
      </c>
      <c r="AH28" s="418">
        <f>+AG28*'OH adj'!$G$28</f>
        <v>0</v>
      </c>
      <c r="AI28" s="358"/>
    </row>
    <row r="29" spans="1:35" x14ac:dyDescent="0.25">
      <c r="A29" s="358">
        <f t="shared" si="2"/>
        <v>16</v>
      </c>
      <c r="B29" s="381">
        <v>107500</v>
      </c>
      <c r="C29" s="383">
        <v>30291.07</v>
      </c>
      <c r="D29" s="383">
        <v>4751.53</v>
      </c>
      <c r="E29" s="383">
        <v>25863.449999999997</v>
      </c>
      <c r="F29" s="383">
        <v>9100.1500000000015</v>
      </c>
      <c r="G29" s="383">
        <v>2948.37</v>
      </c>
      <c r="H29" s="383">
        <v>657.35</v>
      </c>
      <c r="I29" s="383">
        <v>310.39999999999992</v>
      </c>
      <c r="J29" s="383">
        <v>319.42</v>
      </c>
      <c r="K29" s="383">
        <v>26.08</v>
      </c>
      <c r="L29" s="358"/>
      <c r="M29" s="207">
        <v>30318.87</v>
      </c>
      <c r="N29" s="207">
        <v>4758.67</v>
      </c>
      <c r="O29" s="207">
        <v>25897.769999999997</v>
      </c>
      <c r="P29" s="207">
        <v>9112.7500000000018</v>
      </c>
      <c r="Q29" s="207">
        <v>2952.4</v>
      </c>
      <c r="R29" s="207">
        <v>658.25</v>
      </c>
      <c r="S29" s="207">
        <v>310.6099999999999</v>
      </c>
      <c r="T29" s="207">
        <v>319.69</v>
      </c>
      <c r="U29" s="207">
        <v>26.099999999999998</v>
      </c>
      <c r="V29" s="358"/>
      <c r="W29" s="383">
        <v>30318.87</v>
      </c>
      <c r="X29" s="383">
        <v>4758.67</v>
      </c>
      <c r="Y29" s="383">
        <v>25897.769999999997</v>
      </c>
      <c r="Z29" s="383">
        <v>9112.7500000000018</v>
      </c>
      <c r="AA29" s="383">
        <v>2952.4</v>
      </c>
      <c r="AB29" s="383">
        <v>658.25</v>
      </c>
      <c r="AC29" s="383">
        <v>310.6099999999999</v>
      </c>
      <c r="AD29" s="383">
        <v>319.69</v>
      </c>
      <c r="AE29" s="383">
        <v>26.099999999999998</v>
      </c>
      <c r="AF29" s="416">
        <f t="shared" si="0"/>
        <v>74355.11</v>
      </c>
      <c r="AG29" s="417">
        <f t="shared" si="1"/>
        <v>1.2664999999999999E-2</v>
      </c>
      <c r="AH29" s="418">
        <f>+AG29*'OH adj'!$G$28</f>
        <v>2246.0074258834811</v>
      </c>
      <c r="AI29" s="358"/>
    </row>
    <row r="30" spans="1:35" x14ac:dyDescent="0.25">
      <c r="A30" s="358">
        <f t="shared" si="2"/>
        <v>17</v>
      </c>
      <c r="B30" s="208">
        <v>108800</v>
      </c>
      <c r="C30" s="383">
        <v>71873.930000000008</v>
      </c>
      <c r="D30" s="383">
        <v>12541.789999999999</v>
      </c>
      <c r="E30" s="383">
        <v>66844.430000000008</v>
      </c>
      <c r="F30" s="383">
        <v>23818.73</v>
      </c>
      <c r="G30" s="383">
        <v>6845.41</v>
      </c>
      <c r="H30" s="383">
        <v>1544.8500000000004</v>
      </c>
      <c r="I30" s="383">
        <v>478.71999999999997</v>
      </c>
      <c r="J30" s="383">
        <v>607.04</v>
      </c>
      <c r="K30" s="383">
        <v>48.55</v>
      </c>
      <c r="L30" s="358"/>
      <c r="M30" s="207">
        <v>72357.61</v>
      </c>
      <c r="N30" s="207">
        <v>12665.929999999998</v>
      </c>
      <c r="O30" s="207">
        <v>67441.52</v>
      </c>
      <c r="P30" s="207">
        <v>24038</v>
      </c>
      <c r="Q30" s="207">
        <v>6915.53</v>
      </c>
      <c r="R30" s="207">
        <v>1560.4500000000003</v>
      </c>
      <c r="S30" s="207">
        <v>482.42999999999995</v>
      </c>
      <c r="T30" s="207">
        <v>611.73</v>
      </c>
      <c r="U30" s="207">
        <v>48.82</v>
      </c>
      <c r="V30" s="358"/>
      <c r="W30" s="383">
        <v>72357.61</v>
      </c>
      <c r="X30" s="383">
        <v>12665.929999999998</v>
      </c>
      <c r="Y30" s="383">
        <v>67441.52</v>
      </c>
      <c r="Z30" s="383">
        <v>24038</v>
      </c>
      <c r="AA30" s="383">
        <v>6915.53</v>
      </c>
      <c r="AB30" s="383">
        <v>1560.4500000000003</v>
      </c>
      <c r="AC30" s="383">
        <v>482.42999999999995</v>
      </c>
      <c r="AD30" s="383">
        <v>611.73</v>
      </c>
      <c r="AE30" s="383">
        <v>48.82</v>
      </c>
      <c r="AF30" s="416">
        <f t="shared" si="0"/>
        <v>186122.02000000002</v>
      </c>
      <c r="AG30" s="417">
        <f t="shared" si="1"/>
        <v>3.1701E-2</v>
      </c>
      <c r="AH30" s="418">
        <f>+AG30*'OH adj'!$G$28</f>
        <v>5621.8461435398522</v>
      </c>
      <c r="AI30" s="358"/>
    </row>
    <row r="31" spans="1:35" x14ac:dyDescent="0.25">
      <c r="A31" s="358">
        <f t="shared" si="2"/>
        <v>18</v>
      </c>
      <c r="B31" s="208">
        <v>108810</v>
      </c>
      <c r="C31" s="383">
        <v>83.249999999999986</v>
      </c>
      <c r="D31" s="383">
        <v>12.64</v>
      </c>
      <c r="E31" s="383">
        <v>68.64</v>
      </c>
      <c r="F31" s="383">
        <v>24.499999999999996</v>
      </c>
      <c r="G31" s="383">
        <v>0</v>
      </c>
      <c r="H31" s="383">
        <v>0.78</v>
      </c>
      <c r="I31" s="383">
        <v>0.33999999999999997</v>
      </c>
      <c r="J31" s="383">
        <v>0.42000000000000004</v>
      </c>
      <c r="K31" s="383">
        <v>0.02</v>
      </c>
      <c r="L31" s="358"/>
      <c r="M31" s="207">
        <v>83.249999999999986</v>
      </c>
      <c r="N31" s="207">
        <v>12.64</v>
      </c>
      <c r="O31" s="207">
        <v>68.64</v>
      </c>
      <c r="P31" s="207">
        <v>24.499999999999996</v>
      </c>
      <c r="Q31" s="207">
        <v>0</v>
      </c>
      <c r="R31" s="207">
        <v>0.78</v>
      </c>
      <c r="S31" s="207">
        <v>0.33999999999999997</v>
      </c>
      <c r="T31" s="207">
        <v>0.42000000000000004</v>
      </c>
      <c r="U31" s="207">
        <v>0.02</v>
      </c>
      <c r="V31" s="358"/>
      <c r="W31" s="383">
        <v>83.249999999999986</v>
      </c>
      <c r="X31" s="383">
        <v>12.64</v>
      </c>
      <c r="Y31" s="383">
        <v>68.64</v>
      </c>
      <c r="Z31" s="383">
        <v>24.499999999999996</v>
      </c>
      <c r="AA31" s="383">
        <v>0</v>
      </c>
      <c r="AB31" s="383">
        <v>0.78</v>
      </c>
      <c r="AC31" s="383">
        <v>0.33999999999999997</v>
      </c>
      <c r="AD31" s="383">
        <v>0.42000000000000004</v>
      </c>
      <c r="AE31" s="383">
        <v>0.02</v>
      </c>
      <c r="AF31" s="416">
        <f t="shared" si="0"/>
        <v>190.58999999999997</v>
      </c>
      <c r="AG31" s="417">
        <f t="shared" si="1"/>
        <v>3.1999999999999999E-5</v>
      </c>
      <c r="AH31" s="418">
        <f>+AG31*'OH adj'!$G$28</f>
        <v>5.6748707167999521</v>
      </c>
      <c r="AI31" s="358"/>
    </row>
    <row r="32" spans="1:35" x14ac:dyDescent="0.25">
      <c r="A32" s="358">
        <f t="shared" si="2"/>
        <v>19</v>
      </c>
      <c r="B32" s="208">
        <v>142200</v>
      </c>
      <c r="C32" s="383">
        <v>1048.4399999999998</v>
      </c>
      <c r="D32" s="383">
        <v>393.36</v>
      </c>
      <c r="E32" s="383">
        <v>858.27</v>
      </c>
      <c r="F32" s="383">
        <v>555.49</v>
      </c>
      <c r="G32" s="383">
        <v>0</v>
      </c>
      <c r="H32" s="383">
        <v>0</v>
      </c>
      <c r="I32" s="383">
        <v>0</v>
      </c>
      <c r="J32" s="383">
        <v>0</v>
      </c>
      <c r="K32" s="383">
        <v>0</v>
      </c>
      <c r="L32" s="358"/>
      <c r="M32" s="207">
        <v>1048.4399999999998</v>
      </c>
      <c r="N32" s="207">
        <v>393.36</v>
      </c>
      <c r="O32" s="207">
        <v>858.27</v>
      </c>
      <c r="P32" s="207">
        <v>555.49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358"/>
      <c r="W32" s="383">
        <v>1048.4399999999998</v>
      </c>
      <c r="X32" s="383">
        <v>393.36</v>
      </c>
      <c r="Y32" s="383">
        <v>858.27</v>
      </c>
      <c r="Z32" s="383">
        <v>555.49</v>
      </c>
      <c r="AA32" s="383">
        <v>0</v>
      </c>
      <c r="AB32" s="383">
        <v>0</v>
      </c>
      <c r="AC32" s="383">
        <v>0</v>
      </c>
      <c r="AD32" s="383">
        <v>0</v>
      </c>
      <c r="AE32" s="383">
        <v>0</v>
      </c>
      <c r="AF32" s="416">
        <f t="shared" si="0"/>
        <v>2855.5599999999995</v>
      </c>
      <c r="AG32" s="417">
        <f t="shared" si="1"/>
        <v>4.86E-4</v>
      </c>
      <c r="AH32" s="418">
        <f>+AG32*'OH adj'!$G$28</f>
        <v>86.187099011399269</v>
      </c>
      <c r="AI32" s="358"/>
    </row>
    <row r="33" spans="1:35" s="209" customFormat="1" x14ac:dyDescent="0.25">
      <c r="A33" s="358">
        <f t="shared" si="2"/>
        <v>20</v>
      </c>
      <c r="B33" s="208">
        <v>143000</v>
      </c>
      <c r="C33" s="383">
        <v>18.71</v>
      </c>
      <c r="D33" s="383">
        <v>4.37</v>
      </c>
      <c r="E33" s="383">
        <v>12.81</v>
      </c>
      <c r="F33" s="383">
        <v>4.33</v>
      </c>
      <c r="G33" s="383">
        <v>0</v>
      </c>
      <c r="H33" s="383">
        <v>0</v>
      </c>
      <c r="I33" s="383">
        <v>0</v>
      </c>
      <c r="J33" s="383">
        <v>0</v>
      </c>
      <c r="K33" s="383">
        <v>0</v>
      </c>
      <c r="L33" s="358"/>
      <c r="M33" s="207">
        <v>18.71</v>
      </c>
      <c r="N33" s="207">
        <v>4.37</v>
      </c>
      <c r="O33" s="207">
        <v>12.81</v>
      </c>
      <c r="P33" s="207">
        <v>4.33</v>
      </c>
      <c r="Q33" s="207">
        <v>0</v>
      </c>
      <c r="R33" s="207">
        <v>0</v>
      </c>
      <c r="S33" s="207">
        <v>0</v>
      </c>
      <c r="T33" s="207">
        <v>0</v>
      </c>
      <c r="U33" s="207">
        <v>0</v>
      </c>
      <c r="V33" s="358"/>
      <c r="W33" s="383">
        <v>18.71</v>
      </c>
      <c r="X33" s="383">
        <v>4.37</v>
      </c>
      <c r="Y33" s="383">
        <v>12.81</v>
      </c>
      <c r="Z33" s="383">
        <v>4.33</v>
      </c>
      <c r="AA33" s="383">
        <v>0</v>
      </c>
      <c r="AB33" s="383">
        <v>0</v>
      </c>
      <c r="AC33" s="383">
        <v>0</v>
      </c>
      <c r="AD33" s="383">
        <v>0</v>
      </c>
      <c r="AE33" s="383">
        <v>0</v>
      </c>
      <c r="AF33" s="416">
        <f t="shared" si="0"/>
        <v>40.22</v>
      </c>
      <c r="AG33" s="417">
        <f t="shared" si="1"/>
        <v>6.9999999999999999E-6</v>
      </c>
      <c r="AH33" s="418">
        <f>+AG33*'OH adj'!$G$28</f>
        <v>1.2413779692999896</v>
      </c>
    </row>
    <row r="34" spans="1:35" hidden="1" x14ac:dyDescent="0.25">
      <c r="A34" s="358">
        <f t="shared" si="2"/>
        <v>21</v>
      </c>
      <c r="B34" s="208">
        <v>143100</v>
      </c>
      <c r="C34" s="383">
        <v>0</v>
      </c>
      <c r="D34" s="383">
        <v>0</v>
      </c>
      <c r="E34" s="383">
        <v>0</v>
      </c>
      <c r="F34" s="383">
        <v>0</v>
      </c>
      <c r="G34" s="383">
        <v>0</v>
      </c>
      <c r="H34" s="383">
        <v>0</v>
      </c>
      <c r="I34" s="383">
        <v>0</v>
      </c>
      <c r="J34" s="383">
        <v>0</v>
      </c>
      <c r="K34" s="383">
        <v>0</v>
      </c>
      <c r="L34" s="358"/>
      <c r="M34" s="207">
        <v>0</v>
      </c>
      <c r="N34" s="207">
        <v>0</v>
      </c>
      <c r="O34" s="207">
        <v>0</v>
      </c>
      <c r="P34" s="207">
        <v>0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358"/>
      <c r="W34" s="383">
        <v>0</v>
      </c>
      <c r="X34" s="383">
        <v>0</v>
      </c>
      <c r="Y34" s="383">
        <v>0</v>
      </c>
      <c r="Z34" s="383">
        <v>0</v>
      </c>
      <c r="AA34" s="383">
        <v>0</v>
      </c>
      <c r="AB34" s="383">
        <v>0</v>
      </c>
      <c r="AC34" s="383">
        <v>0</v>
      </c>
      <c r="AD34" s="383">
        <v>0</v>
      </c>
      <c r="AE34" s="383">
        <v>0</v>
      </c>
      <c r="AF34" s="416">
        <f t="shared" si="0"/>
        <v>0</v>
      </c>
      <c r="AG34" s="417">
        <f t="shared" si="1"/>
        <v>0</v>
      </c>
      <c r="AH34" s="418">
        <f>+AG34*'OH adj'!$G$28</f>
        <v>0</v>
      </c>
      <c r="AI34" s="358"/>
    </row>
    <row r="35" spans="1:35" x14ac:dyDescent="0.25">
      <c r="A35" s="358">
        <f t="shared" si="2"/>
        <v>22</v>
      </c>
      <c r="B35" s="208">
        <v>143600</v>
      </c>
      <c r="C35" s="383">
        <v>19.59</v>
      </c>
      <c r="D35" s="383">
        <v>0</v>
      </c>
      <c r="E35" s="383">
        <v>12.45</v>
      </c>
      <c r="F35" s="383">
        <v>5.38</v>
      </c>
      <c r="G35" s="383">
        <v>0</v>
      </c>
      <c r="H35" s="383">
        <v>0</v>
      </c>
      <c r="I35" s="383">
        <v>0</v>
      </c>
      <c r="J35" s="383">
        <v>0</v>
      </c>
      <c r="K35" s="383">
        <v>0</v>
      </c>
      <c r="L35" s="358"/>
      <c r="M35" s="207">
        <v>19.59</v>
      </c>
      <c r="N35" s="207">
        <v>0</v>
      </c>
      <c r="O35" s="207">
        <v>12.45</v>
      </c>
      <c r="P35" s="207">
        <v>5.38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358"/>
      <c r="W35" s="383">
        <v>19.59</v>
      </c>
      <c r="X35" s="383">
        <v>0</v>
      </c>
      <c r="Y35" s="383">
        <v>12.45</v>
      </c>
      <c r="Z35" s="383">
        <v>5.38</v>
      </c>
      <c r="AA35" s="383">
        <v>0</v>
      </c>
      <c r="AB35" s="383">
        <v>0</v>
      </c>
      <c r="AC35" s="383">
        <v>0</v>
      </c>
      <c r="AD35" s="383">
        <v>0</v>
      </c>
      <c r="AE35" s="383">
        <v>0</v>
      </c>
      <c r="AF35" s="416">
        <f t="shared" si="0"/>
        <v>37.42</v>
      </c>
      <c r="AG35" s="417">
        <f t="shared" si="1"/>
        <v>6.0000000000000002E-6</v>
      </c>
      <c r="AH35" s="418">
        <f>+AG35*'OH adj'!$G$28</f>
        <v>1.0640382593999911</v>
      </c>
      <c r="AI35" s="358"/>
    </row>
    <row r="36" spans="1:35" hidden="1" x14ac:dyDescent="0.25">
      <c r="A36" s="358">
        <f t="shared" si="2"/>
        <v>23</v>
      </c>
      <c r="B36" s="208">
        <v>146000</v>
      </c>
      <c r="C36" s="383">
        <v>0</v>
      </c>
      <c r="D36" s="383">
        <v>0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v>0</v>
      </c>
      <c r="L36" s="358"/>
      <c r="M36" s="207">
        <v>0</v>
      </c>
      <c r="N36" s="207">
        <v>0</v>
      </c>
      <c r="O36" s="207">
        <v>0</v>
      </c>
      <c r="P36" s="207">
        <v>0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358"/>
      <c r="W36" s="383">
        <v>0</v>
      </c>
      <c r="X36" s="383">
        <v>0</v>
      </c>
      <c r="Y36" s="383">
        <v>0</v>
      </c>
      <c r="Z36" s="383">
        <v>0</v>
      </c>
      <c r="AA36" s="383">
        <v>0</v>
      </c>
      <c r="AB36" s="383">
        <v>0</v>
      </c>
      <c r="AC36" s="383">
        <v>0</v>
      </c>
      <c r="AD36" s="383">
        <v>0</v>
      </c>
      <c r="AE36" s="383">
        <v>0</v>
      </c>
      <c r="AF36" s="416">
        <f t="shared" si="0"/>
        <v>0</v>
      </c>
      <c r="AG36" s="417">
        <f t="shared" si="1"/>
        <v>0</v>
      </c>
      <c r="AH36" s="418">
        <f>+AG36*'OH adj'!$G$28</f>
        <v>0</v>
      </c>
      <c r="AI36" s="358"/>
    </row>
    <row r="37" spans="1:35" x14ac:dyDescent="0.25">
      <c r="A37" s="358">
        <f t="shared" si="2"/>
        <v>24</v>
      </c>
      <c r="B37" s="208">
        <v>163000</v>
      </c>
      <c r="C37" s="383">
        <v>122942.27999999998</v>
      </c>
      <c r="D37" s="383">
        <v>17507.48</v>
      </c>
      <c r="E37" s="383">
        <v>108152.51000000001</v>
      </c>
      <c r="F37" s="383">
        <v>38979.609999999993</v>
      </c>
      <c r="G37" s="383">
        <v>10085.220000000001</v>
      </c>
      <c r="H37" s="383">
        <v>2702.67</v>
      </c>
      <c r="I37" s="383">
        <v>932.7700000000001</v>
      </c>
      <c r="J37" s="383">
        <v>1146.79</v>
      </c>
      <c r="K37" s="383">
        <v>84.36</v>
      </c>
      <c r="L37" s="358"/>
      <c r="M37" s="207">
        <v>122972.47999999998</v>
      </c>
      <c r="N37" s="207">
        <v>17515.23</v>
      </c>
      <c r="O37" s="207">
        <v>108189.79000000001</v>
      </c>
      <c r="P37" s="207">
        <v>38993.299999999996</v>
      </c>
      <c r="Q37" s="207">
        <v>10089.6</v>
      </c>
      <c r="R37" s="207">
        <v>2703.64</v>
      </c>
      <c r="S37" s="207">
        <v>933.00000000000011</v>
      </c>
      <c r="T37" s="207">
        <v>1147.08</v>
      </c>
      <c r="U37" s="207">
        <v>84.38</v>
      </c>
      <c r="V37" s="358"/>
      <c r="W37" s="383">
        <v>0</v>
      </c>
      <c r="X37" s="383">
        <v>0</v>
      </c>
      <c r="Y37" s="383">
        <v>0</v>
      </c>
      <c r="Z37" s="383">
        <v>0</v>
      </c>
      <c r="AA37" s="383">
        <v>0</v>
      </c>
      <c r="AB37" s="383">
        <v>0</v>
      </c>
      <c r="AC37" s="383">
        <v>0</v>
      </c>
      <c r="AD37" s="383">
        <v>0</v>
      </c>
      <c r="AE37" s="383">
        <v>0</v>
      </c>
      <c r="AF37" s="416">
        <f t="shared" si="0"/>
        <v>0</v>
      </c>
      <c r="AG37" s="417">
        <f t="shared" si="1"/>
        <v>0</v>
      </c>
      <c r="AH37" s="418">
        <f>+AG37*'OH adj'!$G$28</f>
        <v>0</v>
      </c>
      <c r="AI37" s="358"/>
    </row>
    <row r="38" spans="1:35" hidden="1" x14ac:dyDescent="0.25">
      <c r="A38" s="358">
        <f t="shared" si="2"/>
        <v>25</v>
      </c>
      <c r="B38" s="208">
        <v>163200</v>
      </c>
      <c r="C38" s="383">
        <v>0</v>
      </c>
      <c r="D38" s="383">
        <v>0</v>
      </c>
      <c r="E38" s="383">
        <v>0</v>
      </c>
      <c r="F38" s="383">
        <v>0</v>
      </c>
      <c r="G38" s="383">
        <v>0</v>
      </c>
      <c r="H38" s="383">
        <v>0</v>
      </c>
      <c r="I38" s="383">
        <v>0</v>
      </c>
      <c r="J38" s="383">
        <v>0</v>
      </c>
      <c r="K38" s="383">
        <v>0</v>
      </c>
      <c r="L38" s="358"/>
      <c r="M38" s="207">
        <v>0</v>
      </c>
      <c r="N38" s="207">
        <v>0</v>
      </c>
      <c r="O38" s="207">
        <v>0</v>
      </c>
      <c r="P38" s="207">
        <v>0</v>
      </c>
      <c r="Q38" s="207">
        <v>0</v>
      </c>
      <c r="R38" s="207">
        <v>0</v>
      </c>
      <c r="S38" s="207">
        <v>0</v>
      </c>
      <c r="T38" s="207">
        <v>0</v>
      </c>
      <c r="U38" s="207">
        <v>0</v>
      </c>
      <c r="V38" s="358"/>
      <c r="W38" s="383">
        <v>0</v>
      </c>
      <c r="X38" s="383">
        <v>0</v>
      </c>
      <c r="Y38" s="383">
        <v>0</v>
      </c>
      <c r="Z38" s="383">
        <v>0</v>
      </c>
      <c r="AA38" s="383">
        <v>0</v>
      </c>
      <c r="AB38" s="383">
        <v>0</v>
      </c>
      <c r="AC38" s="383">
        <v>0</v>
      </c>
      <c r="AD38" s="383">
        <v>0</v>
      </c>
      <c r="AE38" s="383">
        <v>0</v>
      </c>
      <c r="AF38" s="416">
        <f t="shared" si="0"/>
        <v>0</v>
      </c>
      <c r="AG38" s="417">
        <f t="shared" si="1"/>
        <v>0</v>
      </c>
      <c r="AH38" s="418">
        <f>+AG38*'OH adj'!$G$28</f>
        <v>0</v>
      </c>
      <c r="AI38" s="358"/>
    </row>
    <row r="39" spans="1:35" x14ac:dyDescent="0.25">
      <c r="A39" s="358">
        <f t="shared" si="2"/>
        <v>26</v>
      </c>
      <c r="B39" s="208">
        <v>183200</v>
      </c>
      <c r="C39" s="383">
        <v>1365.01</v>
      </c>
      <c r="D39" s="383">
        <v>193.83</v>
      </c>
      <c r="E39" s="383">
        <v>1291.5400000000002</v>
      </c>
      <c r="F39" s="383">
        <v>415.30999999999995</v>
      </c>
      <c r="G39" s="383">
        <v>126.21</v>
      </c>
      <c r="H39" s="383">
        <v>26.52</v>
      </c>
      <c r="I39" s="383">
        <v>0</v>
      </c>
      <c r="J39" s="383">
        <v>0.05</v>
      </c>
      <c r="K39" s="383">
        <v>0</v>
      </c>
      <c r="L39" s="358"/>
      <c r="M39" s="207">
        <v>1365.72</v>
      </c>
      <c r="N39" s="207">
        <v>194.01000000000002</v>
      </c>
      <c r="O39" s="207">
        <v>1292.4100000000001</v>
      </c>
      <c r="P39" s="207">
        <v>415.62999999999994</v>
      </c>
      <c r="Q39" s="207">
        <v>126.30999999999999</v>
      </c>
      <c r="R39" s="207">
        <v>26.54</v>
      </c>
      <c r="S39" s="207">
        <v>0.01</v>
      </c>
      <c r="T39" s="207">
        <v>6.0000000000000005E-2</v>
      </c>
      <c r="U39" s="207">
        <v>0</v>
      </c>
      <c r="V39" s="358"/>
      <c r="W39" s="383">
        <v>1365.72</v>
      </c>
      <c r="X39" s="383">
        <v>194.01000000000002</v>
      </c>
      <c r="Y39" s="383">
        <v>1292.4100000000001</v>
      </c>
      <c r="Z39" s="383">
        <v>415.62999999999994</v>
      </c>
      <c r="AA39" s="383">
        <v>126.30999999999999</v>
      </c>
      <c r="AB39" s="383">
        <v>26.54</v>
      </c>
      <c r="AC39" s="383">
        <v>0.01</v>
      </c>
      <c r="AD39" s="383">
        <v>6.0000000000000005E-2</v>
      </c>
      <c r="AE39" s="383">
        <v>0</v>
      </c>
      <c r="AF39" s="416">
        <f t="shared" si="0"/>
        <v>3420.6900000000005</v>
      </c>
      <c r="AG39" s="417">
        <f t="shared" si="1"/>
        <v>5.8299999999999997E-4</v>
      </c>
      <c r="AH39" s="418">
        <f>+AG39*'OH adj'!$G$28</f>
        <v>103.38905087169913</v>
      </c>
      <c r="AI39" s="358"/>
    </row>
    <row r="40" spans="1:35" x14ac:dyDescent="0.25">
      <c r="A40" s="358">
        <f t="shared" si="2"/>
        <v>27</v>
      </c>
      <c r="B40" s="208">
        <v>184100</v>
      </c>
      <c r="C40" s="383">
        <v>3830.6999999999994</v>
      </c>
      <c r="D40" s="383">
        <v>983.15</v>
      </c>
      <c r="E40" s="383">
        <v>4728.9400000000005</v>
      </c>
      <c r="F40" s="383">
        <v>1736.5899999999997</v>
      </c>
      <c r="G40" s="383">
        <v>555.34</v>
      </c>
      <c r="H40" s="383">
        <v>123.58000000000001</v>
      </c>
      <c r="I40" s="383">
        <v>29.38</v>
      </c>
      <c r="J40" s="383">
        <v>37.18</v>
      </c>
      <c r="K40" s="383">
        <v>2.16</v>
      </c>
      <c r="L40" s="358"/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7">
        <v>0</v>
      </c>
      <c r="V40" s="358"/>
      <c r="W40" s="383">
        <v>0</v>
      </c>
      <c r="X40" s="383">
        <v>0</v>
      </c>
      <c r="Y40" s="383">
        <v>0</v>
      </c>
      <c r="Z40" s="383">
        <v>0</v>
      </c>
      <c r="AA40" s="383">
        <v>0</v>
      </c>
      <c r="AB40" s="383">
        <v>0</v>
      </c>
      <c r="AC40" s="383">
        <v>0</v>
      </c>
      <c r="AD40" s="383">
        <v>0</v>
      </c>
      <c r="AE40" s="383">
        <v>0</v>
      </c>
      <c r="AF40" s="416">
        <f t="shared" si="0"/>
        <v>0</v>
      </c>
      <c r="AG40" s="417">
        <f t="shared" si="1"/>
        <v>0</v>
      </c>
      <c r="AH40" s="418">
        <f>+AG40*'OH adj'!$G$28</f>
        <v>0</v>
      </c>
      <c r="AI40" s="358"/>
    </row>
    <row r="41" spans="1:35" x14ac:dyDescent="0.25">
      <c r="A41" s="358">
        <f t="shared" si="2"/>
        <v>28</v>
      </c>
      <c r="B41" s="208">
        <v>416000</v>
      </c>
      <c r="C41" s="383">
        <v>208.16</v>
      </c>
      <c r="D41" s="383">
        <v>4.0000000000000036E-2</v>
      </c>
      <c r="E41" s="383">
        <v>119.28</v>
      </c>
      <c r="F41" s="383">
        <v>40.019999999999996</v>
      </c>
      <c r="G41" s="383">
        <v>2.04</v>
      </c>
      <c r="H41" s="383">
        <v>2.7700000000000005</v>
      </c>
      <c r="I41" s="383">
        <v>0.47</v>
      </c>
      <c r="J41" s="383">
        <v>0.72</v>
      </c>
      <c r="K41" s="383">
        <v>0.02</v>
      </c>
      <c r="L41" s="358"/>
      <c r="M41" s="207">
        <v>208.16</v>
      </c>
      <c r="N41" s="207">
        <v>4.0000000000000036E-2</v>
      </c>
      <c r="O41" s="207">
        <v>119.28</v>
      </c>
      <c r="P41" s="207">
        <v>40.019999999999996</v>
      </c>
      <c r="Q41" s="207">
        <v>2.04</v>
      </c>
      <c r="R41" s="207">
        <v>2.7700000000000005</v>
      </c>
      <c r="S41" s="207">
        <v>0.47</v>
      </c>
      <c r="T41" s="207">
        <v>0.72</v>
      </c>
      <c r="U41" s="207">
        <v>0.02</v>
      </c>
      <c r="V41" s="358"/>
      <c r="W41" s="383">
        <v>208.16</v>
      </c>
      <c r="X41" s="383">
        <v>4.0000000000000036E-2</v>
      </c>
      <c r="Y41" s="383">
        <v>119.28</v>
      </c>
      <c r="Z41" s="383">
        <v>40.019999999999996</v>
      </c>
      <c r="AA41" s="383">
        <v>2.04</v>
      </c>
      <c r="AB41" s="383">
        <v>2.7700000000000005</v>
      </c>
      <c r="AC41" s="383">
        <v>0.47</v>
      </c>
      <c r="AD41" s="383">
        <v>0.72</v>
      </c>
      <c r="AE41" s="383">
        <v>0.02</v>
      </c>
      <c r="AF41" s="416">
        <f t="shared" si="0"/>
        <v>373.52000000000004</v>
      </c>
      <c r="AG41" s="417">
        <f t="shared" si="1"/>
        <v>6.3999999999999997E-5</v>
      </c>
      <c r="AH41" s="418">
        <f>+AG41*'OH adj'!$G$28</f>
        <v>11.349741433599904</v>
      </c>
      <c r="AI41" s="358"/>
    </row>
    <row r="42" spans="1:35" hidden="1" x14ac:dyDescent="0.25">
      <c r="A42" s="358">
        <f t="shared" si="2"/>
        <v>29</v>
      </c>
      <c r="B42" s="208">
        <v>416100</v>
      </c>
      <c r="C42" s="383">
        <v>0</v>
      </c>
      <c r="D42" s="383">
        <v>0</v>
      </c>
      <c r="E42" s="383">
        <v>0</v>
      </c>
      <c r="F42" s="383">
        <v>0</v>
      </c>
      <c r="G42" s="383">
        <v>0</v>
      </c>
      <c r="H42" s="383">
        <v>0</v>
      </c>
      <c r="I42" s="383">
        <v>0</v>
      </c>
      <c r="J42" s="383">
        <v>0</v>
      </c>
      <c r="K42" s="383">
        <v>0</v>
      </c>
      <c r="L42" s="358"/>
      <c r="M42" s="207">
        <v>0</v>
      </c>
      <c r="N42" s="207">
        <v>0</v>
      </c>
      <c r="O42" s="207">
        <v>0</v>
      </c>
      <c r="P42" s="207">
        <v>0</v>
      </c>
      <c r="Q42" s="207">
        <v>0</v>
      </c>
      <c r="R42" s="207">
        <v>0</v>
      </c>
      <c r="S42" s="207">
        <v>0</v>
      </c>
      <c r="T42" s="207">
        <v>0</v>
      </c>
      <c r="U42" s="207">
        <v>0</v>
      </c>
      <c r="V42" s="358"/>
      <c r="W42" s="383">
        <v>0</v>
      </c>
      <c r="X42" s="383">
        <v>0</v>
      </c>
      <c r="Y42" s="383">
        <v>0</v>
      </c>
      <c r="Z42" s="383">
        <v>0</v>
      </c>
      <c r="AA42" s="383">
        <v>0</v>
      </c>
      <c r="AB42" s="383">
        <v>0</v>
      </c>
      <c r="AC42" s="383">
        <v>0</v>
      </c>
      <c r="AD42" s="383">
        <v>0</v>
      </c>
      <c r="AE42" s="383">
        <v>0</v>
      </c>
      <c r="AF42" s="416">
        <f t="shared" si="0"/>
        <v>0</v>
      </c>
      <c r="AG42" s="417">
        <f t="shared" si="1"/>
        <v>0</v>
      </c>
      <c r="AH42" s="418">
        <f>+AG42*'OH adj'!$G$28</f>
        <v>0</v>
      </c>
      <c r="AI42" s="358"/>
    </row>
    <row r="43" spans="1:35" hidden="1" x14ac:dyDescent="0.25">
      <c r="A43" s="358">
        <f t="shared" si="2"/>
        <v>30</v>
      </c>
      <c r="B43" s="208">
        <v>416600</v>
      </c>
      <c r="C43" s="383">
        <v>0</v>
      </c>
      <c r="D43" s="383">
        <v>0</v>
      </c>
      <c r="E43" s="383">
        <v>0</v>
      </c>
      <c r="F43" s="383">
        <v>0</v>
      </c>
      <c r="G43" s="383">
        <v>0</v>
      </c>
      <c r="H43" s="383">
        <v>0</v>
      </c>
      <c r="I43" s="383">
        <v>0</v>
      </c>
      <c r="J43" s="383">
        <v>0</v>
      </c>
      <c r="K43" s="383">
        <v>0</v>
      </c>
      <c r="L43" s="358"/>
      <c r="M43" s="207">
        <v>0</v>
      </c>
      <c r="N43" s="207">
        <v>0</v>
      </c>
      <c r="O43" s="207">
        <v>0</v>
      </c>
      <c r="P43" s="207">
        <v>0</v>
      </c>
      <c r="Q43" s="207">
        <v>0</v>
      </c>
      <c r="R43" s="207">
        <v>0</v>
      </c>
      <c r="S43" s="207">
        <v>0</v>
      </c>
      <c r="T43" s="207">
        <v>0</v>
      </c>
      <c r="U43" s="207">
        <v>0</v>
      </c>
      <c r="V43" s="358"/>
      <c r="W43" s="383">
        <v>0</v>
      </c>
      <c r="X43" s="383">
        <v>0</v>
      </c>
      <c r="Y43" s="383">
        <v>0</v>
      </c>
      <c r="Z43" s="383">
        <v>0</v>
      </c>
      <c r="AA43" s="383">
        <v>0</v>
      </c>
      <c r="AB43" s="383">
        <v>0</v>
      </c>
      <c r="AC43" s="383">
        <v>0</v>
      </c>
      <c r="AD43" s="383">
        <v>0</v>
      </c>
      <c r="AE43" s="383">
        <v>0</v>
      </c>
      <c r="AF43" s="416">
        <f t="shared" si="0"/>
        <v>0</v>
      </c>
      <c r="AG43" s="417">
        <f t="shared" si="1"/>
        <v>0</v>
      </c>
      <c r="AH43" s="418">
        <f>+AG43*'OH adj'!$G$28</f>
        <v>0</v>
      </c>
      <c r="AI43" s="358"/>
    </row>
    <row r="44" spans="1:35" hidden="1" x14ac:dyDescent="0.25">
      <c r="A44" s="358">
        <f t="shared" si="2"/>
        <v>31</v>
      </c>
      <c r="B44" s="208">
        <v>416700</v>
      </c>
      <c r="C44" s="383">
        <v>0</v>
      </c>
      <c r="D44" s="383">
        <v>0</v>
      </c>
      <c r="E44" s="383">
        <v>0</v>
      </c>
      <c r="F44" s="383">
        <v>0</v>
      </c>
      <c r="G44" s="383">
        <v>0</v>
      </c>
      <c r="H44" s="383">
        <v>0</v>
      </c>
      <c r="I44" s="383">
        <v>0</v>
      </c>
      <c r="J44" s="383">
        <v>0</v>
      </c>
      <c r="K44" s="383">
        <v>0</v>
      </c>
      <c r="L44" s="358"/>
      <c r="M44" s="207">
        <v>0</v>
      </c>
      <c r="N44" s="207">
        <v>0</v>
      </c>
      <c r="O44" s="207">
        <v>0</v>
      </c>
      <c r="P44" s="207">
        <v>0</v>
      </c>
      <c r="Q44" s="207">
        <v>0</v>
      </c>
      <c r="R44" s="207">
        <v>0</v>
      </c>
      <c r="S44" s="207">
        <v>0</v>
      </c>
      <c r="T44" s="207">
        <v>0</v>
      </c>
      <c r="U44" s="207">
        <v>0</v>
      </c>
      <c r="V44" s="358"/>
      <c r="W44" s="383">
        <v>0</v>
      </c>
      <c r="X44" s="383">
        <v>0</v>
      </c>
      <c r="Y44" s="383">
        <v>0</v>
      </c>
      <c r="Z44" s="383">
        <v>0</v>
      </c>
      <c r="AA44" s="383">
        <v>0</v>
      </c>
      <c r="AB44" s="383">
        <v>0</v>
      </c>
      <c r="AC44" s="383">
        <v>0</v>
      </c>
      <c r="AD44" s="383">
        <v>0</v>
      </c>
      <c r="AE44" s="383">
        <v>0</v>
      </c>
      <c r="AF44" s="416">
        <f t="shared" si="0"/>
        <v>0</v>
      </c>
      <c r="AG44" s="417">
        <f t="shared" si="1"/>
        <v>0</v>
      </c>
      <c r="AH44" s="418">
        <f>+AG44*'OH adj'!$G$28</f>
        <v>0</v>
      </c>
      <c r="AI44" s="358"/>
    </row>
    <row r="45" spans="1:35" hidden="1" x14ac:dyDescent="0.25">
      <c r="A45" s="358">
        <f t="shared" si="2"/>
        <v>32</v>
      </c>
      <c r="B45" s="208">
        <v>417102</v>
      </c>
      <c r="C45" s="383">
        <v>0</v>
      </c>
      <c r="D45" s="383">
        <v>0</v>
      </c>
      <c r="E45" s="383">
        <v>0</v>
      </c>
      <c r="F45" s="383">
        <v>0</v>
      </c>
      <c r="G45" s="383">
        <v>0</v>
      </c>
      <c r="H45" s="383">
        <v>0</v>
      </c>
      <c r="I45" s="383">
        <v>0</v>
      </c>
      <c r="J45" s="383">
        <v>0</v>
      </c>
      <c r="K45" s="383">
        <v>0</v>
      </c>
      <c r="L45" s="358"/>
      <c r="M45" s="207">
        <v>0</v>
      </c>
      <c r="N45" s="207">
        <v>0</v>
      </c>
      <c r="O45" s="207">
        <v>0</v>
      </c>
      <c r="P45" s="207">
        <v>0</v>
      </c>
      <c r="Q45" s="207">
        <v>0</v>
      </c>
      <c r="R45" s="207">
        <v>0</v>
      </c>
      <c r="S45" s="207">
        <v>0</v>
      </c>
      <c r="T45" s="207">
        <v>0</v>
      </c>
      <c r="U45" s="207">
        <v>0</v>
      </c>
      <c r="V45" s="358"/>
      <c r="W45" s="383">
        <v>0</v>
      </c>
      <c r="X45" s="383">
        <v>0</v>
      </c>
      <c r="Y45" s="383">
        <v>0</v>
      </c>
      <c r="Z45" s="383">
        <v>0</v>
      </c>
      <c r="AA45" s="383">
        <v>0</v>
      </c>
      <c r="AB45" s="383">
        <v>0</v>
      </c>
      <c r="AC45" s="383">
        <v>0</v>
      </c>
      <c r="AD45" s="383">
        <v>0</v>
      </c>
      <c r="AE45" s="383">
        <v>0</v>
      </c>
      <c r="AF45" s="416">
        <f t="shared" si="0"/>
        <v>0</v>
      </c>
      <c r="AG45" s="417">
        <f t="shared" si="1"/>
        <v>0</v>
      </c>
      <c r="AH45" s="418">
        <f>+AG45*'OH adj'!$G$28</f>
        <v>0</v>
      </c>
      <c r="AI45" s="358"/>
    </row>
    <row r="46" spans="1:35" hidden="1" x14ac:dyDescent="0.25">
      <c r="A46" s="358">
        <f t="shared" si="2"/>
        <v>33</v>
      </c>
      <c r="B46" s="208">
        <v>417106</v>
      </c>
      <c r="C46" s="383">
        <v>0</v>
      </c>
      <c r="D46" s="383">
        <v>0</v>
      </c>
      <c r="E46" s="383">
        <v>0</v>
      </c>
      <c r="F46" s="383">
        <v>0</v>
      </c>
      <c r="G46" s="383">
        <v>0</v>
      </c>
      <c r="H46" s="383">
        <v>0</v>
      </c>
      <c r="I46" s="383">
        <v>0</v>
      </c>
      <c r="J46" s="383">
        <v>0</v>
      </c>
      <c r="K46" s="383">
        <v>0</v>
      </c>
      <c r="L46" s="358"/>
      <c r="M46" s="207">
        <v>0</v>
      </c>
      <c r="N46" s="207">
        <v>0</v>
      </c>
      <c r="O46" s="207">
        <v>0</v>
      </c>
      <c r="P46" s="207">
        <v>0</v>
      </c>
      <c r="Q46" s="207">
        <v>0</v>
      </c>
      <c r="R46" s="207">
        <v>0</v>
      </c>
      <c r="S46" s="207">
        <v>0</v>
      </c>
      <c r="T46" s="207">
        <v>0</v>
      </c>
      <c r="U46" s="207">
        <v>0</v>
      </c>
      <c r="V46" s="358"/>
      <c r="W46" s="383">
        <v>0</v>
      </c>
      <c r="X46" s="383">
        <v>0</v>
      </c>
      <c r="Y46" s="383">
        <v>0</v>
      </c>
      <c r="Z46" s="383">
        <v>0</v>
      </c>
      <c r="AA46" s="383">
        <v>0</v>
      </c>
      <c r="AB46" s="383">
        <v>0</v>
      </c>
      <c r="AC46" s="383">
        <v>0</v>
      </c>
      <c r="AD46" s="383">
        <v>0</v>
      </c>
      <c r="AE46" s="383">
        <v>0</v>
      </c>
      <c r="AF46" s="416">
        <f t="shared" si="0"/>
        <v>0</v>
      </c>
      <c r="AG46" s="417">
        <f t="shared" si="1"/>
        <v>0</v>
      </c>
      <c r="AH46" s="418">
        <f>+AG46*'OH adj'!$G$28</f>
        <v>0</v>
      </c>
      <c r="AI46" s="358"/>
    </row>
    <row r="47" spans="1:35" hidden="1" x14ac:dyDescent="0.25">
      <c r="A47" s="358">
        <f t="shared" si="2"/>
        <v>34</v>
      </c>
      <c r="B47" s="208">
        <v>417107</v>
      </c>
      <c r="C47" s="383">
        <v>0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v>0</v>
      </c>
      <c r="L47" s="358"/>
      <c r="M47" s="207">
        <v>0</v>
      </c>
      <c r="N47" s="207">
        <v>0</v>
      </c>
      <c r="O47" s="207">
        <v>0</v>
      </c>
      <c r="P47" s="207">
        <v>0</v>
      </c>
      <c r="Q47" s="207">
        <v>0</v>
      </c>
      <c r="R47" s="207">
        <v>0</v>
      </c>
      <c r="S47" s="207">
        <v>0</v>
      </c>
      <c r="T47" s="207">
        <v>0</v>
      </c>
      <c r="U47" s="207">
        <v>0</v>
      </c>
      <c r="V47" s="358"/>
      <c r="W47" s="383">
        <v>0</v>
      </c>
      <c r="X47" s="383">
        <v>0</v>
      </c>
      <c r="Y47" s="383">
        <v>0</v>
      </c>
      <c r="Z47" s="383">
        <v>0</v>
      </c>
      <c r="AA47" s="383">
        <v>0</v>
      </c>
      <c r="AB47" s="383">
        <v>0</v>
      </c>
      <c r="AC47" s="383">
        <v>0</v>
      </c>
      <c r="AD47" s="383">
        <v>0</v>
      </c>
      <c r="AE47" s="383">
        <v>0</v>
      </c>
      <c r="AF47" s="416">
        <f t="shared" si="0"/>
        <v>0</v>
      </c>
      <c r="AG47" s="417">
        <f t="shared" si="1"/>
        <v>0</v>
      </c>
      <c r="AH47" s="418">
        <f>+AG47*'OH adj'!$G$28</f>
        <v>0</v>
      </c>
      <c r="AI47" s="358"/>
    </row>
    <row r="48" spans="1:35" x14ac:dyDescent="0.25">
      <c r="A48" s="358">
        <f t="shared" si="2"/>
        <v>35</v>
      </c>
      <c r="B48" s="208">
        <v>582000</v>
      </c>
      <c r="C48" s="383">
        <v>80.88</v>
      </c>
      <c r="D48" s="383">
        <v>36.119999999999997</v>
      </c>
      <c r="E48" s="383">
        <v>174.51</v>
      </c>
      <c r="F48" s="383">
        <v>57.52</v>
      </c>
      <c r="G48" s="383">
        <v>17.7</v>
      </c>
      <c r="H48" s="383">
        <v>3.96</v>
      </c>
      <c r="I48" s="383">
        <v>0</v>
      </c>
      <c r="J48" s="383">
        <v>0</v>
      </c>
      <c r="K48" s="383">
        <v>0</v>
      </c>
      <c r="L48" s="358"/>
      <c r="M48" s="207">
        <v>80.91</v>
      </c>
      <c r="N48" s="207">
        <v>36.129999999999995</v>
      </c>
      <c r="O48" s="207">
        <v>174.54999999999998</v>
      </c>
      <c r="P48" s="207">
        <v>57.53</v>
      </c>
      <c r="Q48" s="207">
        <v>17.7</v>
      </c>
      <c r="R48" s="207">
        <v>3.96</v>
      </c>
      <c r="S48" s="207">
        <v>0</v>
      </c>
      <c r="T48" s="207">
        <v>0</v>
      </c>
      <c r="U48" s="207">
        <v>0</v>
      </c>
      <c r="V48" s="358"/>
      <c r="W48" s="383">
        <v>80.91</v>
      </c>
      <c r="X48" s="383">
        <v>36.129999999999995</v>
      </c>
      <c r="Y48" s="383">
        <v>174.54999999999998</v>
      </c>
      <c r="Z48" s="383">
        <v>57.53</v>
      </c>
      <c r="AA48" s="383">
        <v>17.7</v>
      </c>
      <c r="AB48" s="383">
        <v>3.96</v>
      </c>
      <c r="AC48" s="383">
        <v>0</v>
      </c>
      <c r="AD48" s="383">
        <v>0</v>
      </c>
      <c r="AE48" s="383">
        <v>0</v>
      </c>
      <c r="AF48" s="416">
        <f t="shared" si="0"/>
        <v>370.78</v>
      </c>
      <c r="AG48" s="417">
        <f t="shared" si="1"/>
        <v>6.3E-5</v>
      </c>
      <c r="AH48" s="418">
        <f>+AG48*'OH adj'!$G$28</f>
        <v>11.172401723699906</v>
      </c>
      <c r="AI48" s="358"/>
    </row>
    <row r="49" spans="1:35" x14ac:dyDescent="0.25">
      <c r="A49" s="358">
        <f t="shared" si="2"/>
        <v>36</v>
      </c>
      <c r="B49" s="208">
        <v>582200</v>
      </c>
      <c r="C49" s="383">
        <v>1261.06</v>
      </c>
      <c r="D49" s="383">
        <v>168.94</v>
      </c>
      <c r="E49" s="383">
        <v>1226.7</v>
      </c>
      <c r="F49" s="383">
        <v>436.42999999999995</v>
      </c>
      <c r="G49" s="383">
        <v>99.960000000000008</v>
      </c>
      <c r="H49" s="383">
        <v>28.22</v>
      </c>
      <c r="I49" s="383">
        <v>7.3900000000000006</v>
      </c>
      <c r="J49" s="383">
        <v>8.89</v>
      </c>
      <c r="K49" s="383">
        <v>0.44</v>
      </c>
      <c r="L49" s="358"/>
      <c r="M49" s="207">
        <v>1261.8799999999999</v>
      </c>
      <c r="N49" s="207">
        <v>169.15</v>
      </c>
      <c r="O49" s="207">
        <v>1227.72</v>
      </c>
      <c r="P49" s="207">
        <v>436.79999999999995</v>
      </c>
      <c r="Q49" s="207">
        <v>100.08000000000001</v>
      </c>
      <c r="R49" s="207">
        <v>28.25</v>
      </c>
      <c r="S49" s="207">
        <v>7.4</v>
      </c>
      <c r="T49" s="207">
        <v>8.9</v>
      </c>
      <c r="U49" s="207">
        <v>0.44</v>
      </c>
      <c r="V49" s="358"/>
      <c r="W49" s="383">
        <v>1261.8799999999999</v>
      </c>
      <c r="X49" s="383">
        <v>169.15</v>
      </c>
      <c r="Y49" s="383">
        <v>1227.72</v>
      </c>
      <c r="Z49" s="383">
        <v>436.79999999999995</v>
      </c>
      <c r="AA49" s="383">
        <v>100.08000000000001</v>
      </c>
      <c r="AB49" s="383">
        <v>28.25</v>
      </c>
      <c r="AC49" s="383">
        <v>7.4</v>
      </c>
      <c r="AD49" s="383">
        <v>8.9</v>
      </c>
      <c r="AE49" s="383">
        <v>0.44</v>
      </c>
      <c r="AF49" s="416">
        <f t="shared" si="0"/>
        <v>3240.6200000000003</v>
      </c>
      <c r="AG49" s="417">
        <f t="shared" si="1"/>
        <v>5.5199999999999997E-4</v>
      </c>
      <c r="AH49" s="418">
        <f>+AG49*'OH adj'!$G$28</f>
        <v>97.891519864799164</v>
      </c>
      <c r="AI49" s="358"/>
    </row>
    <row r="50" spans="1:35" x14ac:dyDescent="0.25">
      <c r="A50" s="358">
        <f t="shared" si="2"/>
        <v>37</v>
      </c>
      <c r="B50" s="208">
        <v>583000</v>
      </c>
      <c r="C50" s="383">
        <v>36833.94</v>
      </c>
      <c r="D50" s="383">
        <v>6949.329999999999</v>
      </c>
      <c r="E50" s="383">
        <v>36827.759999999995</v>
      </c>
      <c r="F50" s="383">
        <v>12706.810000000001</v>
      </c>
      <c r="G50" s="383">
        <v>3867.5499999999997</v>
      </c>
      <c r="H50" s="383">
        <v>876.17</v>
      </c>
      <c r="I50" s="383">
        <v>326.22000000000003</v>
      </c>
      <c r="J50" s="383">
        <v>404.38</v>
      </c>
      <c r="K50" s="383">
        <v>29.500000000000004</v>
      </c>
      <c r="L50" s="358"/>
      <c r="M50" s="207">
        <v>36945</v>
      </c>
      <c r="N50" s="207">
        <v>6977.829999999999</v>
      </c>
      <c r="O50" s="207">
        <v>36964.859999999993</v>
      </c>
      <c r="P50" s="207">
        <v>12757.160000000002</v>
      </c>
      <c r="Q50" s="207">
        <v>3883.6499999999996</v>
      </c>
      <c r="R50" s="207">
        <v>879.75</v>
      </c>
      <c r="S50" s="207">
        <v>327.07000000000005</v>
      </c>
      <c r="T50" s="207">
        <v>405.46</v>
      </c>
      <c r="U50" s="207">
        <v>29.560000000000002</v>
      </c>
      <c r="V50" s="358"/>
      <c r="W50" s="383">
        <v>36945</v>
      </c>
      <c r="X50" s="383">
        <v>6977.829999999999</v>
      </c>
      <c r="Y50" s="383">
        <v>36964.859999999993</v>
      </c>
      <c r="Z50" s="383">
        <v>12757.160000000002</v>
      </c>
      <c r="AA50" s="383">
        <v>3883.6499999999996</v>
      </c>
      <c r="AB50" s="383">
        <v>879.75</v>
      </c>
      <c r="AC50" s="383">
        <v>327.07000000000005</v>
      </c>
      <c r="AD50" s="383">
        <v>405.46</v>
      </c>
      <c r="AE50" s="383">
        <v>29.560000000000002</v>
      </c>
      <c r="AF50" s="416">
        <f t="shared" si="0"/>
        <v>99170.340000000011</v>
      </c>
      <c r="AG50" s="417">
        <f t="shared" si="1"/>
        <v>1.6891E-2</v>
      </c>
      <c r="AH50" s="418">
        <f>+AG50*'OH adj'!$G$28</f>
        <v>2995.4450399208745</v>
      </c>
      <c r="AI50" s="358"/>
    </row>
    <row r="51" spans="1:35" x14ac:dyDescent="0.25">
      <c r="A51" s="358">
        <f t="shared" si="2"/>
        <v>38</v>
      </c>
      <c r="B51" s="208">
        <v>586000</v>
      </c>
      <c r="C51" s="383">
        <v>23254.799999999999</v>
      </c>
      <c r="D51" s="383">
        <v>3371.6</v>
      </c>
      <c r="E51" s="383">
        <v>20360.180000000004</v>
      </c>
      <c r="F51" s="383">
        <v>6808.0499999999984</v>
      </c>
      <c r="G51" s="383">
        <v>2083.9799999999996</v>
      </c>
      <c r="H51" s="383">
        <v>457.53000000000003</v>
      </c>
      <c r="I51" s="383">
        <v>175.85</v>
      </c>
      <c r="J51" s="383">
        <v>218.47</v>
      </c>
      <c r="K51" s="383">
        <v>10.989999999999998</v>
      </c>
      <c r="L51" s="358"/>
      <c r="M51" s="207">
        <v>23312.04</v>
      </c>
      <c r="N51" s="207">
        <v>3386.29</v>
      </c>
      <c r="O51" s="207">
        <v>20430.840000000004</v>
      </c>
      <c r="P51" s="207">
        <v>6833.9999999999982</v>
      </c>
      <c r="Q51" s="207">
        <v>2092.2799999999997</v>
      </c>
      <c r="R51" s="207">
        <v>459.38000000000005</v>
      </c>
      <c r="S51" s="207">
        <v>176.29</v>
      </c>
      <c r="T51" s="207">
        <v>219.03</v>
      </c>
      <c r="U51" s="207">
        <v>11.019999999999998</v>
      </c>
      <c r="V51" s="358"/>
      <c r="W51" s="383">
        <v>23312.04</v>
      </c>
      <c r="X51" s="383">
        <v>3386.29</v>
      </c>
      <c r="Y51" s="383">
        <v>20430.840000000004</v>
      </c>
      <c r="Z51" s="383">
        <v>6833.9999999999982</v>
      </c>
      <c r="AA51" s="383">
        <v>2092.2799999999997</v>
      </c>
      <c r="AB51" s="383">
        <v>459.38000000000005</v>
      </c>
      <c r="AC51" s="383">
        <v>176.29</v>
      </c>
      <c r="AD51" s="383">
        <v>219.03</v>
      </c>
      <c r="AE51" s="383">
        <v>11.019999999999998</v>
      </c>
      <c r="AF51" s="416">
        <f t="shared" si="0"/>
        <v>56921.17</v>
      </c>
      <c r="AG51" s="417">
        <f t="shared" si="1"/>
        <v>9.6950000000000005E-3</v>
      </c>
      <c r="AH51" s="418">
        <f>+AG51*'OH adj'!$G$28</f>
        <v>1719.3084874804856</v>
      </c>
      <c r="AI51" s="358"/>
    </row>
    <row r="52" spans="1:35" x14ac:dyDescent="0.25">
      <c r="A52" s="358">
        <f t="shared" si="2"/>
        <v>39</v>
      </c>
      <c r="B52" s="208">
        <v>588000</v>
      </c>
      <c r="C52" s="383">
        <v>206354.66000000003</v>
      </c>
      <c r="D52" s="383">
        <v>26146.940000000002</v>
      </c>
      <c r="E52" s="383">
        <v>231668.8</v>
      </c>
      <c r="F52" s="383">
        <v>84122.079999999987</v>
      </c>
      <c r="G52" s="383">
        <v>16128.539999999999</v>
      </c>
      <c r="H52" s="383">
        <v>5646.9299999999994</v>
      </c>
      <c r="I52" s="383">
        <v>1773.3200000000002</v>
      </c>
      <c r="J52" s="383">
        <v>2136.8799999999997</v>
      </c>
      <c r="K52" s="383">
        <v>684.8</v>
      </c>
      <c r="L52" s="358"/>
      <c r="M52" s="207">
        <v>206421.84000000003</v>
      </c>
      <c r="N52" s="207">
        <v>26164.180000000004</v>
      </c>
      <c r="O52" s="207">
        <v>231751.74</v>
      </c>
      <c r="P52" s="207">
        <v>84152.54</v>
      </c>
      <c r="Q52" s="207">
        <v>16138.279999999999</v>
      </c>
      <c r="R52" s="207">
        <v>5649.0999999999995</v>
      </c>
      <c r="S52" s="207">
        <v>1773.8400000000001</v>
      </c>
      <c r="T52" s="207">
        <v>2137.5299999999997</v>
      </c>
      <c r="U52" s="207">
        <v>684.83999999999992</v>
      </c>
      <c r="V52" s="358"/>
      <c r="W52" s="383">
        <v>206421.84000000003</v>
      </c>
      <c r="X52" s="383">
        <v>26164.180000000004</v>
      </c>
      <c r="Y52" s="383">
        <v>231751.74</v>
      </c>
      <c r="Z52" s="383">
        <v>84152.54</v>
      </c>
      <c r="AA52" s="383">
        <v>16138.279999999999</v>
      </c>
      <c r="AB52" s="383">
        <v>5649.0999999999995</v>
      </c>
      <c r="AC52" s="383">
        <v>1773.8400000000001</v>
      </c>
      <c r="AD52" s="383">
        <v>2137.5299999999997</v>
      </c>
      <c r="AE52" s="383">
        <v>684.83999999999992</v>
      </c>
      <c r="AF52" s="416">
        <f t="shared" si="0"/>
        <v>574873.89</v>
      </c>
      <c r="AG52" s="417">
        <f t="shared" si="1"/>
        <v>9.7916000000000003E-2</v>
      </c>
      <c r="AH52" s="418">
        <f>+AG52*'OH adj'!$G$28</f>
        <v>17364.395034568253</v>
      </c>
      <c r="AI52" s="358"/>
    </row>
    <row r="53" spans="1:35" hidden="1" x14ac:dyDescent="0.25">
      <c r="A53" s="358">
        <f t="shared" si="2"/>
        <v>40</v>
      </c>
      <c r="B53" s="208">
        <v>588200</v>
      </c>
      <c r="C53" s="383">
        <v>0</v>
      </c>
      <c r="D53" s="383">
        <v>0</v>
      </c>
      <c r="E53" s="383">
        <v>0</v>
      </c>
      <c r="F53" s="383">
        <v>0</v>
      </c>
      <c r="G53" s="383">
        <v>0</v>
      </c>
      <c r="H53" s="383">
        <v>0</v>
      </c>
      <c r="I53" s="383">
        <v>0</v>
      </c>
      <c r="J53" s="383">
        <v>0</v>
      </c>
      <c r="K53" s="383">
        <v>0</v>
      </c>
      <c r="L53" s="358"/>
      <c r="M53" s="207">
        <v>0</v>
      </c>
      <c r="N53" s="207">
        <v>0</v>
      </c>
      <c r="O53" s="207">
        <v>0</v>
      </c>
      <c r="P53" s="207">
        <v>0</v>
      </c>
      <c r="Q53" s="207">
        <v>0</v>
      </c>
      <c r="R53" s="207">
        <v>0</v>
      </c>
      <c r="S53" s="207">
        <v>0</v>
      </c>
      <c r="T53" s="207">
        <v>0</v>
      </c>
      <c r="U53" s="207">
        <v>0</v>
      </c>
      <c r="V53" s="358"/>
      <c r="W53" s="383">
        <v>0</v>
      </c>
      <c r="X53" s="383">
        <v>0</v>
      </c>
      <c r="Y53" s="383">
        <v>0</v>
      </c>
      <c r="Z53" s="383">
        <v>0</v>
      </c>
      <c r="AA53" s="383">
        <v>0</v>
      </c>
      <c r="AB53" s="383">
        <v>0</v>
      </c>
      <c r="AC53" s="383">
        <v>0</v>
      </c>
      <c r="AD53" s="383">
        <v>0</v>
      </c>
      <c r="AE53" s="383">
        <v>0</v>
      </c>
      <c r="AF53" s="416">
        <f t="shared" si="0"/>
        <v>0</v>
      </c>
      <c r="AG53" s="417">
        <f t="shared" si="1"/>
        <v>0</v>
      </c>
      <c r="AH53" s="418">
        <f>+AG53*'OH adj'!$G$28</f>
        <v>0</v>
      </c>
      <c r="AI53" s="358"/>
    </row>
    <row r="54" spans="1:35" x14ac:dyDescent="0.25">
      <c r="A54" s="358">
        <f t="shared" si="2"/>
        <v>41</v>
      </c>
      <c r="B54" s="208">
        <v>588210</v>
      </c>
      <c r="C54" s="383">
        <v>68.34</v>
      </c>
      <c r="D54" s="383">
        <v>11.64</v>
      </c>
      <c r="E54" s="383">
        <v>75</v>
      </c>
      <c r="F54" s="383">
        <v>27.340000000000003</v>
      </c>
      <c r="G54" s="383">
        <v>8.58</v>
      </c>
      <c r="H54" s="383">
        <v>1.98</v>
      </c>
      <c r="I54" s="383">
        <v>0</v>
      </c>
      <c r="J54" s="383">
        <v>0</v>
      </c>
      <c r="K54" s="383">
        <v>0</v>
      </c>
      <c r="L54" s="358"/>
      <c r="M54" s="207">
        <v>68.44</v>
      </c>
      <c r="N54" s="207">
        <v>11.67</v>
      </c>
      <c r="O54" s="207">
        <v>75.13</v>
      </c>
      <c r="P54" s="207">
        <v>27.390000000000004</v>
      </c>
      <c r="Q54" s="207">
        <v>8.6</v>
      </c>
      <c r="R54" s="207">
        <v>1.98</v>
      </c>
      <c r="S54" s="207">
        <v>0</v>
      </c>
      <c r="T54" s="207">
        <v>0</v>
      </c>
      <c r="U54" s="207">
        <v>0</v>
      </c>
      <c r="V54" s="358"/>
      <c r="W54" s="383">
        <v>68.44</v>
      </c>
      <c r="X54" s="383">
        <v>11.67</v>
      </c>
      <c r="Y54" s="383">
        <v>75.13</v>
      </c>
      <c r="Z54" s="383">
        <v>27.390000000000004</v>
      </c>
      <c r="AA54" s="383">
        <v>8.6</v>
      </c>
      <c r="AB54" s="383">
        <v>1.98</v>
      </c>
      <c r="AC54" s="383">
        <v>0</v>
      </c>
      <c r="AD54" s="383">
        <v>0</v>
      </c>
      <c r="AE54" s="383">
        <v>0</v>
      </c>
      <c r="AF54" s="416">
        <f t="shared" si="0"/>
        <v>193.21</v>
      </c>
      <c r="AG54" s="417">
        <f t="shared" si="1"/>
        <v>3.3000000000000003E-5</v>
      </c>
      <c r="AH54" s="418">
        <f>+AG54*'OH adj'!$G$28</f>
        <v>5.8522104266999513</v>
      </c>
      <c r="AI54" s="358"/>
    </row>
    <row r="55" spans="1:35" x14ac:dyDescent="0.25">
      <c r="A55" s="358">
        <f t="shared" si="2"/>
        <v>42</v>
      </c>
      <c r="B55" s="208">
        <v>592000</v>
      </c>
      <c r="C55" s="383">
        <v>69516.170000000013</v>
      </c>
      <c r="D55" s="383">
        <v>12775.009999999998</v>
      </c>
      <c r="E55" s="383">
        <v>67463.3</v>
      </c>
      <c r="F55" s="383">
        <v>24481.49</v>
      </c>
      <c r="G55" s="383">
        <v>7235.119999999999</v>
      </c>
      <c r="H55" s="383">
        <v>1656.79</v>
      </c>
      <c r="I55" s="383">
        <v>442.02</v>
      </c>
      <c r="J55" s="383">
        <v>547.38000000000011</v>
      </c>
      <c r="K55" s="383">
        <v>39.39</v>
      </c>
      <c r="L55" s="358"/>
      <c r="M55" s="207">
        <v>69583.24000000002</v>
      </c>
      <c r="N55" s="207">
        <v>12792.219999999998</v>
      </c>
      <c r="O55" s="207">
        <v>67546.100000000006</v>
      </c>
      <c r="P55" s="207">
        <v>24511.9</v>
      </c>
      <c r="Q55" s="207">
        <v>7244.8399999999992</v>
      </c>
      <c r="R55" s="207">
        <v>1658.95</v>
      </c>
      <c r="S55" s="207">
        <v>442.53</v>
      </c>
      <c r="T55" s="207">
        <v>548.03000000000009</v>
      </c>
      <c r="U55" s="207">
        <v>39.43</v>
      </c>
      <c r="V55" s="358"/>
      <c r="W55" s="383">
        <v>69583.24000000002</v>
      </c>
      <c r="X55" s="383">
        <v>12792.219999999998</v>
      </c>
      <c r="Y55" s="383">
        <v>67546.100000000006</v>
      </c>
      <c r="Z55" s="383">
        <v>24511.9</v>
      </c>
      <c r="AA55" s="383">
        <v>7244.8399999999992</v>
      </c>
      <c r="AB55" s="383">
        <v>1658.95</v>
      </c>
      <c r="AC55" s="383">
        <v>442.53</v>
      </c>
      <c r="AD55" s="383">
        <v>548.03000000000009</v>
      </c>
      <c r="AE55" s="383">
        <v>39.43</v>
      </c>
      <c r="AF55" s="416">
        <f t="shared" si="0"/>
        <v>184367.24000000002</v>
      </c>
      <c r="AG55" s="417">
        <f t="shared" si="1"/>
        <v>3.1403E-2</v>
      </c>
      <c r="AH55" s="418">
        <f>+AG55*'OH adj'!$G$28</f>
        <v>5568.9989099896529</v>
      </c>
      <c r="AI55" s="358"/>
    </row>
    <row r="56" spans="1:35" x14ac:dyDescent="0.25">
      <c r="A56" s="358">
        <f t="shared" si="2"/>
        <v>43</v>
      </c>
      <c r="B56" s="208">
        <v>592100</v>
      </c>
      <c r="C56" s="383">
        <v>10238.83</v>
      </c>
      <c r="D56" s="383">
        <v>1695.5099999999998</v>
      </c>
      <c r="E56" s="383">
        <v>8903.61</v>
      </c>
      <c r="F56" s="383">
        <v>3168.9999999999995</v>
      </c>
      <c r="G56" s="383">
        <v>952.34999999999991</v>
      </c>
      <c r="H56" s="383">
        <v>220.32</v>
      </c>
      <c r="I56" s="383">
        <v>81.010000000000005</v>
      </c>
      <c r="J56" s="383">
        <v>95.88000000000001</v>
      </c>
      <c r="K56" s="383">
        <v>6.3000000000000007</v>
      </c>
      <c r="L56" s="358"/>
      <c r="M56" s="207">
        <v>10246.56</v>
      </c>
      <c r="N56" s="207">
        <v>1697.4899999999998</v>
      </c>
      <c r="O56" s="207">
        <v>8913.1500000000015</v>
      </c>
      <c r="P56" s="207">
        <v>3172.4999999999995</v>
      </c>
      <c r="Q56" s="207">
        <v>953.46999999999991</v>
      </c>
      <c r="R56" s="207">
        <v>220.57</v>
      </c>
      <c r="S56" s="207">
        <v>81.070000000000007</v>
      </c>
      <c r="T56" s="207">
        <v>95.960000000000008</v>
      </c>
      <c r="U56" s="207">
        <v>6.3000000000000007</v>
      </c>
      <c r="V56" s="358"/>
      <c r="W56" s="383">
        <v>10246.56</v>
      </c>
      <c r="X56" s="383">
        <v>1697.4899999999998</v>
      </c>
      <c r="Y56" s="383">
        <v>8913.1500000000015</v>
      </c>
      <c r="Z56" s="383">
        <v>3172.4999999999995</v>
      </c>
      <c r="AA56" s="383">
        <v>953.46999999999991</v>
      </c>
      <c r="AB56" s="383">
        <v>220.57</v>
      </c>
      <c r="AC56" s="383">
        <v>81.070000000000007</v>
      </c>
      <c r="AD56" s="383">
        <v>95.960000000000008</v>
      </c>
      <c r="AE56" s="383">
        <v>6.3000000000000007</v>
      </c>
      <c r="AF56" s="416">
        <f t="shared" si="0"/>
        <v>25387.07</v>
      </c>
      <c r="AG56" s="417">
        <f t="shared" si="1"/>
        <v>4.3239999999999997E-3</v>
      </c>
      <c r="AH56" s="418">
        <f>+AG56*'OH adj'!$G$28</f>
        <v>766.81690560759353</v>
      </c>
      <c r="AI56" s="358"/>
    </row>
    <row r="57" spans="1:35" x14ac:dyDescent="0.25">
      <c r="A57" s="358">
        <f t="shared" si="2"/>
        <v>44</v>
      </c>
      <c r="B57" s="208">
        <v>592200</v>
      </c>
      <c r="C57" s="383">
        <v>3255.2000000000003</v>
      </c>
      <c r="D57" s="383">
        <v>588.93000000000006</v>
      </c>
      <c r="E57" s="383">
        <v>2995.43</v>
      </c>
      <c r="F57" s="383">
        <v>1253.9699999999998</v>
      </c>
      <c r="G57" s="383">
        <v>308.38</v>
      </c>
      <c r="H57" s="383">
        <v>69.41</v>
      </c>
      <c r="I57" s="383">
        <v>24.08</v>
      </c>
      <c r="J57" s="383">
        <v>28.089999999999996</v>
      </c>
      <c r="K57" s="383">
        <v>1.57</v>
      </c>
      <c r="L57" s="358"/>
      <c r="M57" s="207">
        <v>3258.5800000000004</v>
      </c>
      <c r="N57" s="207">
        <v>589.80000000000007</v>
      </c>
      <c r="O57" s="207">
        <v>2999.6</v>
      </c>
      <c r="P57" s="207">
        <v>1255.4999999999998</v>
      </c>
      <c r="Q57" s="207">
        <v>308.87</v>
      </c>
      <c r="R57" s="207">
        <v>69.52</v>
      </c>
      <c r="S57" s="207">
        <v>24.11</v>
      </c>
      <c r="T57" s="207">
        <v>28.119999999999997</v>
      </c>
      <c r="U57" s="207">
        <v>1.57</v>
      </c>
      <c r="V57" s="358"/>
      <c r="W57" s="383">
        <v>3258.5800000000004</v>
      </c>
      <c r="X57" s="383">
        <v>589.80000000000007</v>
      </c>
      <c r="Y57" s="383">
        <v>2999.6</v>
      </c>
      <c r="Z57" s="383">
        <v>1255.4999999999998</v>
      </c>
      <c r="AA57" s="383">
        <v>308.87</v>
      </c>
      <c r="AB57" s="383">
        <v>69.52</v>
      </c>
      <c r="AC57" s="383">
        <v>24.11</v>
      </c>
      <c r="AD57" s="383">
        <v>28.119999999999997</v>
      </c>
      <c r="AE57" s="383">
        <v>1.57</v>
      </c>
      <c r="AF57" s="416">
        <f t="shared" si="0"/>
        <v>8535.6700000000019</v>
      </c>
      <c r="AG57" s="417">
        <f t="shared" si="1"/>
        <v>1.454E-3</v>
      </c>
      <c r="AH57" s="418">
        <f>+AG57*'OH adj'!$G$28</f>
        <v>257.85193819459784</v>
      </c>
      <c r="AI57" s="358"/>
    </row>
    <row r="58" spans="1:35" x14ac:dyDescent="0.25">
      <c r="A58" s="358">
        <f t="shared" si="2"/>
        <v>45</v>
      </c>
      <c r="B58" s="208">
        <v>593000</v>
      </c>
      <c r="C58" s="383">
        <v>193231.54</v>
      </c>
      <c r="D58" s="383">
        <v>52618.960000000006</v>
      </c>
      <c r="E58" s="383">
        <v>181959.71</v>
      </c>
      <c r="F58" s="383">
        <v>109710.57</v>
      </c>
      <c r="G58" s="383">
        <v>18417.879999999997</v>
      </c>
      <c r="H58" s="383">
        <v>4297.0900000000011</v>
      </c>
      <c r="I58" s="383">
        <v>2042.43</v>
      </c>
      <c r="J58" s="383">
        <v>2525.9699999999998</v>
      </c>
      <c r="K58" s="383">
        <v>116.61999999999999</v>
      </c>
      <c r="L58" s="358"/>
      <c r="M58" s="207">
        <v>194395.92</v>
      </c>
      <c r="N58" s="207">
        <v>52917.8</v>
      </c>
      <c r="O58" s="207">
        <v>183397.12</v>
      </c>
      <c r="P58" s="207">
        <v>110238.42000000001</v>
      </c>
      <c r="Q58" s="207">
        <v>18586.679999999997</v>
      </c>
      <c r="R58" s="207">
        <v>4334.6500000000015</v>
      </c>
      <c r="S58" s="207">
        <v>2051.36</v>
      </c>
      <c r="T58" s="207">
        <v>2537.27</v>
      </c>
      <c r="U58" s="207">
        <v>117.27999999999999</v>
      </c>
      <c r="V58" s="358"/>
      <c r="W58" s="383">
        <v>195898.97</v>
      </c>
      <c r="X58" s="383">
        <v>53131.880000000005</v>
      </c>
      <c r="Y58" s="383">
        <v>184719.47999999998</v>
      </c>
      <c r="Z58" s="383">
        <v>110715.02000000002</v>
      </c>
      <c r="AA58" s="383">
        <v>18709.999999999996</v>
      </c>
      <c r="AB58" s="383">
        <v>4367.7000000000016</v>
      </c>
      <c r="AC58" s="383">
        <v>2062.7600000000002</v>
      </c>
      <c r="AD58" s="383">
        <v>2551.29</v>
      </c>
      <c r="AE58" s="383">
        <v>118.30999999999999</v>
      </c>
      <c r="AF58" s="416">
        <f t="shared" si="0"/>
        <v>572275.41</v>
      </c>
      <c r="AG58" s="417">
        <f t="shared" si="1"/>
        <v>9.7473000000000004E-2</v>
      </c>
      <c r="AH58" s="418">
        <f>+AG58*'OH adj'!$G$28</f>
        <v>17285.833543082554</v>
      </c>
      <c r="AI58" s="358"/>
    </row>
    <row r="59" spans="1:35" hidden="1" x14ac:dyDescent="0.25">
      <c r="A59" s="358">
        <f t="shared" si="2"/>
        <v>46</v>
      </c>
      <c r="B59" s="208">
        <v>593200</v>
      </c>
      <c r="C59" s="383">
        <v>0</v>
      </c>
      <c r="D59" s="383">
        <v>0</v>
      </c>
      <c r="E59" s="383">
        <v>0</v>
      </c>
      <c r="F59" s="383">
        <v>0</v>
      </c>
      <c r="G59" s="383">
        <v>0</v>
      </c>
      <c r="H59" s="383">
        <v>0</v>
      </c>
      <c r="I59" s="383">
        <v>0</v>
      </c>
      <c r="J59" s="383">
        <v>0</v>
      </c>
      <c r="K59" s="383">
        <v>0</v>
      </c>
      <c r="L59" s="358"/>
      <c r="M59" s="207">
        <v>0</v>
      </c>
      <c r="N59" s="207">
        <v>0</v>
      </c>
      <c r="O59" s="207">
        <v>0</v>
      </c>
      <c r="P59" s="207">
        <v>0</v>
      </c>
      <c r="Q59" s="207">
        <v>0</v>
      </c>
      <c r="R59" s="207">
        <v>0</v>
      </c>
      <c r="S59" s="207">
        <v>0</v>
      </c>
      <c r="T59" s="207">
        <v>0</v>
      </c>
      <c r="U59" s="207">
        <v>0</v>
      </c>
      <c r="V59" s="358"/>
      <c r="W59" s="383">
        <v>0</v>
      </c>
      <c r="X59" s="383">
        <v>0</v>
      </c>
      <c r="Y59" s="383">
        <v>0</v>
      </c>
      <c r="Z59" s="383">
        <v>0</v>
      </c>
      <c r="AA59" s="383">
        <v>0</v>
      </c>
      <c r="AB59" s="383">
        <v>0</v>
      </c>
      <c r="AC59" s="383">
        <v>0</v>
      </c>
      <c r="AD59" s="383">
        <v>0</v>
      </c>
      <c r="AE59" s="383">
        <v>0</v>
      </c>
      <c r="AF59" s="416">
        <f t="shared" si="0"/>
        <v>0</v>
      </c>
      <c r="AG59" s="417">
        <f t="shared" si="1"/>
        <v>0</v>
      </c>
      <c r="AH59" s="418">
        <f>+AG59*'OH adj'!$G$28</f>
        <v>0</v>
      </c>
      <c r="AI59" s="358"/>
    </row>
    <row r="60" spans="1:35" x14ac:dyDescent="0.25">
      <c r="A60" s="358">
        <f t="shared" si="2"/>
        <v>47</v>
      </c>
      <c r="B60" s="208">
        <v>593300</v>
      </c>
      <c r="C60" s="383">
        <v>43744.43</v>
      </c>
      <c r="D60" s="383">
        <v>7399.3499999999995</v>
      </c>
      <c r="E60" s="383">
        <v>41916.75</v>
      </c>
      <c r="F60" s="383">
        <v>14492.310000000001</v>
      </c>
      <c r="G60" s="383">
        <v>4299.5199999999995</v>
      </c>
      <c r="H60" s="383">
        <v>1015.4699999999999</v>
      </c>
      <c r="I60" s="383">
        <v>448.45999999999992</v>
      </c>
      <c r="J60" s="383">
        <v>557.12</v>
      </c>
      <c r="K60" s="383">
        <v>26.22</v>
      </c>
      <c r="L60" s="358"/>
      <c r="M60" s="207">
        <v>43775.61</v>
      </c>
      <c r="N60" s="207">
        <v>7407.3499999999995</v>
      </c>
      <c r="O60" s="207">
        <v>41955.24</v>
      </c>
      <c r="P60" s="207">
        <v>14506.45</v>
      </c>
      <c r="Q60" s="207">
        <v>4304.04</v>
      </c>
      <c r="R60" s="207">
        <v>1016.4799999999999</v>
      </c>
      <c r="S60" s="207">
        <v>448.69999999999993</v>
      </c>
      <c r="T60" s="207">
        <v>557.41999999999996</v>
      </c>
      <c r="U60" s="207">
        <v>26.24</v>
      </c>
      <c r="V60" s="358"/>
      <c r="W60" s="383">
        <v>43775.61</v>
      </c>
      <c r="X60" s="383">
        <v>7407.3499999999995</v>
      </c>
      <c r="Y60" s="383">
        <v>41955.24</v>
      </c>
      <c r="Z60" s="383">
        <v>14506.45</v>
      </c>
      <c r="AA60" s="383">
        <v>4304.04</v>
      </c>
      <c r="AB60" s="383">
        <v>1016.4799999999999</v>
      </c>
      <c r="AC60" s="383">
        <v>448.69999999999993</v>
      </c>
      <c r="AD60" s="383">
        <v>557.41999999999996</v>
      </c>
      <c r="AE60" s="383">
        <v>26.24</v>
      </c>
      <c r="AF60" s="416">
        <f t="shared" si="0"/>
        <v>113997.52999999998</v>
      </c>
      <c r="AG60" s="417">
        <f t="shared" si="1"/>
        <v>1.9417E-2</v>
      </c>
      <c r="AH60" s="418">
        <f>+AG60*'OH adj'!$G$28</f>
        <v>3443.405147128271</v>
      </c>
      <c r="AI60" s="358"/>
    </row>
    <row r="61" spans="1:35" x14ac:dyDescent="0.25">
      <c r="A61" s="358">
        <f t="shared" si="2"/>
        <v>48</v>
      </c>
      <c r="B61" s="381">
        <v>594000</v>
      </c>
      <c r="C61" s="383">
        <v>14602.91</v>
      </c>
      <c r="D61" s="383">
        <v>2878.04</v>
      </c>
      <c r="E61" s="383">
        <v>14043.220000000001</v>
      </c>
      <c r="F61" s="383">
        <v>5565.63</v>
      </c>
      <c r="G61" s="383">
        <v>1470.8700000000001</v>
      </c>
      <c r="H61" s="383">
        <v>327.07999999999993</v>
      </c>
      <c r="I61" s="383">
        <v>87.419999999999987</v>
      </c>
      <c r="J61" s="383">
        <v>88.320000000000007</v>
      </c>
      <c r="K61" s="383">
        <v>10.52</v>
      </c>
      <c r="L61" s="358"/>
      <c r="M61" s="207">
        <v>14643.34</v>
      </c>
      <c r="N61" s="207">
        <v>2888.42</v>
      </c>
      <c r="O61" s="207">
        <v>14093.130000000001</v>
      </c>
      <c r="P61" s="207">
        <v>5583.96</v>
      </c>
      <c r="Q61" s="207">
        <v>1476.73</v>
      </c>
      <c r="R61" s="207">
        <v>328.37999999999994</v>
      </c>
      <c r="S61" s="207">
        <v>87.72999999999999</v>
      </c>
      <c r="T61" s="207">
        <v>88.710000000000008</v>
      </c>
      <c r="U61" s="207">
        <v>10.54</v>
      </c>
      <c r="V61" s="358"/>
      <c r="W61" s="383">
        <v>14829.4</v>
      </c>
      <c r="X61" s="383">
        <v>2914.92</v>
      </c>
      <c r="Y61" s="383">
        <v>14256.820000000002</v>
      </c>
      <c r="Z61" s="383">
        <v>5642.96</v>
      </c>
      <c r="AA61" s="383">
        <v>1492</v>
      </c>
      <c r="AB61" s="383">
        <v>332.46999999999991</v>
      </c>
      <c r="AC61" s="383">
        <v>89.139999999999986</v>
      </c>
      <c r="AD61" s="383">
        <v>90.45</v>
      </c>
      <c r="AE61" s="383">
        <v>10.67</v>
      </c>
      <c r="AF61" s="416">
        <f t="shared" si="0"/>
        <v>39658.829999999994</v>
      </c>
      <c r="AG61" s="417">
        <f t="shared" si="1"/>
        <v>6.7549999999999997E-3</v>
      </c>
      <c r="AH61" s="418">
        <f>+AG61*'OH adj'!$G$28</f>
        <v>1197.9297403744899</v>
      </c>
      <c r="AI61" s="358"/>
    </row>
    <row r="62" spans="1:35" x14ac:dyDescent="0.25">
      <c r="A62" s="358">
        <f t="shared" si="2"/>
        <v>49</v>
      </c>
      <c r="B62" s="381">
        <v>595000</v>
      </c>
      <c r="C62" s="383">
        <v>2916.9499999999994</v>
      </c>
      <c r="D62" s="383">
        <v>1151.21</v>
      </c>
      <c r="E62" s="383">
        <v>3495.9599999999996</v>
      </c>
      <c r="F62" s="383">
        <v>2261.4</v>
      </c>
      <c r="G62" s="383">
        <v>368.65999999999997</v>
      </c>
      <c r="H62" s="383">
        <v>79.98</v>
      </c>
      <c r="I62" s="383">
        <v>21.689999999999998</v>
      </c>
      <c r="J62" s="383">
        <v>28.900000000000002</v>
      </c>
      <c r="K62" s="383">
        <v>1.5</v>
      </c>
      <c r="L62" s="358"/>
      <c r="M62" s="207">
        <v>2939.3699999999994</v>
      </c>
      <c r="N62" s="207">
        <v>1156.96</v>
      </c>
      <c r="O62" s="207">
        <v>3523.6399999999994</v>
      </c>
      <c r="P62" s="207">
        <v>2271.5700000000002</v>
      </c>
      <c r="Q62" s="207">
        <v>371.90999999999997</v>
      </c>
      <c r="R62" s="207">
        <v>80.7</v>
      </c>
      <c r="S62" s="207">
        <v>21.86</v>
      </c>
      <c r="T62" s="207">
        <v>29.12</v>
      </c>
      <c r="U62" s="207">
        <v>1.51</v>
      </c>
      <c r="V62" s="358"/>
      <c r="W62" s="383">
        <v>2939.3699999999994</v>
      </c>
      <c r="X62" s="383">
        <v>1156.96</v>
      </c>
      <c r="Y62" s="383">
        <v>3523.6399999999994</v>
      </c>
      <c r="Z62" s="383">
        <v>2271.5700000000002</v>
      </c>
      <c r="AA62" s="383">
        <v>371.90999999999997</v>
      </c>
      <c r="AB62" s="383">
        <v>80.7</v>
      </c>
      <c r="AC62" s="383">
        <v>21.86</v>
      </c>
      <c r="AD62" s="383">
        <v>29.12</v>
      </c>
      <c r="AE62" s="383">
        <v>1.51</v>
      </c>
      <c r="AF62" s="416">
        <f t="shared" si="0"/>
        <v>10396.640000000001</v>
      </c>
      <c r="AG62" s="417">
        <f t="shared" si="1"/>
        <v>1.771E-3</v>
      </c>
      <c r="AH62" s="418">
        <f>+AG62*'OH adj'!$G$28</f>
        <v>314.06862623289737</v>
      </c>
      <c r="AI62" s="358"/>
    </row>
    <row r="63" spans="1:35" x14ac:dyDescent="0.25">
      <c r="A63" s="358">
        <f t="shared" si="2"/>
        <v>50</v>
      </c>
      <c r="B63" s="381">
        <v>596000</v>
      </c>
      <c r="C63" s="383">
        <v>8393.65</v>
      </c>
      <c r="D63" s="383">
        <v>1220.3900000000001</v>
      </c>
      <c r="E63" s="383">
        <v>7570.21</v>
      </c>
      <c r="F63" s="383">
        <v>2496.88</v>
      </c>
      <c r="G63" s="383">
        <v>786.63</v>
      </c>
      <c r="H63" s="383">
        <v>173.19</v>
      </c>
      <c r="I63" s="383">
        <v>58.589999999999996</v>
      </c>
      <c r="J63" s="383">
        <v>81.16</v>
      </c>
      <c r="K63" s="383">
        <v>3.59</v>
      </c>
      <c r="L63" s="358"/>
      <c r="M63" s="207">
        <v>8440.32</v>
      </c>
      <c r="N63" s="207">
        <v>1232.3700000000001</v>
      </c>
      <c r="O63" s="207">
        <v>7627.82</v>
      </c>
      <c r="P63" s="207">
        <v>2518.04</v>
      </c>
      <c r="Q63" s="207">
        <v>793.4</v>
      </c>
      <c r="R63" s="207">
        <v>174.7</v>
      </c>
      <c r="S63" s="207">
        <v>58.949999999999996</v>
      </c>
      <c r="T63" s="207">
        <v>81.61</v>
      </c>
      <c r="U63" s="207">
        <v>3.6199999999999997</v>
      </c>
      <c r="V63" s="358"/>
      <c r="W63" s="383">
        <v>8440.32</v>
      </c>
      <c r="X63" s="383">
        <v>1232.3700000000001</v>
      </c>
      <c r="Y63" s="383">
        <v>7627.82</v>
      </c>
      <c r="Z63" s="383">
        <v>2518.04</v>
      </c>
      <c r="AA63" s="383">
        <v>793.4</v>
      </c>
      <c r="AB63" s="383">
        <v>174.7</v>
      </c>
      <c r="AC63" s="383">
        <v>58.949999999999996</v>
      </c>
      <c r="AD63" s="383">
        <v>81.61</v>
      </c>
      <c r="AE63" s="383">
        <v>3.6199999999999997</v>
      </c>
      <c r="AF63" s="416">
        <f t="shared" si="0"/>
        <v>20930.830000000005</v>
      </c>
      <c r="AG63" s="417">
        <f t="shared" si="1"/>
        <v>3.565E-3</v>
      </c>
      <c r="AH63" s="418">
        <f>+AG63*'OH adj'!$G$28</f>
        <v>632.21606579349464</v>
      </c>
      <c r="AI63" s="358"/>
    </row>
    <row r="64" spans="1:35" x14ac:dyDescent="0.25">
      <c r="A64" s="358">
        <f t="shared" si="2"/>
        <v>51</v>
      </c>
      <c r="B64" s="381">
        <v>597000</v>
      </c>
      <c r="C64" s="383">
        <v>2435.88</v>
      </c>
      <c r="D64" s="383">
        <v>370.41</v>
      </c>
      <c r="E64" s="383">
        <v>2044.6999999999998</v>
      </c>
      <c r="F64" s="383">
        <v>701.38999999999987</v>
      </c>
      <c r="G64" s="383">
        <v>211.32000000000002</v>
      </c>
      <c r="H64" s="383">
        <v>46.31</v>
      </c>
      <c r="I64" s="383">
        <v>12.64</v>
      </c>
      <c r="J64" s="383">
        <v>18.77</v>
      </c>
      <c r="K64" s="383">
        <v>1.1400000000000001</v>
      </c>
      <c r="L64" s="358"/>
      <c r="M64" s="207">
        <v>2439.3900000000003</v>
      </c>
      <c r="N64" s="207">
        <v>371.31</v>
      </c>
      <c r="O64" s="207">
        <v>2049.0299999999997</v>
      </c>
      <c r="P64" s="207">
        <v>702.9799999999999</v>
      </c>
      <c r="Q64" s="207">
        <v>211.83</v>
      </c>
      <c r="R64" s="207">
        <v>46.42</v>
      </c>
      <c r="S64" s="207">
        <v>12.67</v>
      </c>
      <c r="T64" s="207">
        <v>18.8</v>
      </c>
      <c r="U64" s="207">
        <v>1.1400000000000001</v>
      </c>
      <c r="V64" s="358"/>
      <c r="W64" s="383">
        <v>2439.3900000000003</v>
      </c>
      <c r="X64" s="383">
        <v>371.31</v>
      </c>
      <c r="Y64" s="383">
        <v>2049.0299999999997</v>
      </c>
      <c r="Z64" s="383">
        <v>702.9799999999999</v>
      </c>
      <c r="AA64" s="383">
        <v>211.83</v>
      </c>
      <c r="AB64" s="383">
        <v>46.42</v>
      </c>
      <c r="AC64" s="383">
        <v>12.67</v>
      </c>
      <c r="AD64" s="383">
        <v>18.8</v>
      </c>
      <c r="AE64" s="383">
        <v>1.1400000000000001</v>
      </c>
      <c r="AF64" s="416">
        <f t="shared" si="0"/>
        <v>5853.57</v>
      </c>
      <c r="AG64" s="417">
        <f t="shared" si="1"/>
        <v>9.9700000000000006E-4</v>
      </c>
      <c r="AH64" s="418">
        <f>+AG64*'OH adj'!$G$28</f>
        <v>176.80769077029851</v>
      </c>
      <c r="AI64" s="358"/>
    </row>
    <row r="65" spans="1:35" x14ac:dyDescent="0.25">
      <c r="A65" s="358">
        <f t="shared" si="2"/>
        <v>52</v>
      </c>
      <c r="B65" s="381">
        <v>598000</v>
      </c>
      <c r="C65" s="383">
        <v>5353.369999999999</v>
      </c>
      <c r="D65" s="383">
        <v>1311.5</v>
      </c>
      <c r="E65" s="383">
        <v>6940.920000000001</v>
      </c>
      <c r="F65" s="383">
        <v>2641.48</v>
      </c>
      <c r="G65" s="383">
        <v>756.36000000000013</v>
      </c>
      <c r="H65" s="383">
        <v>168.3</v>
      </c>
      <c r="I65" s="383">
        <v>61.74</v>
      </c>
      <c r="J65" s="383">
        <v>78.600000000000009</v>
      </c>
      <c r="K65" s="383">
        <v>577.85</v>
      </c>
      <c r="L65" s="358"/>
      <c r="M65" s="207">
        <v>5357.2299999999987</v>
      </c>
      <c r="N65" s="207">
        <v>1312.49</v>
      </c>
      <c r="O65" s="207">
        <v>6945.6800000000012</v>
      </c>
      <c r="P65" s="207">
        <v>2643.23</v>
      </c>
      <c r="Q65" s="207">
        <v>756.92000000000007</v>
      </c>
      <c r="R65" s="207">
        <v>168.42000000000002</v>
      </c>
      <c r="S65" s="207">
        <v>61.77</v>
      </c>
      <c r="T65" s="207">
        <v>78.640000000000015</v>
      </c>
      <c r="U65" s="207">
        <v>577.85</v>
      </c>
      <c r="V65" s="358"/>
      <c r="W65" s="383">
        <v>5451.5499999999984</v>
      </c>
      <c r="X65" s="383">
        <v>1325.92</v>
      </c>
      <c r="Y65" s="383">
        <v>7028.670000000001</v>
      </c>
      <c r="Z65" s="383">
        <v>2673.14</v>
      </c>
      <c r="AA65" s="383">
        <v>764.66000000000008</v>
      </c>
      <c r="AB65" s="383">
        <v>170.49</v>
      </c>
      <c r="AC65" s="383">
        <v>62.49</v>
      </c>
      <c r="AD65" s="383">
        <v>79.52000000000001</v>
      </c>
      <c r="AE65" s="383">
        <v>577.91</v>
      </c>
      <c r="AF65" s="416">
        <f t="shared" si="0"/>
        <v>18134.350000000002</v>
      </c>
      <c r="AG65" s="417">
        <f t="shared" si="1"/>
        <v>3.0890000000000002E-3</v>
      </c>
      <c r="AH65" s="418">
        <f>+AG65*'OH adj'!$G$28</f>
        <v>547.8023638810954</v>
      </c>
      <c r="AI65" s="358"/>
    </row>
    <row r="66" spans="1:35" x14ac:dyDescent="0.25">
      <c r="A66" s="358">
        <f t="shared" si="2"/>
        <v>53</v>
      </c>
      <c r="B66" s="381">
        <v>903000</v>
      </c>
      <c r="C66" s="383">
        <v>486697.76999999996</v>
      </c>
      <c r="D66" s="383">
        <v>20569.03</v>
      </c>
      <c r="E66" s="383">
        <v>436197.39</v>
      </c>
      <c r="F66" s="383">
        <v>151263.07</v>
      </c>
      <c r="G66" s="383">
        <v>17246.77</v>
      </c>
      <c r="H66" s="383">
        <v>10455.660000000002</v>
      </c>
      <c r="I66" s="383">
        <v>4670.7000000000007</v>
      </c>
      <c r="J66" s="383">
        <v>5812.2099999999991</v>
      </c>
      <c r="K66" s="383">
        <v>614.74</v>
      </c>
      <c r="L66" s="358"/>
      <c r="M66" s="207">
        <v>487056.94999999995</v>
      </c>
      <c r="N66" s="207">
        <v>20661.21</v>
      </c>
      <c r="O66" s="207">
        <v>436640.79000000004</v>
      </c>
      <c r="P66" s="207">
        <v>151425.9</v>
      </c>
      <c r="Q66" s="207">
        <v>17298.84</v>
      </c>
      <c r="R66" s="207">
        <v>10467.250000000002</v>
      </c>
      <c r="S66" s="207">
        <v>4673.4500000000007</v>
      </c>
      <c r="T66" s="207">
        <v>5815.6999999999989</v>
      </c>
      <c r="U66" s="207">
        <v>614.94000000000005</v>
      </c>
      <c r="V66" s="358"/>
      <c r="W66" s="383">
        <v>487056.94999999995</v>
      </c>
      <c r="X66" s="383">
        <v>20661.21</v>
      </c>
      <c r="Y66" s="383">
        <v>436640.79000000004</v>
      </c>
      <c r="Z66" s="383">
        <v>151425.9</v>
      </c>
      <c r="AA66" s="383">
        <v>17298.84</v>
      </c>
      <c r="AB66" s="383">
        <v>10467.250000000002</v>
      </c>
      <c r="AC66" s="383">
        <v>4673.4500000000007</v>
      </c>
      <c r="AD66" s="383">
        <v>5815.6999999999989</v>
      </c>
      <c r="AE66" s="383">
        <v>614.94000000000005</v>
      </c>
      <c r="AF66" s="416">
        <f t="shared" si="0"/>
        <v>1134655.0299999998</v>
      </c>
      <c r="AG66" s="417">
        <f t="shared" si="1"/>
        <v>0.19326099999999999</v>
      </c>
      <c r="AH66" s="418">
        <f>+AG66*'OH adj'!$G$28</f>
        <v>34272.849674983612</v>
      </c>
      <c r="AI66" s="358"/>
    </row>
    <row r="67" spans="1:35" hidden="1" x14ac:dyDescent="0.25">
      <c r="A67" s="358">
        <f t="shared" si="2"/>
        <v>54</v>
      </c>
      <c r="B67" s="381">
        <v>903220</v>
      </c>
      <c r="C67" s="383">
        <v>0</v>
      </c>
      <c r="D67" s="383">
        <v>0</v>
      </c>
      <c r="E67" s="383">
        <v>0</v>
      </c>
      <c r="F67" s="383">
        <v>0</v>
      </c>
      <c r="G67" s="383">
        <v>0</v>
      </c>
      <c r="H67" s="383">
        <v>0</v>
      </c>
      <c r="I67" s="383">
        <v>0</v>
      </c>
      <c r="J67" s="383">
        <v>0</v>
      </c>
      <c r="K67" s="383">
        <v>0</v>
      </c>
      <c r="L67" s="358"/>
      <c r="M67" s="207">
        <v>0</v>
      </c>
      <c r="N67" s="207">
        <v>0</v>
      </c>
      <c r="O67" s="207">
        <v>0</v>
      </c>
      <c r="P67" s="207">
        <v>0</v>
      </c>
      <c r="Q67" s="207">
        <v>0</v>
      </c>
      <c r="R67" s="207">
        <v>0</v>
      </c>
      <c r="S67" s="207">
        <v>0</v>
      </c>
      <c r="T67" s="207">
        <v>0</v>
      </c>
      <c r="U67" s="207">
        <v>0</v>
      </c>
      <c r="V67" s="358"/>
      <c r="W67" s="383">
        <v>0</v>
      </c>
      <c r="X67" s="383">
        <v>0</v>
      </c>
      <c r="Y67" s="383">
        <v>0</v>
      </c>
      <c r="Z67" s="383">
        <v>0</v>
      </c>
      <c r="AA67" s="383">
        <v>0</v>
      </c>
      <c r="AB67" s="383">
        <v>0</v>
      </c>
      <c r="AC67" s="383">
        <v>0</v>
      </c>
      <c r="AD67" s="383">
        <v>0</v>
      </c>
      <c r="AE67" s="383">
        <v>0</v>
      </c>
      <c r="AF67" s="416">
        <f t="shared" si="0"/>
        <v>0</v>
      </c>
      <c r="AG67" s="417">
        <f t="shared" si="1"/>
        <v>0</v>
      </c>
      <c r="AH67" s="418">
        <f>+AG67*'OH adj'!$G$28</f>
        <v>0</v>
      </c>
      <c r="AI67" s="358"/>
    </row>
    <row r="68" spans="1:35" hidden="1" x14ac:dyDescent="0.25">
      <c r="A68" s="358">
        <f t="shared" si="2"/>
        <v>55</v>
      </c>
      <c r="B68" s="381">
        <v>903230</v>
      </c>
      <c r="C68" s="383">
        <v>0</v>
      </c>
      <c r="D68" s="383">
        <v>0</v>
      </c>
      <c r="E68" s="383">
        <v>0</v>
      </c>
      <c r="F68" s="383">
        <v>0</v>
      </c>
      <c r="G68" s="383">
        <v>0</v>
      </c>
      <c r="H68" s="383">
        <v>0</v>
      </c>
      <c r="I68" s="383">
        <v>0</v>
      </c>
      <c r="J68" s="383">
        <v>0</v>
      </c>
      <c r="K68" s="383">
        <v>0</v>
      </c>
      <c r="L68" s="358"/>
      <c r="M68" s="207">
        <v>0</v>
      </c>
      <c r="N68" s="207">
        <v>0</v>
      </c>
      <c r="O68" s="207">
        <v>0</v>
      </c>
      <c r="P68" s="207">
        <v>0</v>
      </c>
      <c r="Q68" s="207">
        <v>0</v>
      </c>
      <c r="R68" s="207">
        <v>0</v>
      </c>
      <c r="S68" s="207">
        <v>0</v>
      </c>
      <c r="T68" s="207">
        <v>0</v>
      </c>
      <c r="U68" s="207">
        <v>0</v>
      </c>
      <c r="V68" s="358"/>
      <c r="W68" s="383">
        <v>0</v>
      </c>
      <c r="X68" s="383">
        <v>0</v>
      </c>
      <c r="Y68" s="383">
        <v>0</v>
      </c>
      <c r="Z68" s="383">
        <v>0</v>
      </c>
      <c r="AA68" s="383">
        <v>0</v>
      </c>
      <c r="AB68" s="383">
        <v>0</v>
      </c>
      <c r="AC68" s="383">
        <v>0</v>
      </c>
      <c r="AD68" s="383">
        <v>0</v>
      </c>
      <c r="AE68" s="383">
        <v>0</v>
      </c>
      <c r="AF68" s="416">
        <f t="shared" si="0"/>
        <v>0</v>
      </c>
      <c r="AG68" s="417">
        <f t="shared" si="1"/>
        <v>0</v>
      </c>
      <c r="AH68" s="418">
        <f>+AG68*'OH adj'!$G$28</f>
        <v>0</v>
      </c>
      <c r="AI68" s="358"/>
    </row>
    <row r="69" spans="1:35" hidden="1" x14ac:dyDescent="0.25">
      <c r="A69" s="358">
        <f t="shared" si="2"/>
        <v>56</v>
      </c>
      <c r="B69" s="381">
        <v>903240</v>
      </c>
      <c r="C69" s="383">
        <v>0</v>
      </c>
      <c r="D69" s="383">
        <v>0</v>
      </c>
      <c r="E69" s="383">
        <v>0</v>
      </c>
      <c r="F69" s="383">
        <v>0</v>
      </c>
      <c r="G69" s="383">
        <v>0</v>
      </c>
      <c r="H69" s="383">
        <v>0</v>
      </c>
      <c r="I69" s="383">
        <v>0</v>
      </c>
      <c r="J69" s="383">
        <v>0</v>
      </c>
      <c r="K69" s="383">
        <v>0</v>
      </c>
      <c r="L69" s="358"/>
      <c r="M69" s="207">
        <v>0</v>
      </c>
      <c r="N69" s="207">
        <v>0</v>
      </c>
      <c r="O69" s="207">
        <v>0</v>
      </c>
      <c r="P69" s="207">
        <v>0</v>
      </c>
      <c r="Q69" s="207">
        <v>0</v>
      </c>
      <c r="R69" s="207">
        <v>0</v>
      </c>
      <c r="S69" s="207">
        <v>0</v>
      </c>
      <c r="T69" s="207">
        <v>0</v>
      </c>
      <c r="U69" s="207">
        <v>0</v>
      </c>
      <c r="V69" s="358"/>
      <c r="W69" s="383">
        <v>0</v>
      </c>
      <c r="X69" s="383">
        <v>0</v>
      </c>
      <c r="Y69" s="383">
        <v>0</v>
      </c>
      <c r="Z69" s="383">
        <v>0</v>
      </c>
      <c r="AA69" s="383">
        <v>0</v>
      </c>
      <c r="AB69" s="383">
        <v>0</v>
      </c>
      <c r="AC69" s="383">
        <v>0</v>
      </c>
      <c r="AD69" s="383">
        <v>0</v>
      </c>
      <c r="AE69" s="383">
        <v>0</v>
      </c>
      <c r="AF69" s="416">
        <f t="shared" si="0"/>
        <v>0</v>
      </c>
      <c r="AG69" s="417">
        <f t="shared" si="1"/>
        <v>0</v>
      </c>
      <c r="AH69" s="418">
        <f>+AG69*'OH adj'!$G$28</f>
        <v>0</v>
      </c>
      <c r="AI69" s="358"/>
    </row>
    <row r="70" spans="1:35" x14ac:dyDescent="0.25">
      <c r="A70" s="358">
        <f t="shared" si="2"/>
        <v>57</v>
      </c>
      <c r="B70" s="381">
        <v>908000</v>
      </c>
      <c r="C70" s="383">
        <v>23861.98</v>
      </c>
      <c r="D70" s="383">
        <v>2792.8700000000003</v>
      </c>
      <c r="E70" s="383">
        <v>20093.5</v>
      </c>
      <c r="F70" s="383">
        <v>6929.6999999999989</v>
      </c>
      <c r="G70" s="383">
        <v>1735.76</v>
      </c>
      <c r="H70" s="383">
        <v>491.99999999999994</v>
      </c>
      <c r="I70" s="383">
        <v>157.69000000000003</v>
      </c>
      <c r="J70" s="383">
        <v>193.43</v>
      </c>
      <c r="K70" s="383">
        <v>13.420000000000002</v>
      </c>
      <c r="L70" s="358"/>
      <c r="M70" s="207">
        <v>23865.81</v>
      </c>
      <c r="N70" s="207">
        <v>2793.8500000000004</v>
      </c>
      <c r="O70" s="207">
        <v>20098.23</v>
      </c>
      <c r="P70" s="207">
        <v>6931.4399999999987</v>
      </c>
      <c r="Q70" s="207">
        <v>1736.32</v>
      </c>
      <c r="R70" s="207">
        <v>492.11999999999995</v>
      </c>
      <c r="S70" s="207">
        <v>157.72000000000003</v>
      </c>
      <c r="T70" s="207">
        <v>193.47</v>
      </c>
      <c r="U70" s="207">
        <v>13.420000000000002</v>
      </c>
      <c r="V70" s="358"/>
      <c r="W70" s="383">
        <v>23865.81</v>
      </c>
      <c r="X70" s="383">
        <v>2793.8500000000004</v>
      </c>
      <c r="Y70" s="383">
        <v>20098.23</v>
      </c>
      <c r="Z70" s="383">
        <v>6931.4399999999987</v>
      </c>
      <c r="AA70" s="383">
        <v>1736.32</v>
      </c>
      <c r="AB70" s="383">
        <v>492.11999999999995</v>
      </c>
      <c r="AC70" s="383">
        <v>157.72000000000003</v>
      </c>
      <c r="AD70" s="383">
        <v>193.47</v>
      </c>
      <c r="AE70" s="383">
        <v>13.420000000000002</v>
      </c>
      <c r="AF70" s="416">
        <f t="shared" si="0"/>
        <v>56282.380000000005</v>
      </c>
      <c r="AG70" s="417">
        <f t="shared" si="1"/>
        <v>9.5860000000000008E-3</v>
      </c>
      <c r="AH70" s="418">
        <f>+AG70*'OH adj'!$G$28</f>
        <v>1699.9784591013859</v>
      </c>
      <c r="AI70" s="358"/>
    </row>
    <row r="71" spans="1:35" x14ac:dyDescent="0.25">
      <c r="A71" s="358">
        <f t="shared" si="2"/>
        <v>58</v>
      </c>
      <c r="B71" s="381">
        <v>912000</v>
      </c>
      <c r="C71" s="383">
        <v>9184.2200000000012</v>
      </c>
      <c r="D71" s="383">
        <v>2074.9900000000002</v>
      </c>
      <c r="E71" s="383">
        <v>11208.85</v>
      </c>
      <c r="F71" s="383">
        <v>4050.3800000000006</v>
      </c>
      <c r="G71" s="383">
        <v>1205.51</v>
      </c>
      <c r="H71" s="383">
        <v>292.08000000000004</v>
      </c>
      <c r="I71" s="383">
        <v>123.08</v>
      </c>
      <c r="J71" s="383">
        <v>160.74</v>
      </c>
      <c r="K71" s="383">
        <v>24.419999999999998</v>
      </c>
      <c r="L71" s="358"/>
      <c r="M71" s="207">
        <v>9191.8100000000013</v>
      </c>
      <c r="N71" s="207">
        <v>2076.94</v>
      </c>
      <c r="O71" s="207">
        <v>11218.220000000001</v>
      </c>
      <c r="P71" s="207">
        <v>4053.8200000000006</v>
      </c>
      <c r="Q71" s="207">
        <v>1206.6099999999999</v>
      </c>
      <c r="R71" s="207">
        <v>292.32000000000005</v>
      </c>
      <c r="S71" s="207">
        <v>123.14</v>
      </c>
      <c r="T71" s="207">
        <v>160.81</v>
      </c>
      <c r="U71" s="207">
        <v>24.419999999999998</v>
      </c>
      <c r="V71" s="358"/>
      <c r="W71" s="383">
        <v>9191.8100000000013</v>
      </c>
      <c r="X71" s="383">
        <v>2076.94</v>
      </c>
      <c r="Y71" s="383">
        <v>11218.220000000001</v>
      </c>
      <c r="Z71" s="383">
        <v>4053.8200000000006</v>
      </c>
      <c r="AA71" s="383">
        <v>1206.6099999999999</v>
      </c>
      <c r="AB71" s="383">
        <v>292.32000000000005</v>
      </c>
      <c r="AC71" s="383">
        <v>123.14</v>
      </c>
      <c r="AD71" s="383">
        <v>160.81</v>
      </c>
      <c r="AE71" s="383">
        <v>24.419999999999998</v>
      </c>
      <c r="AF71" s="416">
        <f t="shared" si="0"/>
        <v>28348.09</v>
      </c>
      <c r="AG71" s="417">
        <f t="shared" si="1"/>
        <v>4.8279999999999998E-3</v>
      </c>
      <c r="AH71" s="418">
        <f>+AG71*'OH adj'!$G$28</f>
        <v>856.19611939719277</v>
      </c>
      <c r="AI71" s="358"/>
    </row>
    <row r="72" spans="1:35" hidden="1" x14ac:dyDescent="0.25">
      <c r="A72" s="358">
        <f t="shared" si="2"/>
        <v>59</v>
      </c>
      <c r="B72" s="381">
        <v>913000</v>
      </c>
      <c r="C72" s="383">
        <v>0</v>
      </c>
      <c r="D72" s="383">
        <v>0</v>
      </c>
      <c r="E72" s="383">
        <v>0</v>
      </c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v>0</v>
      </c>
      <c r="L72" s="358"/>
      <c r="M72" s="207">
        <v>0</v>
      </c>
      <c r="N72" s="207">
        <v>0</v>
      </c>
      <c r="O72" s="207">
        <v>0</v>
      </c>
      <c r="P72" s="207">
        <v>0</v>
      </c>
      <c r="Q72" s="207">
        <v>0</v>
      </c>
      <c r="R72" s="207">
        <v>0</v>
      </c>
      <c r="S72" s="207">
        <v>0</v>
      </c>
      <c r="T72" s="207">
        <v>0</v>
      </c>
      <c r="U72" s="207">
        <v>0</v>
      </c>
      <c r="V72" s="358"/>
      <c r="W72" s="383">
        <v>0</v>
      </c>
      <c r="X72" s="383">
        <v>0</v>
      </c>
      <c r="Y72" s="383">
        <v>0</v>
      </c>
      <c r="Z72" s="383">
        <v>0</v>
      </c>
      <c r="AA72" s="383">
        <v>0</v>
      </c>
      <c r="AB72" s="383">
        <v>0</v>
      </c>
      <c r="AC72" s="383">
        <v>0</v>
      </c>
      <c r="AD72" s="383">
        <v>0</v>
      </c>
      <c r="AE72" s="383">
        <v>0</v>
      </c>
      <c r="AF72" s="416">
        <f t="shared" si="0"/>
        <v>0</v>
      </c>
      <c r="AG72" s="417">
        <f t="shared" si="1"/>
        <v>0</v>
      </c>
      <c r="AH72" s="418">
        <f>+AG72*'OH adj'!$G$28</f>
        <v>0</v>
      </c>
      <c r="AI72" s="358"/>
    </row>
    <row r="73" spans="1:35" hidden="1" x14ac:dyDescent="0.25">
      <c r="A73" s="358">
        <f t="shared" si="2"/>
        <v>60</v>
      </c>
      <c r="B73" s="381">
        <v>913220</v>
      </c>
      <c r="C73" s="383">
        <v>0</v>
      </c>
      <c r="D73" s="383">
        <v>0</v>
      </c>
      <c r="E73" s="383">
        <v>0</v>
      </c>
      <c r="F73" s="383">
        <v>0</v>
      </c>
      <c r="G73" s="383">
        <v>0</v>
      </c>
      <c r="H73" s="383">
        <v>0</v>
      </c>
      <c r="I73" s="383">
        <v>0</v>
      </c>
      <c r="J73" s="383">
        <v>0</v>
      </c>
      <c r="K73" s="383">
        <v>0</v>
      </c>
      <c r="L73" s="358"/>
      <c r="M73" s="207">
        <v>0</v>
      </c>
      <c r="N73" s="207">
        <v>0</v>
      </c>
      <c r="O73" s="207">
        <v>0</v>
      </c>
      <c r="P73" s="207">
        <v>0</v>
      </c>
      <c r="Q73" s="207">
        <v>0</v>
      </c>
      <c r="R73" s="207">
        <v>0</v>
      </c>
      <c r="S73" s="207">
        <v>0</v>
      </c>
      <c r="T73" s="207">
        <v>0</v>
      </c>
      <c r="U73" s="207">
        <v>0</v>
      </c>
      <c r="V73" s="358"/>
      <c r="W73" s="383">
        <v>0</v>
      </c>
      <c r="X73" s="383">
        <v>0</v>
      </c>
      <c r="Y73" s="383">
        <v>0</v>
      </c>
      <c r="Z73" s="383">
        <v>0</v>
      </c>
      <c r="AA73" s="383">
        <v>0</v>
      </c>
      <c r="AB73" s="383">
        <v>0</v>
      </c>
      <c r="AC73" s="383">
        <v>0</v>
      </c>
      <c r="AD73" s="383">
        <v>0</v>
      </c>
      <c r="AE73" s="383">
        <v>0</v>
      </c>
      <c r="AF73" s="416">
        <f t="shared" si="0"/>
        <v>0</v>
      </c>
      <c r="AG73" s="417">
        <f t="shared" si="1"/>
        <v>0</v>
      </c>
      <c r="AH73" s="418">
        <f>+AG73*'OH adj'!$G$28</f>
        <v>0</v>
      </c>
      <c r="AI73" s="358"/>
    </row>
    <row r="74" spans="1:35" hidden="1" x14ac:dyDescent="0.25">
      <c r="A74" s="358">
        <f t="shared" si="2"/>
        <v>61</v>
      </c>
      <c r="B74" s="381">
        <v>913230</v>
      </c>
      <c r="C74" s="383">
        <v>0</v>
      </c>
      <c r="D74" s="383">
        <v>0</v>
      </c>
      <c r="E74" s="383">
        <v>0</v>
      </c>
      <c r="F74" s="383">
        <v>0</v>
      </c>
      <c r="G74" s="383">
        <v>0</v>
      </c>
      <c r="H74" s="383">
        <v>0</v>
      </c>
      <c r="I74" s="383">
        <v>0</v>
      </c>
      <c r="J74" s="383">
        <v>0</v>
      </c>
      <c r="K74" s="383">
        <v>0</v>
      </c>
      <c r="L74" s="358"/>
      <c r="M74" s="207">
        <v>0</v>
      </c>
      <c r="N74" s="207">
        <v>0</v>
      </c>
      <c r="O74" s="207">
        <v>0</v>
      </c>
      <c r="P74" s="207">
        <v>0</v>
      </c>
      <c r="Q74" s="207">
        <v>0</v>
      </c>
      <c r="R74" s="207">
        <v>0</v>
      </c>
      <c r="S74" s="207">
        <v>0</v>
      </c>
      <c r="T74" s="207">
        <v>0</v>
      </c>
      <c r="U74" s="207">
        <v>0</v>
      </c>
      <c r="V74" s="358"/>
      <c r="W74" s="383">
        <v>0</v>
      </c>
      <c r="X74" s="383">
        <v>0</v>
      </c>
      <c r="Y74" s="383">
        <v>0</v>
      </c>
      <c r="Z74" s="383">
        <v>0</v>
      </c>
      <c r="AA74" s="383">
        <v>0</v>
      </c>
      <c r="AB74" s="383">
        <v>0</v>
      </c>
      <c r="AC74" s="383">
        <v>0</v>
      </c>
      <c r="AD74" s="383">
        <v>0</v>
      </c>
      <c r="AE74" s="383">
        <v>0</v>
      </c>
      <c r="AF74" s="416">
        <f t="shared" si="0"/>
        <v>0</v>
      </c>
      <c r="AG74" s="417">
        <f t="shared" si="1"/>
        <v>0</v>
      </c>
      <c r="AH74" s="418">
        <f>+AG74*'OH adj'!$G$28</f>
        <v>0</v>
      </c>
      <c r="AI74" s="358"/>
    </row>
    <row r="75" spans="1:35" hidden="1" x14ac:dyDescent="0.25">
      <c r="A75" s="358">
        <f t="shared" si="2"/>
        <v>62</v>
      </c>
      <c r="B75" s="381">
        <v>913240</v>
      </c>
      <c r="C75" s="383">
        <v>0</v>
      </c>
      <c r="D75" s="383">
        <v>0</v>
      </c>
      <c r="E75" s="383">
        <v>0</v>
      </c>
      <c r="F75" s="383">
        <v>0</v>
      </c>
      <c r="G75" s="383">
        <v>0</v>
      </c>
      <c r="H75" s="383">
        <v>0</v>
      </c>
      <c r="I75" s="383">
        <v>0</v>
      </c>
      <c r="J75" s="383">
        <v>0</v>
      </c>
      <c r="K75" s="383">
        <v>0</v>
      </c>
      <c r="L75" s="358"/>
      <c r="M75" s="207">
        <v>0</v>
      </c>
      <c r="N75" s="207">
        <v>0</v>
      </c>
      <c r="O75" s="207">
        <v>0</v>
      </c>
      <c r="P75" s="207">
        <v>0</v>
      </c>
      <c r="Q75" s="207">
        <v>0</v>
      </c>
      <c r="R75" s="207">
        <v>0</v>
      </c>
      <c r="S75" s="207">
        <v>0</v>
      </c>
      <c r="T75" s="207">
        <v>0</v>
      </c>
      <c r="U75" s="207">
        <v>0</v>
      </c>
      <c r="V75" s="358"/>
      <c r="W75" s="383">
        <v>0</v>
      </c>
      <c r="X75" s="383">
        <v>0</v>
      </c>
      <c r="Y75" s="383">
        <v>0</v>
      </c>
      <c r="Z75" s="383">
        <v>0</v>
      </c>
      <c r="AA75" s="383">
        <v>0</v>
      </c>
      <c r="AB75" s="383">
        <v>0</v>
      </c>
      <c r="AC75" s="383">
        <v>0</v>
      </c>
      <c r="AD75" s="383">
        <v>0</v>
      </c>
      <c r="AE75" s="383">
        <v>0</v>
      </c>
      <c r="AF75" s="416">
        <f t="shared" ref="AF75:AF103" si="3">SUM(W75:AE75)</f>
        <v>0</v>
      </c>
      <c r="AG75" s="417">
        <f t="shared" ref="AG75:AG103" si="4">+ROUND(AF75/$AF$105,6)</f>
        <v>0</v>
      </c>
      <c r="AH75" s="418">
        <f>+AG75*'OH adj'!$G$28</f>
        <v>0</v>
      </c>
      <c r="AI75" s="358"/>
    </row>
    <row r="76" spans="1:35" x14ac:dyDescent="0.25">
      <c r="A76" s="358">
        <f t="shared" si="2"/>
        <v>63</v>
      </c>
      <c r="B76" s="381">
        <v>920000</v>
      </c>
      <c r="C76" s="383">
        <v>212419.38</v>
      </c>
      <c r="D76" s="383">
        <v>4420.8199999999988</v>
      </c>
      <c r="E76" s="383">
        <v>276267.53999999998</v>
      </c>
      <c r="F76" s="383">
        <v>89526.84</v>
      </c>
      <c r="G76" s="383">
        <v>6374.4900000000007</v>
      </c>
      <c r="H76" s="383">
        <v>6889.2300000000005</v>
      </c>
      <c r="I76" s="383">
        <v>1791.9199999999996</v>
      </c>
      <c r="J76" s="383">
        <v>2189.9300000000003</v>
      </c>
      <c r="K76" s="383">
        <v>393.96000000000004</v>
      </c>
      <c r="L76" s="358"/>
      <c r="M76" s="207">
        <v>212491.85</v>
      </c>
      <c r="N76" s="207">
        <v>4439.4199999999992</v>
      </c>
      <c r="O76" s="207">
        <v>276357</v>
      </c>
      <c r="P76" s="207">
        <v>89559.69</v>
      </c>
      <c r="Q76" s="207">
        <v>6385.0000000000009</v>
      </c>
      <c r="R76" s="207">
        <v>6891.5700000000006</v>
      </c>
      <c r="S76" s="207">
        <v>1792.4799999999996</v>
      </c>
      <c r="T76" s="207">
        <v>2190.63</v>
      </c>
      <c r="U76" s="207">
        <v>394.00000000000006</v>
      </c>
      <c r="V76" s="358"/>
      <c r="W76" s="383">
        <v>212491.85</v>
      </c>
      <c r="X76" s="383">
        <v>4439.4199999999992</v>
      </c>
      <c r="Y76" s="383">
        <v>276357</v>
      </c>
      <c r="Z76" s="383">
        <v>89559.69</v>
      </c>
      <c r="AA76" s="383">
        <v>6385.0000000000009</v>
      </c>
      <c r="AB76" s="383">
        <v>6891.5700000000006</v>
      </c>
      <c r="AC76" s="383">
        <v>1792.4799999999996</v>
      </c>
      <c r="AD76" s="383">
        <v>2190.63</v>
      </c>
      <c r="AE76" s="383">
        <v>394.00000000000006</v>
      </c>
      <c r="AF76" s="416">
        <f t="shared" si="3"/>
        <v>600501.6399999999</v>
      </c>
      <c r="AG76" s="417">
        <f t="shared" si="4"/>
        <v>0.102281</v>
      </c>
      <c r="AH76" s="418">
        <f>+AG76*'OH adj'!$G$28</f>
        <v>18138.482868281746</v>
      </c>
      <c r="AI76" s="358"/>
    </row>
    <row r="77" spans="1:35" x14ac:dyDescent="0.25">
      <c r="A77" s="358">
        <f t="shared" si="2"/>
        <v>64</v>
      </c>
      <c r="B77" s="381">
        <v>920220</v>
      </c>
      <c r="C77" s="383">
        <v>42.99</v>
      </c>
      <c r="D77" s="383">
        <v>7.57</v>
      </c>
      <c r="E77" s="383">
        <v>59.959999999999994</v>
      </c>
      <c r="F77" s="383">
        <v>21.7</v>
      </c>
      <c r="G77" s="383">
        <v>5.93</v>
      </c>
      <c r="H77" s="383">
        <v>1.53</v>
      </c>
      <c r="I77" s="383">
        <v>0.48</v>
      </c>
      <c r="J77" s="383">
        <v>0.82</v>
      </c>
      <c r="K77" s="383">
        <v>0.02</v>
      </c>
      <c r="L77" s="358"/>
      <c r="M77" s="207">
        <v>43.050000000000004</v>
      </c>
      <c r="N77" s="207">
        <v>7.59</v>
      </c>
      <c r="O77" s="207">
        <v>60.039999999999992</v>
      </c>
      <c r="P77" s="207">
        <v>21.73</v>
      </c>
      <c r="Q77" s="207">
        <v>5.9399999999999995</v>
      </c>
      <c r="R77" s="207">
        <v>1.53</v>
      </c>
      <c r="S77" s="207">
        <v>0.48</v>
      </c>
      <c r="T77" s="207">
        <v>0.82</v>
      </c>
      <c r="U77" s="207">
        <v>0.02</v>
      </c>
      <c r="V77" s="358"/>
      <c r="W77" s="383">
        <v>43.050000000000004</v>
      </c>
      <c r="X77" s="383">
        <v>7.59</v>
      </c>
      <c r="Y77" s="383">
        <v>60.039999999999992</v>
      </c>
      <c r="Z77" s="383">
        <v>21.73</v>
      </c>
      <c r="AA77" s="383">
        <v>5.9399999999999995</v>
      </c>
      <c r="AB77" s="383">
        <v>1.53</v>
      </c>
      <c r="AC77" s="383">
        <v>0.48</v>
      </c>
      <c r="AD77" s="383">
        <v>0.82</v>
      </c>
      <c r="AE77" s="383">
        <v>0.02</v>
      </c>
      <c r="AF77" s="416">
        <f t="shared" si="3"/>
        <v>141.19999999999999</v>
      </c>
      <c r="AG77" s="417">
        <f t="shared" si="4"/>
        <v>2.4000000000000001E-5</v>
      </c>
      <c r="AH77" s="418">
        <f>+AG77*'OH adj'!$G$28</f>
        <v>4.2561530375999643</v>
      </c>
      <c r="AI77" s="358"/>
    </row>
    <row r="78" spans="1:35" hidden="1" x14ac:dyDescent="0.25">
      <c r="A78" s="358">
        <f t="shared" ref="A78:A117" si="5">A77+1</f>
        <v>65</v>
      </c>
      <c r="B78" s="381">
        <v>920221</v>
      </c>
      <c r="C78" s="383">
        <v>0</v>
      </c>
      <c r="D78" s="383">
        <v>0</v>
      </c>
      <c r="E78" s="383">
        <v>0</v>
      </c>
      <c r="F78" s="383">
        <v>0</v>
      </c>
      <c r="G78" s="383">
        <v>0</v>
      </c>
      <c r="H78" s="383">
        <v>0</v>
      </c>
      <c r="I78" s="383">
        <v>0</v>
      </c>
      <c r="J78" s="383">
        <v>0</v>
      </c>
      <c r="K78" s="383">
        <v>0</v>
      </c>
      <c r="L78" s="358"/>
      <c r="M78" s="207">
        <v>0</v>
      </c>
      <c r="N78" s="207">
        <v>0</v>
      </c>
      <c r="O78" s="207">
        <v>0</v>
      </c>
      <c r="P78" s="207">
        <v>0</v>
      </c>
      <c r="Q78" s="207">
        <v>0</v>
      </c>
      <c r="R78" s="207">
        <v>0</v>
      </c>
      <c r="S78" s="207">
        <v>0</v>
      </c>
      <c r="T78" s="207">
        <v>0</v>
      </c>
      <c r="U78" s="207">
        <v>0</v>
      </c>
      <c r="V78" s="358"/>
      <c r="W78" s="383">
        <v>0</v>
      </c>
      <c r="X78" s="383">
        <v>0</v>
      </c>
      <c r="Y78" s="383">
        <v>0</v>
      </c>
      <c r="Z78" s="383">
        <v>0</v>
      </c>
      <c r="AA78" s="383">
        <v>0</v>
      </c>
      <c r="AB78" s="383">
        <v>0</v>
      </c>
      <c r="AC78" s="383">
        <v>0</v>
      </c>
      <c r="AD78" s="383">
        <v>0</v>
      </c>
      <c r="AE78" s="383">
        <v>0</v>
      </c>
      <c r="AF78" s="416">
        <f t="shared" si="3"/>
        <v>0</v>
      </c>
      <c r="AG78" s="417">
        <f t="shared" si="4"/>
        <v>0</v>
      </c>
      <c r="AH78" s="418">
        <f>+AG78*'OH adj'!$G$28</f>
        <v>0</v>
      </c>
      <c r="AI78" s="358"/>
    </row>
    <row r="79" spans="1:35" x14ac:dyDescent="0.25">
      <c r="A79" s="358">
        <f t="shared" si="5"/>
        <v>66</v>
      </c>
      <c r="B79" s="381">
        <v>920230</v>
      </c>
      <c r="C79" s="383">
        <v>499.92999999999995</v>
      </c>
      <c r="D79" s="383">
        <v>-15.44</v>
      </c>
      <c r="E79" s="383">
        <v>1163.82</v>
      </c>
      <c r="F79" s="383">
        <v>246.21999999999997</v>
      </c>
      <c r="G79" s="383">
        <v>0</v>
      </c>
      <c r="H79" s="383">
        <v>31.650000000000002</v>
      </c>
      <c r="I79" s="383">
        <v>2.38</v>
      </c>
      <c r="J79" s="383">
        <v>3.03</v>
      </c>
      <c r="K79" s="383">
        <v>0.30000000000000004</v>
      </c>
      <c r="L79" s="358"/>
      <c r="M79" s="207">
        <v>500.21999999999997</v>
      </c>
      <c r="N79" s="207">
        <v>-15.37</v>
      </c>
      <c r="O79" s="207">
        <v>1164.1799999999998</v>
      </c>
      <c r="P79" s="207">
        <v>246.34999999999997</v>
      </c>
      <c r="Q79" s="207">
        <v>0.04</v>
      </c>
      <c r="R79" s="207">
        <v>31.660000000000004</v>
      </c>
      <c r="S79" s="207">
        <v>2.38</v>
      </c>
      <c r="T79" s="207">
        <v>3.03</v>
      </c>
      <c r="U79" s="207">
        <v>0.30000000000000004</v>
      </c>
      <c r="V79" s="358"/>
      <c r="W79" s="383">
        <v>500.21999999999997</v>
      </c>
      <c r="X79" s="383">
        <v>-15.37</v>
      </c>
      <c r="Y79" s="383">
        <v>1164.1799999999998</v>
      </c>
      <c r="Z79" s="383">
        <v>246.34999999999997</v>
      </c>
      <c r="AA79" s="383">
        <v>0.04</v>
      </c>
      <c r="AB79" s="383">
        <v>31.660000000000004</v>
      </c>
      <c r="AC79" s="383">
        <v>2.38</v>
      </c>
      <c r="AD79" s="383">
        <v>3.03</v>
      </c>
      <c r="AE79" s="383">
        <v>0.30000000000000004</v>
      </c>
      <c r="AF79" s="416">
        <f t="shared" si="3"/>
        <v>1932.7899999999997</v>
      </c>
      <c r="AG79" s="417">
        <f t="shared" si="4"/>
        <v>3.2899999999999997E-4</v>
      </c>
      <c r="AH79" s="418">
        <f>+AG79*'OH adj'!$G$28</f>
        <v>58.344764557099502</v>
      </c>
      <c r="AI79" s="358"/>
    </row>
    <row r="80" spans="1:35" hidden="1" x14ac:dyDescent="0.25">
      <c r="A80" s="358">
        <f t="shared" si="5"/>
        <v>67</v>
      </c>
      <c r="B80" s="381">
        <v>920231</v>
      </c>
      <c r="C80" s="383">
        <v>0</v>
      </c>
      <c r="D80" s="383">
        <v>0</v>
      </c>
      <c r="E80" s="383">
        <v>0</v>
      </c>
      <c r="F80" s="383">
        <v>0</v>
      </c>
      <c r="G80" s="383">
        <v>0</v>
      </c>
      <c r="H80" s="383">
        <v>0</v>
      </c>
      <c r="I80" s="383">
        <v>0</v>
      </c>
      <c r="J80" s="383">
        <v>0</v>
      </c>
      <c r="K80" s="383">
        <v>0</v>
      </c>
      <c r="L80" s="358"/>
      <c r="M80" s="207">
        <v>0</v>
      </c>
      <c r="N80" s="207">
        <v>0</v>
      </c>
      <c r="O80" s="207">
        <v>0</v>
      </c>
      <c r="P80" s="207">
        <v>0</v>
      </c>
      <c r="Q80" s="207">
        <v>0</v>
      </c>
      <c r="R80" s="207">
        <v>0</v>
      </c>
      <c r="S80" s="207">
        <v>0</v>
      </c>
      <c r="T80" s="207">
        <v>0</v>
      </c>
      <c r="U80" s="207">
        <v>0</v>
      </c>
      <c r="V80" s="358"/>
      <c r="W80" s="383">
        <v>0</v>
      </c>
      <c r="X80" s="383">
        <v>0</v>
      </c>
      <c r="Y80" s="383">
        <v>0</v>
      </c>
      <c r="Z80" s="383">
        <v>0</v>
      </c>
      <c r="AA80" s="383">
        <v>0</v>
      </c>
      <c r="AB80" s="383">
        <v>0</v>
      </c>
      <c r="AC80" s="383">
        <v>0</v>
      </c>
      <c r="AD80" s="383">
        <v>0</v>
      </c>
      <c r="AE80" s="383">
        <v>0</v>
      </c>
      <c r="AF80" s="416">
        <f t="shared" si="3"/>
        <v>0</v>
      </c>
      <c r="AG80" s="417">
        <f t="shared" si="4"/>
        <v>0</v>
      </c>
      <c r="AH80" s="418">
        <f>+AG80*'OH adj'!$G$28</f>
        <v>0</v>
      </c>
      <c r="AI80" s="358"/>
    </row>
    <row r="81" spans="1:35" x14ac:dyDescent="0.25">
      <c r="A81" s="358">
        <f t="shared" si="5"/>
        <v>68</v>
      </c>
      <c r="B81" s="381">
        <v>920240</v>
      </c>
      <c r="C81" s="383">
        <v>744.06</v>
      </c>
      <c r="D81" s="383">
        <v>172.69</v>
      </c>
      <c r="E81" s="383">
        <v>1488.34</v>
      </c>
      <c r="F81" s="383">
        <v>326.89999999999998</v>
      </c>
      <c r="G81" s="383">
        <v>123.19</v>
      </c>
      <c r="H81" s="383">
        <v>36.909999999999997</v>
      </c>
      <c r="I81" s="383">
        <v>0.24</v>
      </c>
      <c r="J81" s="383">
        <v>0.41</v>
      </c>
      <c r="K81" s="383">
        <v>0.08</v>
      </c>
      <c r="L81" s="358"/>
      <c r="M81" s="207">
        <v>744.8</v>
      </c>
      <c r="N81" s="207">
        <v>172.88</v>
      </c>
      <c r="O81" s="207">
        <v>1489.25</v>
      </c>
      <c r="P81" s="207">
        <v>327.22999999999996</v>
      </c>
      <c r="Q81" s="207">
        <v>123.3</v>
      </c>
      <c r="R81" s="207">
        <v>36.93</v>
      </c>
      <c r="S81" s="207">
        <v>0.25</v>
      </c>
      <c r="T81" s="207">
        <v>0.42</v>
      </c>
      <c r="U81" s="207">
        <v>0.08</v>
      </c>
      <c r="V81" s="358"/>
      <c r="W81" s="383">
        <v>744.8</v>
      </c>
      <c r="X81" s="383">
        <v>172.88</v>
      </c>
      <c r="Y81" s="383">
        <v>1489.25</v>
      </c>
      <c r="Z81" s="383">
        <v>327.22999999999996</v>
      </c>
      <c r="AA81" s="383">
        <v>123.3</v>
      </c>
      <c r="AB81" s="383">
        <v>36.93</v>
      </c>
      <c r="AC81" s="383">
        <v>0.25</v>
      </c>
      <c r="AD81" s="383">
        <v>0.42</v>
      </c>
      <c r="AE81" s="383">
        <v>0.08</v>
      </c>
      <c r="AF81" s="416">
        <f t="shared" si="3"/>
        <v>2895.14</v>
      </c>
      <c r="AG81" s="417">
        <f t="shared" si="4"/>
        <v>4.9299999999999995E-4</v>
      </c>
      <c r="AH81" s="418">
        <f>+AG81*'OH adj'!$G$28</f>
        <v>87.428476980699259</v>
      </c>
      <c r="AI81" s="358"/>
    </row>
    <row r="82" spans="1:35" hidden="1" x14ac:dyDescent="0.25">
      <c r="A82" s="358">
        <f t="shared" si="5"/>
        <v>69</v>
      </c>
      <c r="B82" s="381">
        <v>920241</v>
      </c>
      <c r="C82" s="383">
        <v>0</v>
      </c>
      <c r="D82" s="383">
        <v>0</v>
      </c>
      <c r="E82" s="383">
        <v>0</v>
      </c>
      <c r="F82" s="383">
        <v>0</v>
      </c>
      <c r="G82" s="383">
        <v>0</v>
      </c>
      <c r="H82" s="383">
        <v>0</v>
      </c>
      <c r="I82" s="383">
        <v>0</v>
      </c>
      <c r="J82" s="383">
        <v>0</v>
      </c>
      <c r="K82" s="383">
        <v>0</v>
      </c>
      <c r="L82" s="358"/>
      <c r="M82" s="207">
        <v>0</v>
      </c>
      <c r="N82" s="207">
        <v>0</v>
      </c>
      <c r="O82" s="207">
        <v>0</v>
      </c>
      <c r="P82" s="207">
        <v>0</v>
      </c>
      <c r="Q82" s="207">
        <v>0</v>
      </c>
      <c r="R82" s="207">
        <v>0</v>
      </c>
      <c r="S82" s="207">
        <v>0</v>
      </c>
      <c r="T82" s="207">
        <v>0</v>
      </c>
      <c r="U82" s="207">
        <v>0</v>
      </c>
      <c r="V82" s="358"/>
      <c r="W82" s="383">
        <v>0</v>
      </c>
      <c r="X82" s="383">
        <v>0</v>
      </c>
      <c r="Y82" s="383">
        <v>0</v>
      </c>
      <c r="Z82" s="383">
        <v>0</v>
      </c>
      <c r="AA82" s="383">
        <v>0</v>
      </c>
      <c r="AB82" s="383">
        <v>0</v>
      </c>
      <c r="AC82" s="383">
        <v>0</v>
      </c>
      <c r="AD82" s="383">
        <v>0</v>
      </c>
      <c r="AE82" s="383">
        <v>0</v>
      </c>
      <c r="AF82" s="416">
        <f t="shared" si="3"/>
        <v>0</v>
      </c>
      <c r="AG82" s="417">
        <f t="shared" si="4"/>
        <v>0</v>
      </c>
      <c r="AH82" s="418">
        <f>+AG82*'OH adj'!$G$28</f>
        <v>0</v>
      </c>
      <c r="AI82" s="358"/>
    </row>
    <row r="83" spans="1:35" x14ac:dyDescent="0.25">
      <c r="A83" s="358">
        <f t="shared" si="5"/>
        <v>70</v>
      </c>
      <c r="B83" s="381">
        <v>920250</v>
      </c>
      <c r="C83" s="383">
        <v>1969.75</v>
      </c>
      <c r="D83" s="383">
        <v>-98.82</v>
      </c>
      <c r="E83" s="383">
        <v>3626.4500000000003</v>
      </c>
      <c r="F83" s="383">
        <v>829.94000000000017</v>
      </c>
      <c r="G83" s="383">
        <v>12.680000000000001</v>
      </c>
      <c r="H83" s="383">
        <v>98.050000000000011</v>
      </c>
      <c r="I83" s="383">
        <v>12.54</v>
      </c>
      <c r="J83" s="383">
        <v>15.55</v>
      </c>
      <c r="K83" s="383">
        <v>1.1000000000000001</v>
      </c>
      <c r="L83" s="358"/>
      <c r="M83" s="207">
        <v>1970.93</v>
      </c>
      <c r="N83" s="207">
        <v>-98.52</v>
      </c>
      <c r="O83" s="207">
        <v>3627.9100000000003</v>
      </c>
      <c r="P83" s="207">
        <v>830.48000000000013</v>
      </c>
      <c r="Q83" s="207">
        <v>12.850000000000001</v>
      </c>
      <c r="R83" s="207">
        <v>98.090000000000018</v>
      </c>
      <c r="S83" s="207">
        <v>12.549999999999999</v>
      </c>
      <c r="T83" s="207">
        <v>15.56</v>
      </c>
      <c r="U83" s="207">
        <v>1.1000000000000001</v>
      </c>
      <c r="V83" s="358"/>
      <c r="W83" s="383">
        <v>1970.93</v>
      </c>
      <c r="X83" s="383">
        <v>-98.52</v>
      </c>
      <c r="Y83" s="383">
        <v>3627.9100000000003</v>
      </c>
      <c r="Z83" s="383">
        <v>830.48000000000013</v>
      </c>
      <c r="AA83" s="383">
        <v>12.850000000000001</v>
      </c>
      <c r="AB83" s="383">
        <v>98.090000000000018</v>
      </c>
      <c r="AC83" s="383">
        <v>12.549999999999999</v>
      </c>
      <c r="AD83" s="383">
        <v>15.56</v>
      </c>
      <c r="AE83" s="383">
        <v>1.1000000000000001</v>
      </c>
      <c r="AF83" s="416">
        <f t="shared" si="3"/>
        <v>6470.9500000000025</v>
      </c>
      <c r="AG83" s="417">
        <f t="shared" si="4"/>
        <v>1.1019999999999999E-3</v>
      </c>
      <c r="AH83" s="418">
        <f>+AG83*'OH adj'!$G$28</f>
        <v>195.42836030979834</v>
      </c>
      <c r="AI83" s="358"/>
    </row>
    <row r="84" spans="1:35" x14ac:dyDescent="0.25">
      <c r="A84" s="358">
        <f t="shared" si="5"/>
        <v>71</v>
      </c>
      <c r="B84" s="381">
        <v>920260</v>
      </c>
      <c r="C84" s="383">
        <v>1920.03</v>
      </c>
      <c r="D84" s="383">
        <v>-115.39999999999999</v>
      </c>
      <c r="E84" s="383">
        <v>3523.9599999999991</v>
      </c>
      <c r="F84" s="383">
        <v>806.25000000000011</v>
      </c>
      <c r="G84" s="383">
        <v>6.9599999999999991</v>
      </c>
      <c r="H84" s="383">
        <v>95.080000000000013</v>
      </c>
      <c r="I84" s="383">
        <v>12.28</v>
      </c>
      <c r="J84" s="383">
        <v>15.12</v>
      </c>
      <c r="K84" s="383">
        <v>1.1400000000000001</v>
      </c>
      <c r="L84" s="358"/>
      <c r="M84" s="207">
        <v>1921.17</v>
      </c>
      <c r="N84" s="207">
        <v>-115.10999999999999</v>
      </c>
      <c r="O84" s="207">
        <v>3525.3599999999992</v>
      </c>
      <c r="P84" s="207">
        <v>806.7700000000001</v>
      </c>
      <c r="Q84" s="207">
        <v>7.1199999999999992</v>
      </c>
      <c r="R84" s="207">
        <v>95.120000000000019</v>
      </c>
      <c r="S84" s="207">
        <v>12.29</v>
      </c>
      <c r="T84" s="207">
        <v>15.129999999999999</v>
      </c>
      <c r="U84" s="207">
        <v>1.1400000000000001</v>
      </c>
      <c r="V84" s="358"/>
      <c r="W84" s="383">
        <v>1921.17</v>
      </c>
      <c r="X84" s="383">
        <v>-115.10999999999999</v>
      </c>
      <c r="Y84" s="383">
        <v>3525.3599999999992</v>
      </c>
      <c r="Z84" s="383">
        <v>806.7700000000001</v>
      </c>
      <c r="AA84" s="383">
        <v>7.1199999999999992</v>
      </c>
      <c r="AB84" s="383">
        <v>95.120000000000019</v>
      </c>
      <c r="AC84" s="383">
        <v>12.29</v>
      </c>
      <c r="AD84" s="383">
        <v>15.129999999999999</v>
      </c>
      <c r="AE84" s="383">
        <v>1.1400000000000001</v>
      </c>
      <c r="AF84" s="416">
        <f t="shared" si="3"/>
        <v>6268.99</v>
      </c>
      <c r="AG84" s="417">
        <f t="shared" si="4"/>
        <v>1.0679999999999999E-3</v>
      </c>
      <c r="AH84" s="418">
        <f>+AG84*'OH adj'!$G$28</f>
        <v>189.3988101731984</v>
      </c>
      <c r="AI84" s="358"/>
    </row>
    <row r="85" spans="1:35" x14ac:dyDescent="0.25">
      <c r="A85" s="358">
        <f t="shared" si="5"/>
        <v>72</v>
      </c>
      <c r="B85" s="381">
        <v>921000</v>
      </c>
      <c r="C85" s="383">
        <v>0</v>
      </c>
      <c r="D85" s="383">
        <v>0</v>
      </c>
      <c r="E85" s="383">
        <v>750</v>
      </c>
      <c r="F85" s="383">
        <v>0</v>
      </c>
      <c r="G85" s="383">
        <v>0</v>
      </c>
      <c r="H85" s="383">
        <v>0</v>
      </c>
      <c r="I85" s="383">
        <v>0</v>
      </c>
      <c r="J85" s="383">
        <v>0</v>
      </c>
      <c r="K85" s="383">
        <v>0</v>
      </c>
      <c r="L85" s="358"/>
      <c r="M85" s="207">
        <v>0</v>
      </c>
      <c r="N85" s="207">
        <v>0</v>
      </c>
      <c r="O85" s="207">
        <v>750</v>
      </c>
      <c r="P85" s="207">
        <v>0</v>
      </c>
      <c r="Q85" s="207">
        <v>0</v>
      </c>
      <c r="R85" s="207">
        <v>0</v>
      </c>
      <c r="S85" s="207">
        <v>0</v>
      </c>
      <c r="T85" s="207">
        <v>0</v>
      </c>
      <c r="U85" s="207">
        <v>0</v>
      </c>
      <c r="V85" s="358"/>
      <c r="W85" s="383">
        <v>0</v>
      </c>
      <c r="X85" s="383">
        <v>0</v>
      </c>
      <c r="Y85" s="383">
        <v>750</v>
      </c>
      <c r="Z85" s="383">
        <v>0</v>
      </c>
      <c r="AA85" s="383">
        <v>0</v>
      </c>
      <c r="AB85" s="383">
        <v>0</v>
      </c>
      <c r="AC85" s="383">
        <v>0</v>
      </c>
      <c r="AD85" s="383">
        <v>0</v>
      </c>
      <c r="AE85" s="383">
        <v>0</v>
      </c>
      <c r="AF85" s="416">
        <f t="shared" si="3"/>
        <v>750</v>
      </c>
      <c r="AG85" s="417">
        <f t="shared" si="4"/>
        <v>1.2799999999999999E-4</v>
      </c>
      <c r="AH85" s="418">
        <f>+AG85*'OH adj'!$G$28</f>
        <v>22.699482867199809</v>
      </c>
      <c r="AI85" s="358"/>
    </row>
    <row r="86" spans="1:35" hidden="1" x14ac:dyDescent="0.25">
      <c r="A86" s="358">
        <f t="shared" si="5"/>
        <v>73</v>
      </c>
      <c r="B86" s="381">
        <v>928000</v>
      </c>
      <c r="C86" s="383">
        <v>0</v>
      </c>
      <c r="D86" s="383">
        <v>0</v>
      </c>
      <c r="E86" s="383">
        <v>0</v>
      </c>
      <c r="F86" s="383">
        <v>0</v>
      </c>
      <c r="G86" s="383">
        <v>0</v>
      </c>
      <c r="H86" s="383">
        <v>0</v>
      </c>
      <c r="I86" s="383">
        <v>0</v>
      </c>
      <c r="J86" s="383">
        <v>0</v>
      </c>
      <c r="K86" s="383">
        <v>0</v>
      </c>
      <c r="L86" s="358"/>
      <c r="M86" s="207">
        <v>0</v>
      </c>
      <c r="N86" s="207">
        <v>0</v>
      </c>
      <c r="O86" s="207">
        <v>0</v>
      </c>
      <c r="P86" s="207">
        <v>0</v>
      </c>
      <c r="Q86" s="207">
        <v>0</v>
      </c>
      <c r="R86" s="207">
        <v>0</v>
      </c>
      <c r="S86" s="207">
        <v>0</v>
      </c>
      <c r="T86" s="207">
        <v>0</v>
      </c>
      <c r="U86" s="207">
        <v>0</v>
      </c>
      <c r="V86" s="358"/>
      <c r="W86" s="383">
        <v>0</v>
      </c>
      <c r="X86" s="383">
        <v>0</v>
      </c>
      <c r="Y86" s="383">
        <v>0</v>
      </c>
      <c r="Z86" s="383">
        <v>0</v>
      </c>
      <c r="AA86" s="383">
        <v>0</v>
      </c>
      <c r="AB86" s="383">
        <v>0</v>
      </c>
      <c r="AC86" s="383">
        <v>0</v>
      </c>
      <c r="AD86" s="383">
        <v>0</v>
      </c>
      <c r="AE86" s="383">
        <v>0</v>
      </c>
      <c r="AF86" s="416">
        <f t="shared" si="3"/>
        <v>0</v>
      </c>
      <c r="AG86" s="417">
        <f t="shared" si="4"/>
        <v>0</v>
      </c>
      <c r="AH86" s="418">
        <f>+AG86*'OH adj'!$G$28</f>
        <v>0</v>
      </c>
      <c r="AI86" s="358"/>
    </row>
    <row r="87" spans="1:35" hidden="1" x14ac:dyDescent="0.25">
      <c r="A87" s="358">
        <f t="shared" si="5"/>
        <v>74</v>
      </c>
      <c r="B87" s="381">
        <v>928100</v>
      </c>
      <c r="C87" s="383">
        <v>0</v>
      </c>
      <c r="D87" s="383">
        <v>0</v>
      </c>
      <c r="E87" s="383">
        <v>0</v>
      </c>
      <c r="F87" s="383">
        <v>0</v>
      </c>
      <c r="G87" s="383">
        <v>0</v>
      </c>
      <c r="H87" s="383">
        <v>0</v>
      </c>
      <c r="I87" s="383">
        <v>0</v>
      </c>
      <c r="J87" s="383">
        <v>0</v>
      </c>
      <c r="K87" s="383">
        <v>0</v>
      </c>
      <c r="L87" s="358"/>
      <c r="M87" s="207">
        <v>0</v>
      </c>
      <c r="N87" s="207">
        <v>0</v>
      </c>
      <c r="O87" s="207">
        <v>0</v>
      </c>
      <c r="P87" s="207">
        <v>0</v>
      </c>
      <c r="Q87" s="207">
        <v>0</v>
      </c>
      <c r="R87" s="207">
        <v>0</v>
      </c>
      <c r="S87" s="207">
        <v>0</v>
      </c>
      <c r="T87" s="207">
        <v>0</v>
      </c>
      <c r="U87" s="207">
        <v>0</v>
      </c>
      <c r="V87" s="358"/>
      <c r="W87" s="383">
        <v>0</v>
      </c>
      <c r="X87" s="383">
        <v>0</v>
      </c>
      <c r="Y87" s="383">
        <v>0</v>
      </c>
      <c r="Z87" s="383">
        <v>0</v>
      </c>
      <c r="AA87" s="383">
        <v>0</v>
      </c>
      <c r="AB87" s="383">
        <v>0</v>
      </c>
      <c r="AC87" s="383">
        <v>0</v>
      </c>
      <c r="AD87" s="383">
        <v>0</v>
      </c>
      <c r="AE87" s="383">
        <v>0</v>
      </c>
      <c r="AF87" s="416">
        <f t="shared" si="3"/>
        <v>0</v>
      </c>
      <c r="AG87" s="417">
        <f t="shared" si="4"/>
        <v>0</v>
      </c>
      <c r="AH87" s="418">
        <f>+AG87*'OH adj'!$G$28</f>
        <v>0</v>
      </c>
      <c r="AI87" s="358"/>
    </row>
    <row r="88" spans="1:35" hidden="1" x14ac:dyDescent="0.25">
      <c r="A88" s="358">
        <f t="shared" si="5"/>
        <v>75</v>
      </c>
      <c r="B88" s="381">
        <v>928300</v>
      </c>
      <c r="C88" s="383">
        <v>0</v>
      </c>
      <c r="D88" s="383">
        <v>0</v>
      </c>
      <c r="E88" s="383">
        <v>0</v>
      </c>
      <c r="F88" s="383">
        <v>0</v>
      </c>
      <c r="G88" s="383">
        <v>0</v>
      </c>
      <c r="H88" s="383">
        <v>0</v>
      </c>
      <c r="I88" s="383">
        <v>0</v>
      </c>
      <c r="J88" s="383">
        <v>0</v>
      </c>
      <c r="K88" s="383">
        <v>0</v>
      </c>
      <c r="L88" s="358"/>
      <c r="M88" s="207">
        <v>0</v>
      </c>
      <c r="N88" s="207">
        <v>0</v>
      </c>
      <c r="O88" s="207">
        <v>0</v>
      </c>
      <c r="P88" s="207">
        <v>0</v>
      </c>
      <c r="Q88" s="207">
        <v>0</v>
      </c>
      <c r="R88" s="207">
        <v>0</v>
      </c>
      <c r="S88" s="207">
        <v>0</v>
      </c>
      <c r="T88" s="207">
        <v>0</v>
      </c>
      <c r="U88" s="207">
        <v>0</v>
      </c>
      <c r="V88" s="358"/>
      <c r="W88" s="383">
        <v>0</v>
      </c>
      <c r="X88" s="383">
        <v>0</v>
      </c>
      <c r="Y88" s="383">
        <v>0</v>
      </c>
      <c r="Z88" s="383">
        <v>0</v>
      </c>
      <c r="AA88" s="383">
        <v>0</v>
      </c>
      <c r="AB88" s="383">
        <v>0</v>
      </c>
      <c r="AC88" s="383">
        <v>0</v>
      </c>
      <c r="AD88" s="383">
        <v>0</v>
      </c>
      <c r="AE88" s="383">
        <v>0</v>
      </c>
      <c r="AF88" s="416">
        <f t="shared" si="3"/>
        <v>0</v>
      </c>
      <c r="AG88" s="417">
        <f t="shared" si="4"/>
        <v>0</v>
      </c>
      <c r="AH88" s="418">
        <f>+AG88*'OH adj'!$G$28</f>
        <v>0</v>
      </c>
      <c r="AI88" s="358"/>
    </row>
    <row r="89" spans="1:35" hidden="1" x14ac:dyDescent="0.25">
      <c r="A89" s="358">
        <f t="shared" si="5"/>
        <v>76</v>
      </c>
      <c r="B89" s="381">
        <v>928500</v>
      </c>
      <c r="C89" s="383">
        <v>0</v>
      </c>
      <c r="D89" s="383">
        <v>0</v>
      </c>
      <c r="E89" s="383">
        <v>0</v>
      </c>
      <c r="F89" s="383">
        <v>0</v>
      </c>
      <c r="G89" s="383">
        <v>0</v>
      </c>
      <c r="H89" s="383">
        <v>0</v>
      </c>
      <c r="I89" s="383">
        <v>0</v>
      </c>
      <c r="J89" s="383">
        <v>0</v>
      </c>
      <c r="K89" s="383">
        <v>0</v>
      </c>
      <c r="L89" s="358"/>
      <c r="M89" s="207">
        <v>0</v>
      </c>
      <c r="N89" s="207">
        <v>0</v>
      </c>
      <c r="O89" s="207">
        <v>0</v>
      </c>
      <c r="P89" s="207">
        <v>0</v>
      </c>
      <c r="Q89" s="207">
        <v>0</v>
      </c>
      <c r="R89" s="207">
        <v>0</v>
      </c>
      <c r="S89" s="207">
        <v>0</v>
      </c>
      <c r="T89" s="207">
        <v>0</v>
      </c>
      <c r="U89" s="207">
        <v>0</v>
      </c>
      <c r="V89" s="358"/>
      <c r="W89" s="383">
        <v>0</v>
      </c>
      <c r="X89" s="383">
        <v>0</v>
      </c>
      <c r="Y89" s="383">
        <v>0</v>
      </c>
      <c r="Z89" s="383">
        <v>0</v>
      </c>
      <c r="AA89" s="383">
        <v>0</v>
      </c>
      <c r="AB89" s="383">
        <v>0</v>
      </c>
      <c r="AC89" s="383">
        <v>0</v>
      </c>
      <c r="AD89" s="383">
        <v>0</v>
      </c>
      <c r="AE89" s="383">
        <v>0</v>
      </c>
      <c r="AF89" s="416">
        <f t="shared" si="3"/>
        <v>0</v>
      </c>
      <c r="AG89" s="417">
        <f t="shared" si="4"/>
        <v>0</v>
      </c>
      <c r="AH89" s="418">
        <f>+AG89*'OH adj'!$G$28</f>
        <v>0</v>
      </c>
      <c r="AI89" s="358"/>
    </row>
    <row r="90" spans="1:35" x14ac:dyDescent="0.25">
      <c r="A90" s="358">
        <f t="shared" si="5"/>
        <v>77</v>
      </c>
      <c r="B90" s="381">
        <v>928600</v>
      </c>
      <c r="C90" s="383">
        <v>106.30999999999999</v>
      </c>
      <c r="D90" s="383">
        <v>-37.159999999999997</v>
      </c>
      <c r="E90" s="383">
        <v>132.57</v>
      </c>
      <c r="F90" s="383">
        <v>59.43</v>
      </c>
      <c r="G90" s="383">
        <v>0</v>
      </c>
      <c r="H90" s="383">
        <v>2.8200000000000003</v>
      </c>
      <c r="I90" s="383">
        <v>0</v>
      </c>
      <c r="J90" s="383">
        <v>0</v>
      </c>
      <c r="K90" s="383">
        <v>0</v>
      </c>
      <c r="L90" s="358"/>
      <c r="M90" s="207">
        <v>106.30999999999999</v>
      </c>
      <c r="N90" s="207">
        <v>-37.159999999999997</v>
      </c>
      <c r="O90" s="207">
        <v>132.57</v>
      </c>
      <c r="P90" s="207">
        <v>59.43</v>
      </c>
      <c r="Q90" s="207">
        <v>0</v>
      </c>
      <c r="R90" s="207">
        <v>2.8200000000000003</v>
      </c>
      <c r="S90" s="207">
        <v>0</v>
      </c>
      <c r="T90" s="207">
        <v>0</v>
      </c>
      <c r="U90" s="207">
        <v>0</v>
      </c>
      <c r="V90" s="358"/>
      <c r="W90" s="383">
        <v>106.30999999999999</v>
      </c>
      <c r="X90" s="383">
        <v>-37.159999999999997</v>
      </c>
      <c r="Y90" s="383">
        <v>132.57</v>
      </c>
      <c r="Z90" s="383">
        <v>59.43</v>
      </c>
      <c r="AA90" s="383">
        <v>0</v>
      </c>
      <c r="AB90" s="383">
        <v>2.8200000000000003</v>
      </c>
      <c r="AC90" s="383">
        <v>0</v>
      </c>
      <c r="AD90" s="383">
        <v>0</v>
      </c>
      <c r="AE90" s="383">
        <v>0</v>
      </c>
      <c r="AF90" s="416">
        <f t="shared" si="3"/>
        <v>263.96999999999997</v>
      </c>
      <c r="AG90" s="417">
        <f t="shared" si="4"/>
        <v>4.5000000000000003E-5</v>
      </c>
      <c r="AH90" s="418">
        <f>+AG90*'OH adj'!$G$28</f>
        <v>7.980286945499933</v>
      </c>
      <c r="AI90" s="358"/>
    </row>
    <row r="91" spans="1:35" x14ac:dyDescent="0.25">
      <c r="A91" s="358">
        <f t="shared" si="5"/>
        <v>78</v>
      </c>
      <c r="B91" s="381">
        <v>928610</v>
      </c>
      <c r="C91" s="383">
        <v>-0.37</v>
      </c>
      <c r="D91" s="383">
        <v>-6.31</v>
      </c>
      <c r="E91" s="383">
        <v>0.11</v>
      </c>
      <c r="F91" s="383">
        <v>0</v>
      </c>
      <c r="G91" s="383">
        <v>0</v>
      </c>
      <c r="H91" s="383">
        <v>-0.31</v>
      </c>
      <c r="I91" s="383">
        <v>0</v>
      </c>
      <c r="J91" s="383">
        <v>0</v>
      </c>
      <c r="K91" s="383">
        <v>0</v>
      </c>
      <c r="L91" s="358"/>
      <c r="M91" s="207">
        <v>-0.37</v>
      </c>
      <c r="N91" s="207">
        <v>-6.31</v>
      </c>
      <c r="O91" s="207">
        <v>0.11</v>
      </c>
      <c r="P91" s="207">
        <v>0</v>
      </c>
      <c r="Q91" s="207">
        <v>0</v>
      </c>
      <c r="R91" s="207">
        <v>-0.31</v>
      </c>
      <c r="S91" s="207">
        <v>0</v>
      </c>
      <c r="T91" s="207">
        <v>0</v>
      </c>
      <c r="U91" s="207">
        <v>0</v>
      </c>
      <c r="V91" s="358"/>
      <c r="W91" s="383">
        <v>-0.37</v>
      </c>
      <c r="X91" s="383">
        <v>-6.31</v>
      </c>
      <c r="Y91" s="383">
        <v>0.11</v>
      </c>
      <c r="Z91" s="383">
        <v>0</v>
      </c>
      <c r="AA91" s="383">
        <v>0</v>
      </c>
      <c r="AB91" s="383">
        <v>-0.31</v>
      </c>
      <c r="AC91" s="383">
        <v>0</v>
      </c>
      <c r="AD91" s="383">
        <v>0</v>
      </c>
      <c r="AE91" s="383">
        <v>0</v>
      </c>
      <c r="AF91" s="416">
        <f t="shared" si="3"/>
        <v>-6.879999999999999</v>
      </c>
      <c r="AG91" s="417">
        <f t="shared" si="4"/>
        <v>-9.9999999999999995E-7</v>
      </c>
      <c r="AH91" s="418">
        <f>+AG91*'OH adj'!$G$28</f>
        <v>-0.1773397098999985</v>
      </c>
      <c r="AI91" s="358"/>
    </row>
    <row r="92" spans="1:35" hidden="1" x14ac:dyDescent="0.25">
      <c r="A92" s="358">
        <f t="shared" si="5"/>
        <v>79</v>
      </c>
      <c r="B92" s="381">
        <v>930100</v>
      </c>
      <c r="C92" s="383">
        <v>0</v>
      </c>
      <c r="D92" s="383">
        <v>0</v>
      </c>
      <c r="E92" s="383">
        <v>0</v>
      </c>
      <c r="F92" s="383">
        <v>0</v>
      </c>
      <c r="G92" s="383">
        <v>0</v>
      </c>
      <c r="H92" s="383">
        <v>0</v>
      </c>
      <c r="I92" s="383">
        <v>0</v>
      </c>
      <c r="J92" s="383">
        <v>0</v>
      </c>
      <c r="K92" s="383">
        <v>0</v>
      </c>
      <c r="L92" s="358"/>
      <c r="M92" s="207">
        <v>0</v>
      </c>
      <c r="N92" s="207">
        <v>0</v>
      </c>
      <c r="O92" s="207">
        <v>0</v>
      </c>
      <c r="P92" s="207">
        <v>0</v>
      </c>
      <c r="Q92" s="207">
        <v>0</v>
      </c>
      <c r="R92" s="207">
        <v>0</v>
      </c>
      <c r="S92" s="207">
        <v>0</v>
      </c>
      <c r="T92" s="207">
        <v>0</v>
      </c>
      <c r="U92" s="207">
        <v>0</v>
      </c>
      <c r="V92" s="358"/>
      <c r="W92" s="383">
        <v>0</v>
      </c>
      <c r="X92" s="383">
        <v>0</v>
      </c>
      <c r="Y92" s="383">
        <v>0</v>
      </c>
      <c r="Z92" s="383">
        <v>0</v>
      </c>
      <c r="AA92" s="383">
        <v>0</v>
      </c>
      <c r="AB92" s="383">
        <v>0</v>
      </c>
      <c r="AC92" s="383">
        <v>0</v>
      </c>
      <c r="AD92" s="383">
        <v>0</v>
      </c>
      <c r="AE92" s="383">
        <v>0</v>
      </c>
      <c r="AF92" s="416">
        <f t="shared" si="3"/>
        <v>0</v>
      </c>
      <c r="AG92" s="417">
        <f t="shared" si="4"/>
        <v>0</v>
      </c>
      <c r="AH92" s="418">
        <f>+AG92*'OH adj'!$G$28</f>
        <v>0</v>
      </c>
      <c r="AI92" s="358"/>
    </row>
    <row r="93" spans="1:35" x14ac:dyDescent="0.25">
      <c r="A93" s="358">
        <f t="shared" si="5"/>
        <v>80</v>
      </c>
      <c r="B93" s="381">
        <v>930200</v>
      </c>
      <c r="C93" s="383">
        <v>18371.98</v>
      </c>
      <c r="D93" s="383">
        <v>2389.0099999999998</v>
      </c>
      <c r="E93" s="383">
        <v>22355.890000000003</v>
      </c>
      <c r="F93" s="383">
        <v>7564.2199999999993</v>
      </c>
      <c r="G93" s="383">
        <v>1504.75</v>
      </c>
      <c r="H93" s="383">
        <v>553.2600000000001</v>
      </c>
      <c r="I93" s="383">
        <v>98.88000000000001</v>
      </c>
      <c r="J93" s="383">
        <v>126.64</v>
      </c>
      <c r="K93" s="383">
        <v>12.690000000000001</v>
      </c>
      <c r="L93" s="358"/>
      <c r="M93" s="207">
        <v>18382.48</v>
      </c>
      <c r="N93" s="207">
        <v>2391.6999999999998</v>
      </c>
      <c r="O93" s="207">
        <v>22368.850000000002</v>
      </c>
      <c r="P93" s="207">
        <v>7568.98</v>
      </c>
      <c r="Q93" s="207">
        <v>1506.27</v>
      </c>
      <c r="R93" s="207">
        <v>553.60000000000014</v>
      </c>
      <c r="S93" s="207">
        <v>98.960000000000008</v>
      </c>
      <c r="T93" s="207">
        <v>126.74</v>
      </c>
      <c r="U93" s="207">
        <v>12.700000000000001</v>
      </c>
      <c r="V93" s="358"/>
      <c r="W93" s="383">
        <v>18382.48</v>
      </c>
      <c r="X93" s="383">
        <v>2391.6999999999998</v>
      </c>
      <c r="Y93" s="383">
        <v>22368.850000000002</v>
      </c>
      <c r="Z93" s="383">
        <v>7568.98</v>
      </c>
      <c r="AA93" s="383">
        <v>1506.27</v>
      </c>
      <c r="AB93" s="383">
        <v>553.60000000000014</v>
      </c>
      <c r="AC93" s="383">
        <v>98.960000000000008</v>
      </c>
      <c r="AD93" s="383">
        <v>126.74</v>
      </c>
      <c r="AE93" s="383">
        <v>12.700000000000001</v>
      </c>
      <c r="AF93" s="416">
        <f t="shared" si="3"/>
        <v>53010.279999999984</v>
      </c>
      <c r="AG93" s="417">
        <f t="shared" si="4"/>
        <v>9.0290000000000006E-3</v>
      </c>
      <c r="AH93" s="418">
        <f>+AG93*'OH adj'!$G$28</f>
        <v>1601.2002406870865</v>
      </c>
      <c r="AI93" s="358"/>
    </row>
    <row r="94" spans="1:35" hidden="1" x14ac:dyDescent="0.25">
      <c r="A94" s="358">
        <f t="shared" si="5"/>
        <v>81</v>
      </c>
      <c r="B94" s="381">
        <v>930220</v>
      </c>
      <c r="C94" s="383">
        <v>0</v>
      </c>
      <c r="D94" s="383">
        <v>0</v>
      </c>
      <c r="E94" s="383">
        <v>0</v>
      </c>
      <c r="F94" s="383">
        <v>0</v>
      </c>
      <c r="G94" s="383">
        <v>0</v>
      </c>
      <c r="H94" s="383">
        <v>0</v>
      </c>
      <c r="I94" s="383">
        <v>0</v>
      </c>
      <c r="J94" s="383">
        <v>0</v>
      </c>
      <c r="K94" s="383">
        <v>0</v>
      </c>
      <c r="L94" s="358"/>
      <c r="M94" s="207">
        <v>0</v>
      </c>
      <c r="N94" s="207">
        <v>0</v>
      </c>
      <c r="O94" s="207">
        <v>0</v>
      </c>
      <c r="P94" s="207">
        <v>0</v>
      </c>
      <c r="Q94" s="207">
        <v>0</v>
      </c>
      <c r="R94" s="207">
        <v>0</v>
      </c>
      <c r="S94" s="207">
        <v>0</v>
      </c>
      <c r="T94" s="207">
        <v>0</v>
      </c>
      <c r="U94" s="207">
        <v>0</v>
      </c>
      <c r="V94" s="358"/>
      <c r="W94" s="383">
        <v>0</v>
      </c>
      <c r="X94" s="383">
        <v>0</v>
      </c>
      <c r="Y94" s="383">
        <v>0</v>
      </c>
      <c r="Z94" s="383">
        <v>0</v>
      </c>
      <c r="AA94" s="383">
        <v>0</v>
      </c>
      <c r="AB94" s="383">
        <v>0</v>
      </c>
      <c r="AC94" s="383">
        <v>0</v>
      </c>
      <c r="AD94" s="383">
        <v>0</v>
      </c>
      <c r="AE94" s="383">
        <v>0</v>
      </c>
      <c r="AF94" s="416">
        <f t="shared" si="3"/>
        <v>0</v>
      </c>
      <c r="AG94" s="417">
        <f t="shared" si="4"/>
        <v>0</v>
      </c>
      <c r="AH94" s="418">
        <f>+AG94*'OH adj'!$G$28</f>
        <v>0</v>
      </c>
      <c r="AI94" s="358"/>
    </row>
    <row r="95" spans="1:35" hidden="1" x14ac:dyDescent="0.25">
      <c r="A95" s="358">
        <f t="shared" si="5"/>
        <v>82</v>
      </c>
      <c r="B95" s="381">
        <v>930221</v>
      </c>
      <c r="C95" s="383">
        <v>0</v>
      </c>
      <c r="D95" s="383">
        <v>0</v>
      </c>
      <c r="E95" s="383">
        <v>0</v>
      </c>
      <c r="F95" s="383">
        <v>0</v>
      </c>
      <c r="G95" s="383">
        <v>0</v>
      </c>
      <c r="H95" s="383">
        <v>0</v>
      </c>
      <c r="I95" s="383">
        <v>0</v>
      </c>
      <c r="J95" s="383">
        <v>0</v>
      </c>
      <c r="K95" s="383">
        <v>0</v>
      </c>
      <c r="L95" s="358"/>
      <c r="M95" s="207">
        <v>0</v>
      </c>
      <c r="N95" s="207">
        <v>0</v>
      </c>
      <c r="O95" s="207">
        <v>0</v>
      </c>
      <c r="P95" s="207">
        <v>0</v>
      </c>
      <c r="Q95" s="207">
        <v>0</v>
      </c>
      <c r="R95" s="207">
        <v>0</v>
      </c>
      <c r="S95" s="207">
        <v>0</v>
      </c>
      <c r="T95" s="207">
        <v>0</v>
      </c>
      <c r="U95" s="207">
        <v>0</v>
      </c>
      <c r="V95" s="358"/>
      <c r="W95" s="383">
        <v>0</v>
      </c>
      <c r="X95" s="383">
        <v>0</v>
      </c>
      <c r="Y95" s="383">
        <v>0</v>
      </c>
      <c r="Z95" s="383">
        <v>0</v>
      </c>
      <c r="AA95" s="383">
        <v>0</v>
      </c>
      <c r="AB95" s="383">
        <v>0</v>
      </c>
      <c r="AC95" s="383">
        <v>0</v>
      </c>
      <c r="AD95" s="383">
        <v>0</v>
      </c>
      <c r="AE95" s="383">
        <v>0</v>
      </c>
      <c r="AF95" s="416">
        <f t="shared" si="3"/>
        <v>0</v>
      </c>
      <c r="AG95" s="417">
        <f t="shared" si="4"/>
        <v>0</v>
      </c>
      <c r="AH95" s="418">
        <f>+AG95*'OH adj'!$G$28</f>
        <v>0</v>
      </c>
      <c r="AI95" s="358"/>
    </row>
    <row r="96" spans="1:35" hidden="1" x14ac:dyDescent="0.25">
      <c r="A96" s="358">
        <f t="shared" si="5"/>
        <v>83</v>
      </c>
      <c r="B96" s="381">
        <v>930230</v>
      </c>
      <c r="C96" s="383">
        <v>0</v>
      </c>
      <c r="D96" s="383">
        <v>0</v>
      </c>
      <c r="E96" s="383">
        <v>0</v>
      </c>
      <c r="F96" s="383">
        <v>0</v>
      </c>
      <c r="G96" s="383">
        <v>0</v>
      </c>
      <c r="H96" s="383">
        <v>0</v>
      </c>
      <c r="I96" s="383">
        <v>0</v>
      </c>
      <c r="J96" s="383">
        <v>0</v>
      </c>
      <c r="K96" s="383">
        <v>0</v>
      </c>
      <c r="L96" s="358"/>
      <c r="M96" s="207">
        <v>0</v>
      </c>
      <c r="N96" s="207">
        <v>0</v>
      </c>
      <c r="O96" s="207">
        <v>0</v>
      </c>
      <c r="P96" s="207">
        <v>0</v>
      </c>
      <c r="Q96" s="207">
        <v>0</v>
      </c>
      <c r="R96" s="207">
        <v>0</v>
      </c>
      <c r="S96" s="207">
        <v>0</v>
      </c>
      <c r="T96" s="207">
        <v>0</v>
      </c>
      <c r="U96" s="207">
        <v>0</v>
      </c>
      <c r="V96" s="358"/>
      <c r="W96" s="383">
        <v>0</v>
      </c>
      <c r="X96" s="383">
        <v>0</v>
      </c>
      <c r="Y96" s="383">
        <v>0</v>
      </c>
      <c r="Z96" s="383">
        <v>0</v>
      </c>
      <c r="AA96" s="383">
        <v>0</v>
      </c>
      <c r="AB96" s="383">
        <v>0</v>
      </c>
      <c r="AC96" s="383">
        <v>0</v>
      </c>
      <c r="AD96" s="383">
        <v>0</v>
      </c>
      <c r="AE96" s="383">
        <v>0</v>
      </c>
      <c r="AF96" s="416">
        <f t="shared" si="3"/>
        <v>0</v>
      </c>
      <c r="AG96" s="417">
        <f t="shared" si="4"/>
        <v>0</v>
      </c>
      <c r="AH96" s="418">
        <f>+AG96*'OH adj'!$G$28</f>
        <v>0</v>
      </c>
      <c r="AI96" s="358"/>
    </row>
    <row r="97" spans="1:38" hidden="1" x14ac:dyDescent="0.25">
      <c r="A97" s="358">
        <f t="shared" si="5"/>
        <v>84</v>
      </c>
      <c r="B97" s="381">
        <v>930231</v>
      </c>
      <c r="C97" s="383">
        <v>0</v>
      </c>
      <c r="D97" s="383">
        <v>0</v>
      </c>
      <c r="E97" s="383">
        <v>0</v>
      </c>
      <c r="F97" s="383">
        <v>0</v>
      </c>
      <c r="G97" s="383">
        <v>0</v>
      </c>
      <c r="H97" s="383">
        <v>0</v>
      </c>
      <c r="I97" s="383">
        <v>0</v>
      </c>
      <c r="J97" s="383">
        <v>0</v>
      </c>
      <c r="K97" s="383">
        <v>0</v>
      </c>
      <c r="L97" s="358"/>
      <c r="M97" s="207">
        <v>0</v>
      </c>
      <c r="N97" s="207">
        <v>0</v>
      </c>
      <c r="O97" s="207">
        <v>0</v>
      </c>
      <c r="P97" s="207">
        <v>0</v>
      </c>
      <c r="Q97" s="207">
        <v>0</v>
      </c>
      <c r="R97" s="207">
        <v>0</v>
      </c>
      <c r="S97" s="207">
        <v>0</v>
      </c>
      <c r="T97" s="207">
        <v>0</v>
      </c>
      <c r="U97" s="207">
        <v>0</v>
      </c>
      <c r="V97" s="358"/>
      <c r="W97" s="383">
        <v>0</v>
      </c>
      <c r="X97" s="383">
        <v>0</v>
      </c>
      <c r="Y97" s="383">
        <v>0</v>
      </c>
      <c r="Z97" s="383">
        <v>0</v>
      </c>
      <c r="AA97" s="383">
        <v>0</v>
      </c>
      <c r="AB97" s="383">
        <v>0</v>
      </c>
      <c r="AC97" s="383">
        <v>0</v>
      </c>
      <c r="AD97" s="383">
        <v>0</v>
      </c>
      <c r="AE97" s="383">
        <v>0</v>
      </c>
      <c r="AF97" s="416">
        <f t="shared" si="3"/>
        <v>0</v>
      </c>
      <c r="AG97" s="417">
        <f t="shared" si="4"/>
        <v>0</v>
      </c>
      <c r="AH97" s="418">
        <f>+AG97*'OH adj'!$G$28</f>
        <v>0</v>
      </c>
      <c r="AI97" s="358"/>
    </row>
    <row r="98" spans="1:38" hidden="1" x14ac:dyDescent="0.25">
      <c r="A98" s="358">
        <f t="shared" si="5"/>
        <v>85</v>
      </c>
      <c r="B98" s="381">
        <v>930240</v>
      </c>
      <c r="C98" s="383">
        <v>0</v>
      </c>
      <c r="D98" s="383">
        <v>0</v>
      </c>
      <c r="E98" s="383">
        <v>0</v>
      </c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v>0</v>
      </c>
      <c r="L98" s="358"/>
      <c r="M98" s="207">
        <v>0</v>
      </c>
      <c r="N98" s="207">
        <v>0</v>
      </c>
      <c r="O98" s="207">
        <v>0</v>
      </c>
      <c r="P98" s="207">
        <v>0</v>
      </c>
      <c r="Q98" s="207">
        <v>0</v>
      </c>
      <c r="R98" s="207">
        <v>0</v>
      </c>
      <c r="S98" s="207">
        <v>0</v>
      </c>
      <c r="T98" s="207">
        <v>0</v>
      </c>
      <c r="U98" s="207">
        <v>0</v>
      </c>
      <c r="V98" s="358"/>
      <c r="W98" s="383">
        <v>0</v>
      </c>
      <c r="X98" s="383">
        <v>0</v>
      </c>
      <c r="Y98" s="383">
        <v>0</v>
      </c>
      <c r="Z98" s="383">
        <v>0</v>
      </c>
      <c r="AA98" s="383">
        <v>0</v>
      </c>
      <c r="AB98" s="383">
        <v>0</v>
      </c>
      <c r="AC98" s="383">
        <v>0</v>
      </c>
      <c r="AD98" s="383">
        <v>0</v>
      </c>
      <c r="AE98" s="383">
        <v>0</v>
      </c>
      <c r="AF98" s="416">
        <f t="shared" si="3"/>
        <v>0</v>
      </c>
      <c r="AG98" s="417">
        <f t="shared" si="4"/>
        <v>0</v>
      </c>
      <c r="AH98" s="418">
        <f>+AG98*'OH adj'!$G$28</f>
        <v>0</v>
      </c>
      <c r="AI98" s="358"/>
    </row>
    <row r="99" spans="1:38" hidden="1" x14ac:dyDescent="0.25">
      <c r="A99" s="358">
        <f t="shared" si="5"/>
        <v>86</v>
      </c>
      <c r="B99" s="381">
        <v>930241</v>
      </c>
      <c r="C99" s="383">
        <v>0</v>
      </c>
      <c r="D99" s="383">
        <v>0</v>
      </c>
      <c r="E99" s="383">
        <v>0</v>
      </c>
      <c r="F99" s="383">
        <v>0</v>
      </c>
      <c r="G99" s="383">
        <v>0</v>
      </c>
      <c r="H99" s="383">
        <v>0</v>
      </c>
      <c r="I99" s="383">
        <v>0</v>
      </c>
      <c r="J99" s="383">
        <v>0</v>
      </c>
      <c r="K99" s="383">
        <v>0</v>
      </c>
      <c r="L99" s="358"/>
      <c r="M99" s="207">
        <v>0</v>
      </c>
      <c r="N99" s="207">
        <v>0</v>
      </c>
      <c r="O99" s="207">
        <v>0</v>
      </c>
      <c r="P99" s="207">
        <v>0</v>
      </c>
      <c r="Q99" s="207">
        <v>0</v>
      </c>
      <c r="R99" s="207">
        <v>0</v>
      </c>
      <c r="S99" s="207">
        <v>0</v>
      </c>
      <c r="T99" s="207">
        <v>0</v>
      </c>
      <c r="U99" s="207">
        <v>0</v>
      </c>
      <c r="V99" s="358"/>
      <c r="W99" s="383">
        <v>0</v>
      </c>
      <c r="X99" s="383">
        <v>0</v>
      </c>
      <c r="Y99" s="383">
        <v>0</v>
      </c>
      <c r="Z99" s="383">
        <v>0</v>
      </c>
      <c r="AA99" s="383">
        <v>0</v>
      </c>
      <c r="AB99" s="383">
        <v>0</v>
      </c>
      <c r="AC99" s="383">
        <v>0</v>
      </c>
      <c r="AD99" s="383">
        <v>0</v>
      </c>
      <c r="AE99" s="383">
        <v>0</v>
      </c>
      <c r="AF99" s="416">
        <f t="shared" si="3"/>
        <v>0</v>
      </c>
      <c r="AG99" s="417">
        <f t="shared" si="4"/>
        <v>0</v>
      </c>
      <c r="AH99" s="418">
        <f>+AG99*'OH adj'!$G$28</f>
        <v>0</v>
      </c>
      <c r="AI99" s="358"/>
    </row>
    <row r="100" spans="1:38" x14ac:dyDescent="0.25">
      <c r="A100" s="358">
        <f t="shared" si="5"/>
        <v>87</v>
      </c>
      <c r="B100" s="381">
        <v>935000</v>
      </c>
      <c r="C100" s="383">
        <v>71056.67</v>
      </c>
      <c r="D100" s="383">
        <v>538.96999999999957</v>
      </c>
      <c r="E100" s="383">
        <v>69786.419999999984</v>
      </c>
      <c r="F100" s="383">
        <v>25931.82</v>
      </c>
      <c r="G100" s="383">
        <v>1449.54</v>
      </c>
      <c r="H100" s="383">
        <v>1735.04</v>
      </c>
      <c r="I100" s="383">
        <v>643.23</v>
      </c>
      <c r="J100" s="383">
        <v>796.55</v>
      </c>
      <c r="K100" s="383">
        <v>49.26</v>
      </c>
      <c r="L100" s="358"/>
      <c r="M100" s="207">
        <v>71074.73</v>
      </c>
      <c r="N100" s="207">
        <v>543.59999999999957</v>
      </c>
      <c r="O100" s="207">
        <v>69808.709999999977</v>
      </c>
      <c r="P100" s="207">
        <v>25940.01</v>
      </c>
      <c r="Q100" s="207">
        <v>1452.1599999999999</v>
      </c>
      <c r="R100" s="207">
        <v>1735.62</v>
      </c>
      <c r="S100" s="207">
        <v>643.37</v>
      </c>
      <c r="T100" s="207">
        <v>796.7299999999999</v>
      </c>
      <c r="U100" s="207">
        <v>49.269999999999996</v>
      </c>
      <c r="V100" s="358"/>
      <c r="W100" s="383">
        <v>71074.73</v>
      </c>
      <c r="X100" s="383">
        <v>543.59999999999957</v>
      </c>
      <c r="Y100" s="383">
        <v>69808.709999999977</v>
      </c>
      <c r="Z100" s="383">
        <v>25940.01</v>
      </c>
      <c r="AA100" s="383">
        <v>1452.1599999999999</v>
      </c>
      <c r="AB100" s="383">
        <v>1735.62</v>
      </c>
      <c r="AC100" s="383">
        <v>643.37</v>
      </c>
      <c r="AD100" s="383">
        <v>796.7299999999999</v>
      </c>
      <c r="AE100" s="383">
        <v>49.269999999999996</v>
      </c>
      <c r="AF100" s="416">
        <f t="shared" si="3"/>
        <v>172044.19999999998</v>
      </c>
      <c r="AG100" s="417">
        <f t="shared" si="4"/>
        <v>2.9304E-2</v>
      </c>
      <c r="AH100" s="418">
        <f>+AG100*'OH adj'!$G$28</f>
        <v>5196.7628589095566</v>
      </c>
      <c r="AI100" s="358"/>
    </row>
    <row r="101" spans="1:38" hidden="1" x14ac:dyDescent="0.25">
      <c r="A101" s="358">
        <f t="shared" si="5"/>
        <v>88</v>
      </c>
      <c r="B101" s="381">
        <v>935220</v>
      </c>
      <c r="C101" s="383">
        <v>0</v>
      </c>
      <c r="D101" s="383">
        <v>0</v>
      </c>
      <c r="E101" s="383">
        <v>0</v>
      </c>
      <c r="F101" s="383">
        <v>0</v>
      </c>
      <c r="G101" s="383">
        <v>0</v>
      </c>
      <c r="H101" s="383">
        <v>0</v>
      </c>
      <c r="I101" s="383">
        <v>0</v>
      </c>
      <c r="J101" s="383">
        <v>0</v>
      </c>
      <c r="K101" s="383">
        <v>0</v>
      </c>
      <c r="L101" s="358"/>
      <c r="M101" s="207">
        <v>0</v>
      </c>
      <c r="N101" s="207">
        <v>0</v>
      </c>
      <c r="O101" s="207">
        <v>0</v>
      </c>
      <c r="P101" s="207">
        <v>0</v>
      </c>
      <c r="Q101" s="207">
        <v>0</v>
      </c>
      <c r="R101" s="207">
        <v>0</v>
      </c>
      <c r="S101" s="207">
        <v>0</v>
      </c>
      <c r="T101" s="207">
        <v>0</v>
      </c>
      <c r="U101" s="207">
        <v>0</v>
      </c>
      <c r="V101" s="358"/>
      <c r="W101" s="383">
        <v>0</v>
      </c>
      <c r="X101" s="383">
        <v>0</v>
      </c>
      <c r="Y101" s="383">
        <v>0</v>
      </c>
      <c r="Z101" s="383">
        <v>0</v>
      </c>
      <c r="AA101" s="383">
        <v>0</v>
      </c>
      <c r="AB101" s="383">
        <v>0</v>
      </c>
      <c r="AC101" s="383">
        <v>0</v>
      </c>
      <c r="AD101" s="383">
        <v>0</v>
      </c>
      <c r="AE101" s="383">
        <v>0</v>
      </c>
      <c r="AF101" s="416">
        <f t="shared" si="3"/>
        <v>0</v>
      </c>
      <c r="AG101" s="417">
        <f t="shared" si="4"/>
        <v>0</v>
      </c>
      <c r="AH101" s="416"/>
      <c r="AI101" s="358"/>
    </row>
    <row r="102" spans="1:38" hidden="1" x14ac:dyDescent="0.25">
      <c r="A102" s="358">
        <f t="shared" si="5"/>
        <v>89</v>
      </c>
      <c r="B102" s="381">
        <v>935230</v>
      </c>
      <c r="C102" s="383">
        <v>0</v>
      </c>
      <c r="D102" s="383">
        <v>0</v>
      </c>
      <c r="E102" s="383">
        <v>0</v>
      </c>
      <c r="F102" s="383">
        <v>0</v>
      </c>
      <c r="G102" s="383">
        <v>0</v>
      </c>
      <c r="H102" s="383">
        <v>0</v>
      </c>
      <c r="I102" s="383">
        <v>0</v>
      </c>
      <c r="J102" s="383">
        <v>0</v>
      </c>
      <c r="K102" s="383">
        <v>0</v>
      </c>
      <c r="L102" s="358"/>
      <c r="M102" s="207">
        <v>0</v>
      </c>
      <c r="N102" s="207">
        <v>0</v>
      </c>
      <c r="O102" s="207">
        <v>0</v>
      </c>
      <c r="P102" s="207">
        <v>0</v>
      </c>
      <c r="Q102" s="207">
        <v>0</v>
      </c>
      <c r="R102" s="207">
        <v>0</v>
      </c>
      <c r="S102" s="207">
        <v>0</v>
      </c>
      <c r="T102" s="207">
        <v>0</v>
      </c>
      <c r="U102" s="207">
        <v>0</v>
      </c>
      <c r="V102" s="358"/>
      <c r="W102" s="383">
        <v>0</v>
      </c>
      <c r="X102" s="383">
        <v>0</v>
      </c>
      <c r="Y102" s="383">
        <v>0</v>
      </c>
      <c r="Z102" s="383">
        <v>0</v>
      </c>
      <c r="AA102" s="383">
        <v>0</v>
      </c>
      <c r="AB102" s="383">
        <v>0</v>
      </c>
      <c r="AC102" s="383">
        <v>0</v>
      </c>
      <c r="AD102" s="383">
        <v>0</v>
      </c>
      <c r="AE102" s="383">
        <v>0</v>
      </c>
      <c r="AF102" s="416">
        <f t="shared" si="3"/>
        <v>0</v>
      </c>
      <c r="AG102" s="417">
        <f t="shared" si="4"/>
        <v>0</v>
      </c>
      <c r="AH102" s="416"/>
      <c r="AI102" s="358"/>
    </row>
    <row r="103" spans="1:38" hidden="1" x14ac:dyDescent="0.25">
      <c r="A103" s="358">
        <f t="shared" si="5"/>
        <v>90</v>
      </c>
      <c r="B103" s="381">
        <v>935240</v>
      </c>
      <c r="C103" s="383">
        <v>0</v>
      </c>
      <c r="D103" s="383">
        <v>0</v>
      </c>
      <c r="E103" s="383">
        <v>0</v>
      </c>
      <c r="F103" s="383">
        <v>0</v>
      </c>
      <c r="G103" s="383">
        <v>0</v>
      </c>
      <c r="H103" s="383">
        <v>0</v>
      </c>
      <c r="I103" s="383">
        <v>0</v>
      </c>
      <c r="J103" s="383">
        <v>0</v>
      </c>
      <c r="K103" s="383">
        <v>0</v>
      </c>
      <c r="L103" s="358"/>
      <c r="M103" s="207">
        <v>0</v>
      </c>
      <c r="N103" s="207">
        <v>0</v>
      </c>
      <c r="O103" s="207">
        <v>0</v>
      </c>
      <c r="P103" s="207">
        <v>0</v>
      </c>
      <c r="Q103" s="207">
        <v>0</v>
      </c>
      <c r="R103" s="207">
        <v>0</v>
      </c>
      <c r="S103" s="207">
        <v>0</v>
      </c>
      <c r="T103" s="207">
        <v>0</v>
      </c>
      <c r="U103" s="207">
        <v>0</v>
      </c>
      <c r="V103" s="358"/>
      <c r="W103" s="383">
        <v>0</v>
      </c>
      <c r="X103" s="383">
        <v>0</v>
      </c>
      <c r="Y103" s="383">
        <v>0</v>
      </c>
      <c r="Z103" s="383">
        <v>0</v>
      </c>
      <c r="AA103" s="383">
        <v>0</v>
      </c>
      <c r="AB103" s="383">
        <v>0</v>
      </c>
      <c r="AC103" s="383">
        <v>0</v>
      </c>
      <c r="AD103" s="383">
        <v>0</v>
      </c>
      <c r="AE103" s="383">
        <v>0</v>
      </c>
      <c r="AF103" s="416">
        <f t="shared" si="3"/>
        <v>0</v>
      </c>
      <c r="AG103" s="417">
        <f t="shared" si="4"/>
        <v>0</v>
      </c>
      <c r="AH103" s="416"/>
      <c r="AI103" s="358"/>
    </row>
    <row r="104" spans="1:38" x14ac:dyDescent="0.25">
      <c r="A104" s="358">
        <f t="shared" si="5"/>
        <v>91</v>
      </c>
      <c r="B104" s="386"/>
      <c r="C104" s="383"/>
      <c r="D104" s="383"/>
      <c r="E104" s="383"/>
      <c r="F104" s="383"/>
      <c r="G104" s="383"/>
      <c r="H104" s="383"/>
      <c r="I104" s="383"/>
      <c r="J104" s="383"/>
      <c r="K104" s="383"/>
      <c r="L104" s="358"/>
      <c r="M104" s="383"/>
      <c r="N104" s="383"/>
      <c r="O104" s="383"/>
      <c r="P104" s="383"/>
      <c r="Q104" s="383"/>
      <c r="R104" s="383"/>
      <c r="S104" s="383"/>
      <c r="T104" s="383"/>
      <c r="U104" s="383"/>
      <c r="V104" s="358"/>
      <c r="W104" s="383"/>
      <c r="X104" s="383"/>
      <c r="Y104" s="383"/>
      <c r="Z104" s="383"/>
      <c r="AA104" s="383"/>
      <c r="AB104" s="383"/>
      <c r="AC104" s="383"/>
      <c r="AD104" s="383"/>
      <c r="AE104" s="383"/>
      <c r="AF104" s="416"/>
      <c r="AG104" s="416"/>
      <c r="AH104" s="416"/>
      <c r="AI104" s="358"/>
    </row>
    <row r="105" spans="1:38" ht="15.6" thickBot="1" x14ac:dyDescent="0.3">
      <c r="A105" s="358">
        <f t="shared" si="5"/>
        <v>92</v>
      </c>
      <c r="B105" s="386"/>
      <c r="C105" s="387">
        <f t="shared" ref="C105:K105" si="6">SUM(C10:C104)</f>
        <v>2259141.61</v>
      </c>
      <c r="D105" s="387">
        <f t="shared" si="6"/>
        <v>273109.65000000002</v>
      </c>
      <c r="E105" s="387">
        <f t="shared" si="6"/>
        <v>2250704.0399999996</v>
      </c>
      <c r="F105" s="387">
        <f t="shared" si="6"/>
        <v>828482.0199999999</v>
      </c>
      <c r="G105" s="387">
        <f t="shared" si="6"/>
        <v>159714.64000000001</v>
      </c>
      <c r="H105" s="387">
        <f t="shared" si="6"/>
        <v>54577.030000000028</v>
      </c>
      <c r="I105" s="387">
        <f t="shared" si="6"/>
        <v>18890.520000000004</v>
      </c>
      <c r="J105" s="387">
        <f t="shared" si="6"/>
        <v>23327.94</v>
      </c>
      <c r="K105" s="387">
        <f t="shared" si="6"/>
        <v>3151.1500000000005</v>
      </c>
      <c r="L105" s="358"/>
      <c r="M105" s="387">
        <f t="shared" ref="M105:T105" si="7">SUM(M10:M104)</f>
        <v>2259141.6</v>
      </c>
      <c r="N105" s="387">
        <f t="shared" si="7"/>
        <v>273109.62999999995</v>
      </c>
      <c r="O105" s="387">
        <f t="shared" si="7"/>
        <v>2250704.0300000003</v>
      </c>
      <c r="P105" s="387">
        <f t="shared" si="7"/>
        <v>828482.04999999981</v>
      </c>
      <c r="Q105" s="387">
        <f t="shared" si="7"/>
        <v>159714.65999999995</v>
      </c>
      <c r="R105" s="387">
        <f t="shared" si="7"/>
        <v>54577.009999999995</v>
      </c>
      <c r="S105" s="387">
        <f t="shared" si="7"/>
        <v>18890.53</v>
      </c>
      <c r="T105" s="387">
        <f t="shared" si="7"/>
        <v>23327.940000000002</v>
      </c>
      <c r="U105" s="387">
        <f>SUM(U10:U104)</f>
        <v>3151.14</v>
      </c>
      <c r="V105" s="358"/>
      <c r="W105" s="387">
        <f t="shared" ref="W105:AE105" si="8">SUM(W10:W104)</f>
        <v>2259141.6</v>
      </c>
      <c r="X105" s="387">
        <f t="shared" si="8"/>
        <v>273109.63</v>
      </c>
      <c r="Y105" s="387">
        <f t="shared" si="8"/>
        <v>2250704.0300000003</v>
      </c>
      <c r="Z105" s="387">
        <f t="shared" si="8"/>
        <v>828482.04999999981</v>
      </c>
      <c r="AA105" s="387">
        <f t="shared" si="8"/>
        <v>159714.65999999997</v>
      </c>
      <c r="AB105" s="387">
        <f t="shared" si="8"/>
        <v>54577.009999999995</v>
      </c>
      <c r="AC105" s="387">
        <f t="shared" si="8"/>
        <v>18890.53</v>
      </c>
      <c r="AD105" s="387">
        <f t="shared" si="8"/>
        <v>23327.940000000002</v>
      </c>
      <c r="AE105" s="387">
        <f t="shared" si="8"/>
        <v>3151.14</v>
      </c>
      <c r="AF105" s="419">
        <f>SUM(W105:AE105)</f>
        <v>5871098.5899999999</v>
      </c>
      <c r="AG105" s="420">
        <f>SUM(AG10:AG104)</f>
        <v>0.99999999999999989</v>
      </c>
      <c r="AH105" s="419">
        <f>SUM(AH10:AH104)</f>
        <v>177339.70989999853</v>
      </c>
      <c r="AI105" s="358"/>
    </row>
    <row r="106" spans="1:38" ht="15.6" thickTop="1" x14ac:dyDescent="0.25">
      <c r="A106" s="358">
        <f t="shared" si="5"/>
        <v>93</v>
      </c>
      <c r="B106" s="386"/>
      <c r="C106" s="383"/>
      <c r="D106" s="383"/>
      <c r="E106" s="383"/>
      <c r="F106" s="383"/>
      <c r="G106" s="383"/>
      <c r="H106" s="383"/>
      <c r="I106" s="383"/>
      <c r="J106" s="383"/>
      <c r="K106" s="383"/>
      <c r="L106" s="358"/>
      <c r="M106" s="383"/>
      <c r="N106" s="383"/>
      <c r="O106" s="383"/>
      <c r="P106" s="383"/>
      <c r="Q106" s="383"/>
      <c r="R106" s="383"/>
      <c r="S106" s="383"/>
      <c r="T106" s="383"/>
      <c r="U106" s="383"/>
      <c r="V106" s="358"/>
      <c r="W106" s="383"/>
      <c r="X106" s="383"/>
      <c r="Y106" s="383"/>
      <c r="Z106" s="383"/>
      <c r="AA106" s="383"/>
      <c r="AB106" s="383"/>
      <c r="AC106" s="383"/>
      <c r="AD106" s="383"/>
      <c r="AE106" s="383"/>
      <c r="AF106" s="416"/>
      <c r="AG106" s="416"/>
      <c r="AH106" s="416"/>
      <c r="AI106" s="358"/>
    </row>
    <row r="107" spans="1:38" x14ac:dyDescent="0.25">
      <c r="A107" s="358">
        <f t="shared" si="5"/>
        <v>94</v>
      </c>
      <c r="B107" s="386" t="s">
        <v>83</v>
      </c>
      <c r="C107" s="383"/>
      <c r="D107" s="383"/>
      <c r="E107" s="383"/>
      <c r="F107" s="383"/>
      <c r="G107" s="383"/>
      <c r="H107" s="383"/>
      <c r="I107" s="383"/>
      <c r="J107" s="383"/>
      <c r="K107" s="383"/>
      <c r="L107" s="358"/>
      <c r="M107" s="383"/>
      <c r="N107" s="383"/>
      <c r="O107" s="383"/>
      <c r="P107" s="383"/>
      <c r="Q107" s="383"/>
      <c r="R107" s="383"/>
      <c r="S107" s="383"/>
      <c r="T107" s="383"/>
      <c r="U107" s="383"/>
      <c r="V107" s="358"/>
      <c r="W107" s="383"/>
      <c r="X107" s="383"/>
      <c r="Y107" s="383"/>
      <c r="Z107" s="383"/>
      <c r="AA107" s="383"/>
      <c r="AB107" s="383"/>
      <c r="AC107" s="383"/>
      <c r="AD107" s="383"/>
      <c r="AE107" s="383"/>
      <c r="AF107" s="416"/>
      <c r="AG107" s="416"/>
      <c r="AH107" s="416"/>
      <c r="AI107" s="358"/>
      <c r="AJ107" s="194" t="s">
        <v>204</v>
      </c>
      <c r="AK107" s="194"/>
      <c r="AL107" s="194"/>
    </row>
    <row r="108" spans="1:38" x14ac:dyDescent="0.25">
      <c r="A108" s="358">
        <f t="shared" si="5"/>
        <v>95</v>
      </c>
      <c r="B108" s="358"/>
      <c r="C108" s="357" t="s">
        <v>201</v>
      </c>
      <c r="D108" s="357"/>
      <c r="E108" s="357"/>
      <c r="F108" s="357"/>
      <c r="G108" s="357"/>
      <c r="H108" s="357"/>
      <c r="I108" s="357"/>
      <c r="J108" s="357"/>
      <c r="K108" s="357"/>
      <c r="L108" s="358"/>
      <c r="M108" s="383"/>
      <c r="N108" s="383"/>
      <c r="O108" s="383"/>
      <c r="P108" s="383"/>
      <c r="Q108" s="383"/>
      <c r="R108" s="383"/>
      <c r="S108" s="383"/>
      <c r="T108" s="383"/>
      <c r="U108" s="383"/>
      <c r="V108" s="358"/>
      <c r="W108" s="357" t="s">
        <v>202</v>
      </c>
      <c r="X108" s="357"/>
      <c r="Y108" s="357"/>
      <c r="Z108" s="357"/>
      <c r="AA108" s="357"/>
      <c r="AB108" s="357"/>
      <c r="AC108" s="357"/>
      <c r="AD108" s="357"/>
      <c r="AE108" s="357"/>
      <c r="AF108" s="416"/>
      <c r="AG108" s="416"/>
      <c r="AH108" s="416"/>
      <c r="AI108" s="358"/>
      <c r="AJ108" s="192">
        <f>+SUM(AH48:AH54)</f>
        <v>22194.064693984812</v>
      </c>
      <c r="AK108" s="190">
        <v>580</v>
      </c>
      <c r="AL108" s="213">
        <f t="shared" ref="AL108:AL113" si="9">+AJ108/$AJ$114</f>
        <v>0.19346859903381641</v>
      </c>
    </row>
    <row r="109" spans="1:38" x14ac:dyDescent="0.25">
      <c r="A109" s="358">
        <f t="shared" si="5"/>
        <v>96</v>
      </c>
      <c r="B109" s="358" t="s">
        <v>104</v>
      </c>
      <c r="C109" s="383">
        <f t="shared" ref="C109:K109" si="10">SUM(C10:C31)+C39</f>
        <v>682656.42000000027</v>
      </c>
      <c r="D109" s="383">
        <f t="shared" si="10"/>
        <v>102834.54999999997</v>
      </c>
      <c r="E109" s="383">
        <f t="shared" si="10"/>
        <v>662498.2200000002</v>
      </c>
      <c r="F109" s="383">
        <f t="shared" si="10"/>
        <v>228671.78</v>
      </c>
      <c r="G109" s="383">
        <f t="shared" si="10"/>
        <v>62393.060000000005</v>
      </c>
      <c r="H109" s="383">
        <f t="shared" si="10"/>
        <v>15996.279999999999</v>
      </c>
      <c r="I109" s="383">
        <f t="shared" si="10"/>
        <v>4851.62</v>
      </c>
      <c r="J109" s="383">
        <f t="shared" si="10"/>
        <v>6010.0099999999984</v>
      </c>
      <c r="K109" s="383">
        <f t="shared" si="10"/>
        <v>443.05</v>
      </c>
      <c r="L109" s="358"/>
      <c r="M109" s="383"/>
      <c r="N109" s="383"/>
      <c r="O109" s="383"/>
      <c r="P109" s="383"/>
      <c r="Q109" s="383"/>
      <c r="R109" s="383"/>
      <c r="S109" s="383"/>
      <c r="T109" s="383"/>
      <c r="U109" s="383"/>
      <c r="V109" s="358"/>
      <c r="W109" s="383">
        <f t="shared" ref="W109:AE109" si="11">SUM(W10:W31)+W39</f>
        <v>805543.8600000001</v>
      </c>
      <c r="X109" s="383">
        <f t="shared" si="11"/>
        <v>120531.66999999998</v>
      </c>
      <c r="Y109" s="383">
        <f t="shared" si="11"/>
        <v>771215.61000000034</v>
      </c>
      <c r="Z109" s="383">
        <f t="shared" si="11"/>
        <v>267869.52</v>
      </c>
      <c r="AA109" s="383">
        <f t="shared" si="11"/>
        <v>72582.559999999998</v>
      </c>
      <c r="AB109" s="383">
        <f t="shared" si="11"/>
        <v>18715.499999999996</v>
      </c>
      <c r="AC109" s="383">
        <f t="shared" si="11"/>
        <v>5784.1100000000006</v>
      </c>
      <c r="AD109" s="383">
        <f t="shared" si="11"/>
        <v>7156.94</v>
      </c>
      <c r="AE109" s="383">
        <f t="shared" si="11"/>
        <v>527.16999999999996</v>
      </c>
      <c r="AF109" s="416">
        <f t="shared" ref="AF109:AF114" si="12">SUM(W109:AE109)</f>
        <v>2069926.9400000004</v>
      </c>
      <c r="AG109" s="417">
        <f>+ROUND(AH109/$AH$114,6)</f>
        <v>0.35256199999999999</v>
      </c>
      <c r="AH109" s="418">
        <f>SUM(AH10:AH31)+AH39</f>
        <v>62523.242801763277</v>
      </c>
      <c r="AI109" s="343">
        <f>+AG109</f>
        <v>0.35256199999999999</v>
      </c>
      <c r="AJ109" s="192">
        <f>+SUM(AH55:AH65)</f>
        <v>30191.730931054946</v>
      </c>
      <c r="AK109" s="190">
        <v>590</v>
      </c>
      <c r="AL109" s="213">
        <f t="shared" si="9"/>
        <v>0.26318531400966183</v>
      </c>
    </row>
    <row r="110" spans="1:38" x14ac:dyDescent="0.25">
      <c r="A110" s="358">
        <f t="shared" si="5"/>
        <v>97</v>
      </c>
      <c r="B110" s="358" t="s">
        <v>78</v>
      </c>
      <c r="C110" s="383">
        <f t="shared" ref="C110:K110" si="13">SUM(C32:C36)</f>
        <v>1086.7399999999998</v>
      </c>
      <c r="D110" s="383">
        <f t="shared" si="13"/>
        <v>397.73</v>
      </c>
      <c r="E110" s="383">
        <f t="shared" si="13"/>
        <v>883.53</v>
      </c>
      <c r="F110" s="383">
        <f t="shared" si="13"/>
        <v>565.20000000000005</v>
      </c>
      <c r="G110" s="383">
        <f t="shared" si="13"/>
        <v>0</v>
      </c>
      <c r="H110" s="383">
        <f t="shared" si="13"/>
        <v>0</v>
      </c>
      <c r="I110" s="383">
        <f t="shared" si="13"/>
        <v>0</v>
      </c>
      <c r="J110" s="383">
        <f t="shared" si="13"/>
        <v>0</v>
      </c>
      <c r="K110" s="383">
        <f t="shared" si="13"/>
        <v>0</v>
      </c>
      <c r="L110" s="358"/>
      <c r="M110" s="383"/>
      <c r="N110" s="383"/>
      <c r="O110" s="383"/>
      <c r="P110" s="383"/>
      <c r="Q110" s="383"/>
      <c r="R110" s="383"/>
      <c r="S110" s="383"/>
      <c r="T110" s="383"/>
      <c r="U110" s="383"/>
      <c r="V110" s="358"/>
      <c r="W110" s="383">
        <f t="shared" ref="W110:AE110" si="14">SUM(W32:W36)</f>
        <v>1086.7399999999998</v>
      </c>
      <c r="X110" s="383">
        <f t="shared" si="14"/>
        <v>397.73</v>
      </c>
      <c r="Y110" s="383">
        <f t="shared" si="14"/>
        <v>883.53</v>
      </c>
      <c r="Z110" s="383">
        <f t="shared" si="14"/>
        <v>565.20000000000005</v>
      </c>
      <c r="AA110" s="383">
        <f t="shared" si="14"/>
        <v>0</v>
      </c>
      <c r="AB110" s="383">
        <f t="shared" si="14"/>
        <v>0</v>
      </c>
      <c r="AC110" s="383">
        <f t="shared" si="14"/>
        <v>0</v>
      </c>
      <c r="AD110" s="383">
        <f t="shared" si="14"/>
        <v>0</v>
      </c>
      <c r="AE110" s="383">
        <f t="shared" si="14"/>
        <v>0</v>
      </c>
      <c r="AF110" s="416">
        <f t="shared" si="12"/>
        <v>2933.2</v>
      </c>
      <c r="AG110" s="417">
        <f>+ROUND(AH110/$AH$114,6)</f>
        <v>4.9899999999999999E-4</v>
      </c>
      <c r="AH110" s="418">
        <f>SUM(AH32:AH35)</f>
        <v>88.492515240099252</v>
      </c>
      <c r="AI110" s="343">
        <f>+AG110</f>
        <v>4.9899999999999999E-4</v>
      </c>
      <c r="AJ110" s="192">
        <f>+SUM(AH66:AH69)</f>
        <v>34272.849674983612</v>
      </c>
      <c r="AK110" s="190">
        <v>903</v>
      </c>
      <c r="AL110" s="213">
        <f t="shared" si="9"/>
        <v>0.29876096618357489</v>
      </c>
    </row>
    <row r="111" spans="1:38" x14ac:dyDescent="0.25">
      <c r="A111" s="358">
        <f t="shared" si="5"/>
        <v>98</v>
      </c>
      <c r="B111" s="358" t="s">
        <v>105</v>
      </c>
      <c r="C111" s="383">
        <f t="shared" ref="C111:K111" si="15">SUM(C37:C38)+C40</f>
        <v>126772.97999999998</v>
      </c>
      <c r="D111" s="383">
        <f t="shared" si="15"/>
        <v>18490.63</v>
      </c>
      <c r="E111" s="383">
        <f t="shared" si="15"/>
        <v>112881.45000000001</v>
      </c>
      <c r="F111" s="383">
        <f t="shared" si="15"/>
        <v>40716.19999999999</v>
      </c>
      <c r="G111" s="383">
        <f t="shared" si="15"/>
        <v>10640.560000000001</v>
      </c>
      <c r="H111" s="383">
        <f t="shared" si="15"/>
        <v>2826.25</v>
      </c>
      <c r="I111" s="383">
        <f t="shared" si="15"/>
        <v>962.15000000000009</v>
      </c>
      <c r="J111" s="383">
        <f t="shared" si="15"/>
        <v>1183.97</v>
      </c>
      <c r="K111" s="383">
        <f t="shared" si="15"/>
        <v>86.52</v>
      </c>
      <c r="L111" s="358"/>
      <c r="M111" s="383"/>
      <c r="N111" s="383"/>
      <c r="O111" s="383"/>
      <c r="P111" s="383"/>
      <c r="Q111" s="383"/>
      <c r="R111" s="383"/>
      <c r="S111" s="383"/>
      <c r="T111" s="383"/>
      <c r="U111" s="383"/>
      <c r="V111" s="358"/>
      <c r="W111" s="383">
        <f t="shared" ref="W111:AE111" si="16">SUM(W37:W38)+W40</f>
        <v>0</v>
      </c>
      <c r="X111" s="383">
        <f t="shared" si="16"/>
        <v>0</v>
      </c>
      <c r="Y111" s="383">
        <f t="shared" si="16"/>
        <v>0</v>
      </c>
      <c r="Z111" s="383">
        <f t="shared" si="16"/>
        <v>0</v>
      </c>
      <c r="AA111" s="383">
        <f t="shared" si="16"/>
        <v>0</v>
      </c>
      <c r="AB111" s="383">
        <f t="shared" si="16"/>
        <v>0</v>
      </c>
      <c r="AC111" s="383">
        <f t="shared" si="16"/>
        <v>0</v>
      </c>
      <c r="AD111" s="383">
        <f t="shared" si="16"/>
        <v>0</v>
      </c>
      <c r="AE111" s="383">
        <f t="shared" si="16"/>
        <v>0</v>
      </c>
      <c r="AF111" s="416">
        <f t="shared" si="12"/>
        <v>0</v>
      </c>
      <c r="AG111" s="417">
        <f>+ROUND(AH111/$AH$114,6)</f>
        <v>0</v>
      </c>
      <c r="AH111" s="418"/>
      <c r="AI111" s="343">
        <f>+AG111</f>
        <v>0</v>
      </c>
      <c r="AJ111" s="192">
        <f>+AH70</f>
        <v>1699.9784591013859</v>
      </c>
      <c r="AK111" s="190">
        <v>908</v>
      </c>
      <c r="AL111" s="213">
        <f t="shared" si="9"/>
        <v>1.4818937198067634E-2</v>
      </c>
    </row>
    <row r="112" spans="1:38" x14ac:dyDescent="0.25">
      <c r="A112" s="358">
        <f t="shared" si="5"/>
        <v>99</v>
      </c>
      <c r="B112" s="358" t="s">
        <v>106</v>
      </c>
      <c r="C112" s="383">
        <f t="shared" ref="C112:K112" si="17">SUM(C41:C47)</f>
        <v>208.16</v>
      </c>
      <c r="D112" s="383">
        <f t="shared" si="17"/>
        <v>4.0000000000000036E-2</v>
      </c>
      <c r="E112" s="383">
        <f t="shared" si="17"/>
        <v>119.28</v>
      </c>
      <c r="F112" s="383">
        <f t="shared" si="17"/>
        <v>40.019999999999996</v>
      </c>
      <c r="G112" s="383">
        <f t="shared" si="17"/>
        <v>2.04</v>
      </c>
      <c r="H112" s="383">
        <f t="shared" si="17"/>
        <v>2.7700000000000005</v>
      </c>
      <c r="I112" s="383">
        <f t="shared" si="17"/>
        <v>0.47</v>
      </c>
      <c r="J112" s="383">
        <f t="shared" si="17"/>
        <v>0.72</v>
      </c>
      <c r="K112" s="383">
        <f t="shared" si="17"/>
        <v>0.02</v>
      </c>
      <c r="L112" s="358"/>
      <c r="M112" s="383"/>
      <c r="N112" s="383"/>
      <c r="O112" s="383"/>
      <c r="P112" s="383"/>
      <c r="Q112" s="383"/>
      <c r="R112" s="383"/>
      <c r="S112" s="383"/>
      <c r="T112" s="383"/>
      <c r="U112" s="383"/>
      <c r="V112" s="358"/>
      <c r="W112" s="383">
        <f t="shared" ref="W112:AE112" si="18">SUM(W41:W47)</f>
        <v>208.16</v>
      </c>
      <c r="X112" s="383">
        <f t="shared" si="18"/>
        <v>4.0000000000000036E-2</v>
      </c>
      <c r="Y112" s="383">
        <f t="shared" si="18"/>
        <v>119.28</v>
      </c>
      <c r="Z112" s="383">
        <f t="shared" si="18"/>
        <v>40.019999999999996</v>
      </c>
      <c r="AA112" s="383">
        <f t="shared" si="18"/>
        <v>2.04</v>
      </c>
      <c r="AB112" s="383">
        <f t="shared" si="18"/>
        <v>2.7700000000000005</v>
      </c>
      <c r="AC112" s="383">
        <f t="shared" si="18"/>
        <v>0.47</v>
      </c>
      <c r="AD112" s="383">
        <f t="shared" si="18"/>
        <v>0.72</v>
      </c>
      <c r="AE112" s="383">
        <f t="shared" si="18"/>
        <v>0.02</v>
      </c>
      <c r="AF112" s="416">
        <f t="shared" si="12"/>
        <v>373.52000000000004</v>
      </c>
      <c r="AG112" s="417">
        <f>+ROUND(AH112/$AH$114,6)</f>
        <v>6.3999999999999997E-5</v>
      </c>
      <c r="AH112" s="418">
        <f>SUM(AH41)</f>
        <v>11.349741433599904</v>
      </c>
      <c r="AI112" s="343">
        <f>+AG112</f>
        <v>6.3999999999999997E-5</v>
      </c>
      <c r="AJ112" s="192">
        <f>AH71</f>
        <v>856.19611939719277</v>
      </c>
      <c r="AK112" s="190">
        <v>912</v>
      </c>
      <c r="AL112" s="213">
        <f t="shared" si="9"/>
        <v>7.4635748792270529E-3</v>
      </c>
    </row>
    <row r="113" spans="1:39" x14ac:dyDescent="0.25">
      <c r="A113" s="358">
        <f t="shared" si="5"/>
        <v>100</v>
      </c>
      <c r="B113" s="358" t="s">
        <v>107</v>
      </c>
      <c r="C113" s="389">
        <f t="shared" ref="C113:K113" si="19">SUM(C48:C103)</f>
        <v>1448417.3099999998</v>
      </c>
      <c r="D113" s="389">
        <f t="shared" si="19"/>
        <v>151386.70000000004</v>
      </c>
      <c r="E113" s="389">
        <f t="shared" si="19"/>
        <v>1474321.56</v>
      </c>
      <c r="F113" s="389">
        <f t="shared" si="19"/>
        <v>558488.81999999995</v>
      </c>
      <c r="G113" s="389">
        <f t="shared" si="19"/>
        <v>86678.979999999981</v>
      </c>
      <c r="H113" s="389">
        <f t="shared" si="19"/>
        <v>35751.730000000018</v>
      </c>
      <c r="I113" s="389">
        <f t="shared" si="19"/>
        <v>13076.28</v>
      </c>
      <c r="J113" s="389">
        <f t="shared" si="19"/>
        <v>16133.24</v>
      </c>
      <c r="K113" s="389">
        <f t="shared" si="19"/>
        <v>2621.5600000000004</v>
      </c>
      <c r="L113" s="358"/>
      <c r="M113" s="383"/>
      <c r="N113" s="383"/>
      <c r="O113" s="383"/>
      <c r="P113" s="383"/>
      <c r="Q113" s="383"/>
      <c r="R113" s="383"/>
      <c r="S113" s="383"/>
      <c r="T113" s="383"/>
      <c r="U113" s="383"/>
      <c r="V113" s="358"/>
      <c r="W113" s="389">
        <f t="shared" ref="W113:AE113" si="20">SUM(W48:W103)</f>
        <v>1452302.84</v>
      </c>
      <c r="X113" s="389">
        <f t="shared" si="20"/>
        <v>152180.19000000009</v>
      </c>
      <c r="Y113" s="389">
        <f t="shared" si="20"/>
        <v>1478485.61</v>
      </c>
      <c r="Z113" s="389">
        <f t="shared" si="20"/>
        <v>560007.31000000006</v>
      </c>
      <c r="AA113" s="389">
        <f t="shared" si="20"/>
        <v>87130.060000000012</v>
      </c>
      <c r="AB113" s="389">
        <f t="shared" si="20"/>
        <v>35858.740000000005</v>
      </c>
      <c r="AC113" s="389">
        <f t="shared" si="20"/>
        <v>13105.949999999999</v>
      </c>
      <c r="AD113" s="389">
        <f t="shared" si="20"/>
        <v>16170.279999999997</v>
      </c>
      <c r="AE113" s="389">
        <f t="shared" si="20"/>
        <v>2623.95</v>
      </c>
      <c r="AF113" s="416">
        <f t="shared" si="12"/>
        <v>3797864.9300000011</v>
      </c>
      <c r="AG113" s="417">
        <f>+ROUND(AH113/$AH$114,6)</f>
        <v>0.64687499999999998</v>
      </c>
      <c r="AH113" s="421">
        <f>SUM(AH48:AH100)</f>
        <v>114716.62484156154</v>
      </c>
      <c r="AI113" s="343">
        <f>+AG113</f>
        <v>0.64687499999999998</v>
      </c>
      <c r="AJ113" s="192">
        <f>+SUM(AH76:AH104)</f>
        <v>25501.804963039584</v>
      </c>
      <c r="AK113" s="190" t="s">
        <v>203</v>
      </c>
      <c r="AL113" s="213">
        <f t="shared" si="9"/>
        <v>0.22230260869565213</v>
      </c>
    </row>
    <row r="114" spans="1:39" ht="15.6" thickBot="1" x14ac:dyDescent="0.3">
      <c r="A114" s="358">
        <f t="shared" si="5"/>
        <v>101</v>
      </c>
      <c r="B114" s="358" t="s">
        <v>92</v>
      </c>
      <c r="C114" s="390">
        <f t="shared" ref="C114:K114" si="21">SUM(C109:C113)</f>
        <v>2259141.6100000003</v>
      </c>
      <c r="D114" s="390">
        <f t="shared" si="21"/>
        <v>273109.65000000002</v>
      </c>
      <c r="E114" s="390">
        <f t="shared" si="21"/>
        <v>2250704.04</v>
      </c>
      <c r="F114" s="390">
        <f t="shared" si="21"/>
        <v>828482.02</v>
      </c>
      <c r="G114" s="390">
        <f t="shared" si="21"/>
        <v>159714.63999999998</v>
      </c>
      <c r="H114" s="390">
        <f t="shared" si="21"/>
        <v>54577.030000000013</v>
      </c>
      <c r="I114" s="390">
        <f t="shared" si="21"/>
        <v>18890.52</v>
      </c>
      <c r="J114" s="390">
        <f t="shared" si="21"/>
        <v>23327.94</v>
      </c>
      <c r="K114" s="390">
        <f t="shared" si="21"/>
        <v>3151.1500000000005</v>
      </c>
      <c r="L114" s="358"/>
      <c r="M114" s="383"/>
      <c r="N114" s="383"/>
      <c r="O114" s="383"/>
      <c r="P114" s="383"/>
      <c r="Q114" s="383"/>
      <c r="R114" s="383"/>
      <c r="S114" s="383"/>
      <c r="T114" s="383"/>
      <c r="U114" s="383"/>
      <c r="V114" s="358"/>
      <c r="W114" s="390">
        <f t="shared" ref="W114:AE114" si="22">SUM(W109:W113)</f>
        <v>2259141.6</v>
      </c>
      <c r="X114" s="390">
        <f t="shared" si="22"/>
        <v>273109.63000000006</v>
      </c>
      <c r="Y114" s="390">
        <f t="shared" si="22"/>
        <v>2250704.0300000003</v>
      </c>
      <c r="Z114" s="390">
        <f t="shared" si="22"/>
        <v>828482.05</v>
      </c>
      <c r="AA114" s="390">
        <f t="shared" si="22"/>
        <v>159714.66</v>
      </c>
      <c r="AB114" s="390">
        <f t="shared" si="22"/>
        <v>54577.01</v>
      </c>
      <c r="AC114" s="390">
        <f t="shared" si="22"/>
        <v>18890.53</v>
      </c>
      <c r="AD114" s="390">
        <f t="shared" si="22"/>
        <v>23327.939999999995</v>
      </c>
      <c r="AE114" s="390">
        <f t="shared" si="22"/>
        <v>3151.14</v>
      </c>
      <c r="AF114" s="422">
        <f t="shared" si="12"/>
        <v>5871098.5899999999</v>
      </c>
      <c r="AG114" s="423">
        <f>SUM(AG109:AG113)</f>
        <v>1</v>
      </c>
      <c r="AH114" s="422">
        <f>SUM(AH109:AH113)</f>
        <v>177339.7098999985</v>
      </c>
      <c r="AI114" s="358"/>
      <c r="AJ114" s="195">
        <f>SUM(AJ108:AJ113)</f>
        <v>114716.62484156154</v>
      </c>
      <c r="AL114" s="196">
        <f>SUM(AL108:AL113)</f>
        <v>1</v>
      </c>
    </row>
    <row r="115" spans="1:39" s="358" customFormat="1" ht="15.6" thickTop="1" x14ac:dyDescent="0.25">
      <c r="A115" s="358">
        <f t="shared" si="5"/>
        <v>102</v>
      </c>
      <c r="C115" s="424"/>
      <c r="D115" s="424"/>
      <c r="E115" s="424"/>
      <c r="F115" s="424"/>
      <c r="G115" s="424"/>
      <c r="H115" s="424"/>
      <c r="I115" s="424"/>
      <c r="J115" s="424"/>
      <c r="K115" s="424"/>
      <c r="M115" s="383"/>
      <c r="N115" s="383"/>
      <c r="O115" s="383"/>
      <c r="P115" s="383"/>
      <c r="Q115" s="383"/>
      <c r="R115" s="383"/>
      <c r="S115" s="383"/>
      <c r="T115" s="383"/>
      <c r="U115" s="383"/>
      <c r="W115" s="424"/>
      <c r="X115" s="424"/>
      <c r="Y115" s="424"/>
      <c r="Z115" s="424"/>
      <c r="AA115" s="424"/>
      <c r="AB115" s="424"/>
      <c r="AC115" s="424"/>
      <c r="AD115" s="424"/>
      <c r="AE115" s="424"/>
      <c r="AF115" s="425"/>
      <c r="AG115" s="426"/>
      <c r="AH115" s="425"/>
      <c r="AJ115" s="427"/>
      <c r="AL115" s="428"/>
    </row>
    <row r="116" spans="1:39" s="358" customFormat="1" x14ac:dyDescent="0.25">
      <c r="A116" s="358">
        <f t="shared" si="5"/>
        <v>103</v>
      </c>
      <c r="D116" s="424"/>
      <c r="E116" s="424"/>
      <c r="F116" s="424"/>
      <c r="G116" s="424"/>
      <c r="H116" s="424"/>
      <c r="I116" s="424"/>
      <c r="J116" s="424"/>
      <c r="K116" s="424"/>
      <c r="L116" s="424"/>
      <c r="N116" s="383"/>
      <c r="O116" s="383"/>
      <c r="P116" s="383"/>
      <c r="Q116" s="383"/>
      <c r="R116" s="383"/>
      <c r="S116" s="383"/>
      <c r="T116" s="383"/>
      <c r="U116" s="383"/>
      <c r="V116" s="383"/>
      <c r="X116" s="424"/>
      <c r="Y116" s="424"/>
      <c r="Z116" s="424"/>
      <c r="AA116" s="424"/>
      <c r="AB116" s="424"/>
      <c r="AC116" s="424"/>
      <c r="AD116" s="424"/>
      <c r="AE116" s="424"/>
      <c r="AF116" s="424"/>
      <c r="AG116" s="425"/>
      <c r="AH116" s="426"/>
      <c r="AI116" s="425"/>
      <c r="AK116" s="427"/>
      <c r="AM116" s="428"/>
    </row>
    <row r="117" spans="1:39" x14ac:dyDescent="0.25">
      <c r="A117" s="358">
        <f t="shared" si="5"/>
        <v>104</v>
      </c>
      <c r="B117" s="356" t="s">
        <v>524</v>
      </c>
      <c r="C117" s="356"/>
      <c r="D117" s="356"/>
      <c r="E117" s="356"/>
      <c r="F117" s="356"/>
      <c r="G117" s="356"/>
      <c r="H117" s="356"/>
      <c r="I117" s="356"/>
      <c r="J117" s="356"/>
      <c r="K117" s="356"/>
      <c r="L117" s="356"/>
      <c r="M117" s="356"/>
      <c r="N117" s="356"/>
      <c r="O117" s="356"/>
      <c r="P117" s="356"/>
      <c r="Q117" s="356"/>
      <c r="R117" s="356"/>
      <c r="S117" s="356"/>
      <c r="T117" s="356"/>
      <c r="U117" s="356"/>
      <c r="V117" s="356"/>
      <c r="W117" s="356"/>
      <c r="X117" s="356"/>
      <c r="Y117" s="356"/>
      <c r="Z117" s="356"/>
      <c r="AA117" s="356"/>
      <c r="AB117" s="356"/>
      <c r="AC117" s="356"/>
      <c r="AD117" s="356"/>
      <c r="AE117" s="356"/>
      <c r="AF117" s="356"/>
      <c r="AG117" s="356"/>
      <c r="AH117" s="356"/>
      <c r="AI117" s="356"/>
      <c r="AJ117"/>
      <c r="AK117"/>
      <c r="AL117"/>
    </row>
    <row r="118" spans="1:39" x14ac:dyDescent="0.25">
      <c r="C118" s="191">
        <f t="shared" ref="C118:K118" si="23">+C105-C114</f>
        <v>0</v>
      </c>
      <c r="D118" s="191">
        <f t="shared" si="23"/>
        <v>0</v>
      </c>
      <c r="E118" s="191">
        <f t="shared" si="23"/>
        <v>0</v>
      </c>
      <c r="F118" s="191">
        <f t="shared" si="23"/>
        <v>0</v>
      </c>
      <c r="G118" s="191">
        <f t="shared" si="23"/>
        <v>0</v>
      </c>
      <c r="H118" s="191">
        <f t="shared" si="23"/>
        <v>0</v>
      </c>
      <c r="I118" s="191">
        <f t="shared" si="23"/>
        <v>0</v>
      </c>
      <c r="J118" s="191">
        <f t="shared" si="23"/>
        <v>0</v>
      </c>
      <c r="K118" s="191">
        <f t="shared" si="23"/>
        <v>0</v>
      </c>
      <c r="W118" s="191">
        <f t="shared" ref="W118:AE118" si="24">+W105-W114</f>
        <v>0</v>
      </c>
      <c r="X118" s="191">
        <f t="shared" si="24"/>
        <v>0</v>
      </c>
      <c r="Y118" s="191">
        <f t="shared" si="24"/>
        <v>0</v>
      </c>
      <c r="Z118" s="191">
        <f t="shared" si="24"/>
        <v>0</v>
      </c>
      <c r="AA118" s="191">
        <f t="shared" si="24"/>
        <v>0</v>
      </c>
      <c r="AB118" s="191">
        <f t="shared" si="24"/>
        <v>0</v>
      </c>
      <c r="AC118" s="191">
        <f t="shared" si="24"/>
        <v>0</v>
      </c>
      <c r="AD118" s="191">
        <f t="shared" si="24"/>
        <v>0</v>
      </c>
      <c r="AE118" s="191">
        <f t="shared" si="24"/>
        <v>0</v>
      </c>
      <c r="AF118" s="192">
        <f t="shared" ref="AF118" si="25">SUM(W118:AE118)</f>
        <v>0</v>
      </c>
    </row>
    <row r="119" spans="1:39" x14ac:dyDescent="0.25">
      <c r="B119" s="193"/>
    </row>
    <row r="120" spans="1:39" x14ac:dyDescent="0.25">
      <c r="B120" s="193"/>
      <c r="W120" s="210">
        <f t="shared" ref="W120:AF120" si="26">+ROUND(W109/W$114,6)</f>
        <v>0.35657100000000003</v>
      </c>
      <c r="X120" s="210">
        <f t="shared" si="26"/>
        <v>0.44133099999999997</v>
      </c>
      <c r="Y120" s="210">
        <f t="shared" si="26"/>
        <v>0.34265499999999999</v>
      </c>
      <c r="Z120" s="210">
        <f t="shared" si="26"/>
        <v>0.323326</v>
      </c>
      <c r="AA120" s="210">
        <f t="shared" si="26"/>
        <v>0.45445099999999999</v>
      </c>
      <c r="AB120" s="210">
        <f t="shared" si="26"/>
        <v>0.34291899999999997</v>
      </c>
      <c r="AC120" s="210">
        <f t="shared" si="26"/>
        <v>0.30619099999999999</v>
      </c>
      <c r="AD120" s="210">
        <f t="shared" si="26"/>
        <v>0.30679699999999999</v>
      </c>
      <c r="AE120" s="210">
        <f t="shared" si="26"/>
        <v>0.167295</v>
      </c>
      <c r="AF120" s="210">
        <f t="shared" si="26"/>
        <v>0.35256199999999999</v>
      </c>
    </row>
    <row r="121" spans="1:39" x14ac:dyDescent="0.25">
      <c r="B121" s="193"/>
      <c r="W121" s="210">
        <f t="shared" ref="W121:AF121" si="27">+ROUND(W110/W$114,6)</f>
        <v>4.8099999999999998E-4</v>
      </c>
      <c r="X121" s="210">
        <f t="shared" si="27"/>
        <v>1.456E-3</v>
      </c>
      <c r="Y121" s="210">
        <f t="shared" si="27"/>
        <v>3.9300000000000001E-4</v>
      </c>
      <c r="Z121" s="210">
        <f t="shared" si="27"/>
        <v>6.8199999999999999E-4</v>
      </c>
      <c r="AA121" s="210">
        <f t="shared" si="27"/>
        <v>0</v>
      </c>
      <c r="AB121" s="210">
        <f t="shared" si="27"/>
        <v>0</v>
      </c>
      <c r="AC121" s="210">
        <f t="shared" si="27"/>
        <v>0</v>
      </c>
      <c r="AD121" s="210">
        <f t="shared" si="27"/>
        <v>0</v>
      </c>
      <c r="AE121" s="210">
        <f t="shared" si="27"/>
        <v>0</v>
      </c>
      <c r="AF121" s="210">
        <f t="shared" si="27"/>
        <v>5.0000000000000001E-4</v>
      </c>
    </row>
    <row r="122" spans="1:39" x14ac:dyDescent="0.25">
      <c r="B122" s="193"/>
      <c r="W122" s="210">
        <f t="shared" ref="W122:AF122" si="28">+ROUND(W112/W$114,6)</f>
        <v>9.2E-5</v>
      </c>
      <c r="X122" s="210">
        <f t="shared" si="28"/>
        <v>0</v>
      </c>
      <c r="Y122" s="210">
        <f t="shared" si="28"/>
        <v>5.3000000000000001E-5</v>
      </c>
      <c r="Z122" s="210">
        <f t="shared" si="28"/>
        <v>4.8000000000000001E-5</v>
      </c>
      <c r="AA122" s="210">
        <f t="shared" si="28"/>
        <v>1.2999999999999999E-5</v>
      </c>
      <c r="AB122" s="210">
        <f t="shared" si="28"/>
        <v>5.1E-5</v>
      </c>
      <c r="AC122" s="210">
        <f t="shared" si="28"/>
        <v>2.5000000000000001E-5</v>
      </c>
      <c r="AD122" s="210">
        <f t="shared" si="28"/>
        <v>3.1000000000000001E-5</v>
      </c>
      <c r="AE122" s="210">
        <f t="shared" si="28"/>
        <v>6.0000000000000002E-6</v>
      </c>
      <c r="AF122" s="210">
        <f t="shared" si="28"/>
        <v>6.3999999999999997E-5</v>
      </c>
    </row>
    <row r="123" spans="1:39" x14ac:dyDescent="0.25">
      <c r="B123" s="193"/>
      <c r="W123" s="210">
        <f>+ROUND(W113/W$114,6)</f>
        <v>0.64285599999999998</v>
      </c>
      <c r="X123" s="210">
        <f>+ROUND(X113/X$114,6)</f>
        <v>0.55721299999999996</v>
      </c>
      <c r="Y123" s="210">
        <f>+ROUND(Y113/Y$114,6)+0.000001</f>
        <v>0.65690000000000004</v>
      </c>
      <c r="Z123" s="210">
        <f t="shared" ref="Z123:AF123" si="29">+ROUND(Z113/Z$114,6)</f>
        <v>0.67594399999999999</v>
      </c>
      <c r="AA123" s="210">
        <f t="shared" si="29"/>
        <v>0.54553600000000002</v>
      </c>
      <c r="AB123" s="210">
        <f t="shared" si="29"/>
        <v>0.65703</v>
      </c>
      <c r="AC123" s="210">
        <f t="shared" si="29"/>
        <v>0.69378399999999996</v>
      </c>
      <c r="AD123" s="210">
        <f t="shared" si="29"/>
        <v>0.69317200000000001</v>
      </c>
      <c r="AE123" s="210">
        <f t="shared" si="29"/>
        <v>0.83269899999999997</v>
      </c>
      <c r="AF123" s="210">
        <f t="shared" si="29"/>
        <v>0.64687499999999998</v>
      </c>
    </row>
    <row r="124" spans="1:39" x14ac:dyDescent="0.25">
      <c r="B124" s="193"/>
      <c r="W124" s="211">
        <f>SUM(W120:W123)</f>
        <v>1</v>
      </c>
      <c r="X124" s="211">
        <f t="shared" ref="X124:AE124" si="30">SUM(X120:X123)</f>
        <v>1</v>
      </c>
      <c r="Y124" s="211">
        <f t="shared" si="30"/>
        <v>1.0000010000000001</v>
      </c>
      <c r="Z124" s="211">
        <f t="shared" si="30"/>
        <v>1</v>
      </c>
      <c r="AA124" s="211">
        <f t="shared" si="30"/>
        <v>1</v>
      </c>
      <c r="AB124" s="211">
        <f t="shared" si="30"/>
        <v>1</v>
      </c>
      <c r="AC124" s="211">
        <f t="shared" si="30"/>
        <v>1</v>
      </c>
      <c r="AD124" s="211">
        <f t="shared" si="30"/>
        <v>1</v>
      </c>
      <c r="AE124" s="211">
        <f t="shared" si="30"/>
        <v>1</v>
      </c>
      <c r="AF124" s="211">
        <f>SUM(AF120:AF123)</f>
        <v>1.0000009999999999</v>
      </c>
    </row>
    <row r="125" spans="1:39" x14ac:dyDescent="0.25">
      <c r="B125" s="193"/>
    </row>
    <row r="126" spans="1:39" x14ac:dyDescent="0.25">
      <c r="B126" s="193"/>
    </row>
    <row r="127" spans="1:39" x14ac:dyDescent="0.25">
      <c r="B127" s="193"/>
    </row>
    <row r="128" spans="1:39" x14ac:dyDescent="0.25">
      <c r="B128" s="193"/>
    </row>
    <row r="129" spans="2:2" x14ac:dyDescent="0.25">
      <c r="B129" s="193"/>
    </row>
    <row r="130" spans="2:2" x14ac:dyDescent="0.25">
      <c r="B130" s="193"/>
    </row>
  </sheetData>
  <phoneticPr fontId="0" type="noConversion"/>
  <printOptions horizontalCentered="1"/>
  <pageMargins left="0" right="0.57999999999999996" top="0.34" bottom="0.53" header="0.27" footer="0.5"/>
  <pageSetup scale="71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71"/>
  <sheetViews>
    <sheetView zoomScale="85" workbookViewId="0">
      <pane ySplit="8" topLeftCell="A9" activePane="bottomLeft" state="frozen"/>
      <selection activeCell="F8" sqref="F8"/>
      <selection pane="bottomLeft" activeCell="B10" sqref="B10"/>
    </sheetView>
  </sheetViews>
  <sheetFormatPr defaultRowHeight="13.2" x14ac:dyDescent="0.25"/>
  <cols>
    <col min="1" max="1" width="5.109375" bestFit="1" customWidth="1"/>
    <col min="2" max="2" width="36" customWidth="1"/>
    <col min="3" max="3" width="10.88671875" bestFit="1" customWidth="1"/>
    <col min="4" max="4" width="14.88671875" customWidth="1"/>
    <col min="5" max="5" width="13.6640625" customWidth="1"/>
    <col min="6" max="6" width="14" customWidth="1"/>
    <col min="7" max="7" width="12.6640625" bestFit="1" customWidth="1"/>
    <col min="8" max="8" width="14.6640625" customWidth="1"/>
    <col min="9" max="9" width="12" customWidth="1"/>
    <col min="10" max="10" width="14.6640625" customWidth="1"/>
    <col min="15" max="16" width="10.5546875" bestFit="1" customWidth="1"/>
  </cols>
  <sheetData>
    <row r="1" spans="1:10" ht="15.6" x14ac:dyDescent="0.3">
      <c r="A1" s="358"/>
      <c r="B1" s="352" t="s">
        <v>81</v>
      </c>
      <c r="C1" s="356"/>
      <c r="D1" s="356"/>
      <c r="E1" s="356"/>
      <c r="F1" s="356"/>
      <c r="G1" s="356"/>
      <c r="H1" s="356"/>
      <c r="I1" s="356"/>
      <c r="J1" s="356"/>
    </row>
    <row r="2" spans="1:10" ht="15.6" x14ac:dyDescent="0.3">
      <c r="A2" s="358"/>
      <c r="B2" s="352" t="s">
        <v>510</v>
      </c>
      <c r="C2" s="356"/>
      <c r="D2" s="356"/>
      <c r="E2" s="356"/>
      <c r="F2" s="356"/>
      <c r="G2" s="356"/>
      <c r="H2" s="356"/>
      <c r="I2" s="356"/>
      <c r="J2" s="356"/>
    </row>
    <row r="3" spans="1:10" ht="15.6" x14ac:dyDescent="0.3">
      <c r="A3" s="358"/>
      <c r="B3" s="352" t="s">
        <v>288</v>
      </c>
      <c r="C3" s="356"/>
      <c r="D3" s="356"/>
      <c r="E3" s="356"/>
      <c r="F3" s="356"/>
      <c r="G3" s="356"/>
      <c r="H3" s="356"/>
      <c r="I3" s="356"/>
      <c r="J3" s="356"/>
    </row>
    <row r="4" spans="1:10" ht="15.6" x14ac:dyDescent="0.3">
      <c r="A4" s="358"/>
      <c r="B4" s="352"/>
      <c r="C4" s="356"/>
      <c r="D4" s="356"/>
      <c r="E4" s="356"/>
      <c r="F4" s="356"/>
      <c r="G4" s="356"/>
      <c r="H4" s="356"/>
      <c r="I4" s="356"/>
      <c r="J4" s="356"/>
    </row>
    <row r="5" spans="1:10" ht="15.6" x14ac:dyDescent="0.3">
      <c r="A5" s="368" t="s">
        <v>174</v>
      </c>
      <c r="B5" s="197" t="s">
        <v>10</v>
      </c>
      <c r="C5" s="368" t="s">
        <v>12</v>
      </c>
      <c r="D5" s="197" t="s">
        <v>13</v>
      </c>
      <c r="E5" s="197" t="s">
        <v>14</v>
      </c>
      <c r="F5" s="197" t="s">
        <v>15</v>
      </c>
      <c r="G5" s="197" t="s">
        <v>16</v>
      </c>
      <c r="H5" s="197" t="s">
        <v>67</v>
      </c>
      <c r="I5" s="197" t="s">
        <v>143</v>
      </c>
      <c r="J5" s="358"/>
    </row>
    <row r="6" spans="1:10" ht="15.6" x14ac:dyDescent="0.3">
      <c r="A6" s="368" t="s">
        <v>5</v>
      </c>
      <c r="B6" s="429"/>
      <c r="C6" s="429"/>
      <c r="D6" s="429"/>
      <c r="E6" s="382" t="s">
        <v>537</v>
      </c>
      <c r="F6" s="429"/>
      <c r="G6" s="429"/>
      <c r="H6" s="429" t="s">
        <v>542</v>
      </c>
      <c r="I6" s="429" t="s">
        <v>544</v>
      </c>
      <c r="J6" s="429"/>
    </row>
    <row r="7" spans="1:10" ht="15" x14ac:dyDescent="0.25">
      <c r="A7" s="358"/>
      <c r="B7" s="358"/>
      <c r="C7" s="487"/>
      <c r="D7" s="498"/>
      <c r="E7" s="498" t="s">
        <v>538</v>
      </c>
      <c r="F7" s="498" t="s">
        <v>540</v>
      </c>
      <c r="G7" s="498" t="s">
        <v>91</v>
      </c>
      <c r="H7" s="498" t="s">
        <v>543</v>
      </c>
      <c r="I7" s="498" t="s">
        <v>545</v>
      </c>
      <c r="J7" s="498"/>
    </row>
    <row r="8" spans="1:10" ht="15" x14ac:dyDescent="0.25">
      <c r="A8" s="358"/>
      <c r="B8" s="358"/>
      <c r="C8" s="212" t="s">
        <v>108</v>
      </c>
      <c r="D8" s="212" t="s">
        <v>229</v>
      </c>
      <c r="E8" s="212" t="s">
        <v>539</v>
      </c>
      <c r="F8" s="212" t="s">
        <v>541</v>
      </c>
      <c r="G8" s="212" t="s">
        <v>109</v>
      </c>
      <c r="H8" s="212"/>
      <c r="I8" s="212"/>
      <c r="J8" s="212" t="s">
        <v>92</v>
      </c>
    </row>
    <row r="9" spans="1:10" ht="15" x14ac:dyDescent="0.25">
      <c r="A9" s="358"/>
      <c r="B9" s="358"/>
      <c r="C9" s="358"/>
      <c r="D9" s="358"/>
      <c r="E9" s="358"/>
      <c r="F9" s="358"/>
      <c r="G9" s="358"/>
      <c r="H9" s="358"/>
      <c r="I9" s="358"/>
      <c r="J9" s="358"/>
    </row>
    <row r="10" spans="1:10" ht="15" x14ac:dyDescent="0.25">
      <c r="A10" s="382">
        <v>1</v>
      </c>
      <c r="B10" s="358" t="s">
        <v>549</v>
      </c>
      <c r="C10" s="382"/>
      <c r="D10" s="438">
        <v>2249430.64</v>
      </c>
      <c r="E10" s="438">
        <v>2178004.4700000002</v>
      </c>
      <c r="F10" s="438">
        <f>7819.95+365507.53</f>
        <v>373327.48000000004</v>
      </c>
      <c r="G10" s="438">
        <v>872265.79</v>
      </c>
      <c r="H10" s="438">
        <v>216078.86</v>
      </c>
      <c r="I10" s="438">
        <v>1515.55</v>
      </c>
      <c r="J10" s="438">
        <f>SUM(D10:I10)</f>
        <v>5890622.790000001</v>
      </c>
    </row>
    <row r="11" spans="1:10" ht="15" x14ac:dyDescent="0.25">
      <c r="A11" s="382">
        <v>2</v>
      </c>
      <c r="B11" s="358"/>
      <c r="C11" s="382"/>
      <c r="D11" s="438"/>
      <c r="E11" s="438"/>
      <c r="F11" s="438"/>
      <c r="G11" s="438"/>
      <c r="H11" s="438"/>
      <c r="I11" s="438"/>
      <c r="J11" s="438"/>
    </row>
    <row r="12" spans="1:10" ht="15" x14ac:dyDescent="0.25">
      <c r="A12" s="382">
        <v>3</v>
      </c>
      <c r="B12" s="358" t="s">
        <v>175</v>
      </c>
      <c r="C12" s="382"/>
      <c r="D12" s="438"/>
      <c r="E12" s="438"/>
      <c r="F12" s="438"/>
      <c r="G12" s="438"/>
      <c r="H12" s="438"/>
      <c r="I12" s="438"/>
      <c r="J12" s="438"/>
    </row>
    <row r="13" spans="1:10" ht="15" x14ac:dyDescent="0.25">
      <c r="A13" s="382">
        <v>4</v>
      </c>
      <c r="B13" s="358" t="s">
        <v>527</v>
      </c>
      <c r="C13" s="499">
        <v>41893</v>
      </c>
      <c r="D13" s="438"/>
      <c r="E13" s="438"/>
      <c r="F13" s="438"/>
      <c r="G13" s="438"/>
      <c r="H13" s="438"/>
      <c r="I13" s="438">
        <v>817.8</v>
      </c>
      <c r="J13" s="438">
        <f t="shared" ref="J13:J35" si="0">SUM(D13:I13)</f>
        <v>817.8</v>
      </c>
    </row>
    <row r="14" spans="1:10" ht="15" x14ac:dyDescent="0.25">
      <c r="A14" s="382">
        <v>5</v>
      </c>
      <c r="B14" s="358" t="s">
        <v>528</v>
      </c>
      <c r="C14" s="499">
        <v>41912</v>
      </c>
      <c r="D14" s="438"/>
      <c r="E14" s="438"/>
      <c r="F14" s="438">
        <v>-16812</v>
      </c>
      <c r="G14" s="438"/>
      <c r="H14" s="438"/>
      <c r="I14" s="438"/>
      <c r="J14" s="438">
        <f t="shared" si="0"/>
        <v>-16812</v>
      </c>
    </row>
    <row r="15" spans="1:10" ht="15" x14ac:dyDescent="0.25">
      <c r="A15" s="382">
        <v>6</v>
      </c>
      <c r="B15" s="358" t="s">
        <v>529</v>
      </c>
      <c r="C15" s="499">
        <v>41943</v>
      </c>
      <c r="D15" s="438"/>
      <c r="E15" s="438"/>
      <c r="F15" s="438">
        <v>-16812</v>
      </c>
      <c r="G15" s="438"/>
      <c r="H15" s="438"/>
      <c r="I15" s="438"/>
      <c r="J15" s="438">
        <f t="shared" si="0"/>
        <v>-16812</v>
      </c>
    </row>
    <row r="16" spans="1:10" ht="15" x14ac:dyDescent="0.25">
      <c r="A16" s="382">
        <v>7</v>
      </c>
      <c r="B16" s="358" t="s">
        <v>529</v>
      </c>
      <c r="C16" s="499">
        <v>41973</v>
      </c>
      <c r="D16" s="438"/>
      <c r="E16" s="438"/>
      <c r="F16" s="438">
        <v>-16812</v>
      </c>
      <c r="G16" s="438"/>
      <c r="H16" s="438"/>
      <c r="I16" s="438"/>
      <c r="J16" s="438">
        <f t="shared" si="0"/>
        <v>-16812</v>
      </c>
    </row>
    <row r="17" spans="1:10" ht="15" x14ac:dyDescent="0.25">
      <c r="A17" s="382">
        <v>8</v>
      </c>
      <c r="B17" s="358" t="s">
        <v>527</v>
      </c>
      <c r="C17" s="500">
        <v>41982</v>
      </c>
      <c r="D17" s="438"/>
      <c r="E17" s="438"/>
      <c r="F17" s="438"/>
      <c r="G17" s="438"/>
      <c r="H17" s="438"/>
      <c r="I17" s="438">
        <v>817.8</v>
      </c>
      <c r="J17" s="438">
        <f t="shared" si="0"/>
        <v>817.8</v>
      </c>
    </row>
    <row r="18" spans="1:10" ht="15" x14ac:dyDescent="0.25">
      <c r="A18" s="382">
        <v>9</v>
      </c>
      <c r="B18" s="358" t="s">
        <v>283</v>
      </c>
      <c r="C18" s="499">
        <v>41984</v>
      </c>
      <c r="D18" s="438">
        <v>750</v>
      </c>
      <c r="E18" s="438"/>
      <c r="F18" s="438"/>
      <c r="G18" s="438"/>
      <c r="H18" s="438"/>
      <c r="I18" s="438"/>
      <c r="J18" s="438">
        <f t="shared" si="0"/>
        <v>750</v>
      </c>
    </row>
    <row r="19" spans="1:10" ht="15" x14ac:dyDescent="0.25">
      <c r="A19" s="382">
        <v>10</v>
      </c>
      <c r="B19" s="358" t="s">
        <v>284</v>
      </c>
      <c r="C19" s="499">
        <v>42004</v>
      </c>
      <c r="D19" s="438"/>
      <c r="E19" s="438">
        <v>2499.9</v>
      </c>
      <c r="F19" s="438"/>
      <c r="G19" s="438"/>
      <c r="H19" s="438"/>
      <c r="I19" s="438"/>
      <c r="J19" s="438">
        <f t="shared" si="0"/>
        <v>2499.9</v>
      </c>
    </row>
    <row r="20" spans="1:10" ht="15" x14ac:dyDescent="0.25">
      <c r="A20" s="382">
        <v>11</v>
      </c>
      <c r="B20" s="358" t="s">
        <v>536</v>
      </c>
      <c r="C20" s="499">
        <v>42004</v>
      </c>
      <c r="D20" s="438"/>
      <c r="E20" s="438">
        <v>9382.35</v>
      </c>
      <c r="F20" s="438"/>
      <c r="G20" s="438"/>
      <c r="H20" s="438"/>
      <c r="I20" s="438"/>
      <c r="J20" s="438">
        <f t="shared" si="0"/>
        <v>9382.35</v>
      </c>
    </row>
    <row r="21" spans="1:10" ht="15" x14ac:dyDescent="0.25">
      <c r="A21" s="382">
        <v>12</v>
      </c>
      <c r="B21" s="358" t="s">
        <v>532</v>
      </c>
      <c r="C21" s="499">
        <v>42004</v>
      </c>
      <c r="D21" s="436"/>
      <c r="E21" s="438">
        <v>-1911.3</v>
      </c>
      <c r="F21" s="438"/>
      <c r="G21" s="438"/>
      <c r="H21" s="438"/>
      <c r="I21" s="438"/>
      <c r="J21" s="438">
        <f t="shared" si="0"/>
        <v>-1911.3</v>
      </c>
    </row>
    <row r="22" spans="1:10" ht="15" x14ac:dyDescent="0.25">
      <c r="A22" s="382">
        <v>13</v>
      </c>
      <c r="B22" s="358" t="s">
        <v>533</v>
      </c>
      <c r="C22" s="499">
        <v>42004</v>
      </c>
      <c r="D22" s="436">
        <v>-35.15</v>
      </c>
      <c r="E22" s="438"/>
      <c r="F22" s="438"/>
      <c r="G22" s="438"/>
      <c r="H22" s="438"/>
      <c r="I22" s="438"/>
      <c r="J22" s="438">
        <f t="shared" si="0"/>
        <v>-35.15</v>
      </c>
    </row>
    <row r="23" spans="1:10" ht="15" x14ac:dyDescent="0.25">
      <c r="A23" s="382">
        <v>14</v>
      </c>
      <c r="B23" s="358" t="s">
        <v>534</v>
      </c>
      <c r="C23" s="499">
        <v>42004</v>
      </c>
      <c r="D23" s="436"/>
      <c r="E23" s="438"/>
      <c r="F23" s="438"/>
      <c r="G23" s="438"/>
      <c r="H23" s="438">
        <v>-1635.04</v>
      </c>
      <c r="I23" s="438"/>
      <c r="J23" s="438">
        <f t="shared" si="0"/>
        <v>-1635.04</v>
      </c>
    </row>
    <row r="24" spans="1:10" ht="15" x14ac:dyDescent="0.25">
      <c r="A24" s="382">
        <v>15</v>
      </c>
      <c r="B24" s="358" t="s">
        <v>285</v>
      </c>
      <c r="C24" s="499">
        <v>42004</v>
      </c>
      <c r="D24" s="436"/>
      <c r="E24" s="438"/>
      <c r="F24" s="438">
        <v>-24853.759999999998</v>
      </c>
      <c r="G24" s="438"/>
      <c r="H24" s="438"/>
      <c r="I24" s="438"/>
      <c r="J24" s="438">
        <f t="shared" si="0"/>
        <v>-24853.759999999998</v>
      </c>
    </row>
    <row r="25" spans="1:10" ht="15" x14ac:dyDescent="0.25">
      <c r="A25" s="382">
        <v>16</v>
      </c>
      <c r="B25" s="358" t="s">
        <v>535</v>
      </c>
      <c r="C25" s="499">
        <v>42004</v>
      </c>
      <c r="D25" s="436"/>
      <c r="E25" s="438"/>
      <c r="F25" s="438"/>
      <c r="G25" s="438"/>
      <c r="H25" s="438">
        <v>-152.15</v>
      </c>
      <c r="I25" s="438"/>
      <c r="J25" s="438">
        <f t="shared" si="0"/>
        <v>-152.15</v>
      </c>
    </row>
    <row r="26" spans="1:10" ht="15" x14ac:dyDescent="0.25">
      <c r="A26" s="382">
        <v>17</v>
      </c>
      <c r="B26" s="358" t="s">
        <v>285</v>
      </c>
      <c r="C26" s="499">
        <v>42004</v>
      </c>
      <c r="D26" s="438"/>
      <c r="E26" s="438"/>
      <c r="F26" s="438">
        <v>-116.07</v>
      </c>
      <c r="G26" s="438"/>
      <c r="H26" s="438"/>
      <c r="I26" s="438"/>
      <c r="J26" s="438">
        <f t="shared" si="0"/>
        <v>-116.07</v>
      </c>
    </row>
    <row r="27" spans="1:10" ht="15" x14ac:dyDescent="0.25">
      <c r="A27" s="382">
        <v>18</v>
      </c>
      <c r="B27" s="358" t="s">
        <v>286</v>
      </c>
      <c r="C27" s="499">
        <v>42004</v>
      </c>
      <c r="D27" s="438">
        <v>558.54999999999995</v>
      </c>
      <c r="E27" s="438"/>
      <c r="F27" s="438"/>
      <c r="G27" s="438"/>
      <c r="H27" s="438"/>
      <c r="I27" s="438"/>
      <c r="J27" s="438">
        <f t="shared" si="0"/>
        <v>558.54999999999995</v>
      </c>
    </row>
    <row r="28" spans="1:10" ht="15" x14ac:dyDescent="0.25">
      <c r="A28" s="382">
        <v>19</v>
      </c>
      <c r="B28" s="358" t="s">
        <v>287</v>
      </c>
      <c r="C28" s="499">
        <v>42004</v>
      </c>
      <c r="D28" s="438"/>
      <c r="E28" s="438"/>
      <c r="F28" s="358"/>
      <c r="G28" s="438">
        <v>-1565.31</v>
      </c>
      <c r="H28" s="438"/>
      <c r="I28" s="438"/>
      <c r="J28" s="438">
        <f t="shared" si="0"/>
        <v>-1565.31</v>
      </c>
    </row>
    <row r="29" spans="1:10" ht="15" x14ac:dyDescent="0.25">
      <c r="A29" s="382">
        <v>20</v>
      </c>
      <c r="B29" s="358" t="s">
        <v>530</v>
      </c>
      <c r="C29" s="499">
        <v>42004</v>
      </c>
      <c r="D29" s="438"/>
      <c r="E29" s="438"/>
      <c r="F29" s="438">
        <v>-8000</v>
      </c>
      <c r="G29" s="438"/>
      <c r="H29" s="438"/>
      <c r="I29" s="438"/>
      <c r="J29" s="438">
        <f t="shared" si="0"/>
        <v>-8000</v>
      </c>
    </row>
    <row r="30" spans="1:10" ht="15" x14ac:dyDescent="0.25">
      <c r="A30" s="382">
        <v>21</v>
      </c>
      <c r="B30" s="358" t="s">
        <v>529</v>
      </c>
      <c r="C30" s="499">
        <v>42004</v>
      </c>
      <c r="D30" s="438"/>
      <c r="E30" s="438"/>
      <c r="F30" s="438">
        <v>-16812</v>
      </c>
      <c r="G30" s="438"/>
      <c r="H30" s="438"/>
      <c r="I30" s="438"/>
      <c r="J30" s="438">
        <f t="shared" si="0"/>
        <v>-16812</v>
      </c>
    </row>
    <row r="31" spans="1:10" ht="15" x14ac:dyDescent="0.25">
      <c r="A31" s="382">
        <v>22</v>
      </c>
      <c r="B31" s="358" t="s">
        <v>531</v>
      </c>
      <c r="C31" s="499">
        <v>42063</v>
      </c>
      <c r="D31" s="438"/>
      <c r="E31" s="438">
        <v>-15310</v>
      </c>
      <c r="F31" s="438"/>
      <c r="G31" s="438"/>
      <c r="H31" s="438"/>
      <c r="I31" s="438"/>
      <c r="J31" s="438">
        <f t="shared" si="0"/>
        <v>-15310</v>
      </c>
    </row>
    <row r="32" spans="1:10" ht="15" x14ac:dyDescent="0.25">
      <c r="A32" s="382">
        <v>23</v>
      </c>
      <c r="B32" s="358" t="s">
        <v>289</v>
      </c>
      <c r="C32" s="499">
        <v>42185</v>
      </c>
      <c r="D32" s="438"/>
      <c r="E32" s="438">
        <v>86476.19</v>
      </c>
      <c r="F32" s="438"/>
      <c r="G32" s="438"/>
      <c r="H32" s="438"/>
      <c r="I32" s="438"/>
      <c r="J32" s="438">
        <f t="shared" si="0"/>
        <v>86476.19</v>
      </c>
    </row>
    <row r="33" spans="1:16" ht="15" x14ac:dyDescent="0.25">
      <c r="A33" s="382">
        <v>24</v>
      </c>
      <c r="B33" s="358"/>
      <c r="C33" s="499"/>
      <c r="D33" s="438"/>
      <c r="E33" s="438"/>
      <c r="F33" s="438"/>
      <c r="G33" s="438"/>
      <c r="H33" s="438"/>
      <c r="I33" s="438"/>
      <c r="J33" s="438">
        <f t="shared" si="0"/>
        <v>0</v>
      </c>
    </row>
    <row r="34" spans="1:16" ht="15" x14ac:dyDescent="0.25">
      <c r="A34" s="382">
        <v>25</v>
      </c>
      <c r="B34" s="358"/>
      <c r="C34" s="499"/>
      <c r="D34" s="436"/>
      <c r="E34" s="438"/>
      <c r="F34" s="438"/>
      <c r="G34" s="438"/>
      <c r="H34" s="438"/>
      <c r="I34" s="438"/>
      <c r="J34" s="438">
        <f t="shared" si="0"/>
        <v>0</v>
      </c>
    </row>
    <row r="35" spans="1:16" ht="15" x14ac:dyDescent="0.25">
      <c r="A35" s="382">
        <v>26</v>
      </c>
      <c r="B35" s="358"/>
      <c r="C35" s="499"/>
      <c r="D35" s="438"/>
      <c r="E35" s="438"/>
      <c r="F35" s="438"/>
      <c r="G35" s="438"/>
      <c r="H35" s="438"/>
      <c r="I35" s="438"/>
      <c r="J35" s="438">
        <f t="shared" si="0"/>
        <v>0</v>
      </c>
    </row>
    <row r="36" spans="1:16" ht="15" x14ac:dyDescent="0.25">
      <c r="A36" s="382">
        <v>27</v>
      </c>
      <c r="B36" s="358"/>
      <c r="C36" s="382"/>
      <c r="D36" s="438"/>
      <c r="E36" s="438"/>
      <c r="F36" s="438"/>
      <c r="G36" s="438"/>
      <c r="H36" s="438"/>
      <c r="I36" s="438"/>
      <c r="J36" s="438"/>
    </row>
    <row r="37" spans="1:16" ht="15.6" thickBot="1" x14ac:dyDescent="0.3">
      <c r="A37" s="382">
        <v>28</v>
      </c>
      <c r="B37" s="358" t="s">
        <v>205</v>
      </c>
      <c r="C37" s="382"/>
      <c r="D37" s="501">
        <f t="shared" ref="D37:J37" si="1">SUM(D10:D35)</f>
        <v>2250704.04</v>
      </c>
      <c r="E37" s="501">
        <f t="shared" si="1"/>
        <v>2259141.6100000003</v>
      </c>
      <c r="F37" s="501">
        <f t="shared" si="1"/>
        <v>273109.65000000002</v>
      </c>
      <c r="G37" s="501">
        <f t="shared" si="1"/>
        <v>870700.48</v>
      </c>
      <c r="H37" s="501">
        <f t="shared" si="1"/>
        <v>214291.66999999998</v>
      </c>
      <c r="I37" s="501">
        <f t="shared" si="1"/>
        <v>3151.1499999999996</v>
      </c>
      <c r="J37" s="501">
        <f t="shared" si="1"/>
        <v>5871098.6000000006</v>
      </c>
    </row>
    <row r="38" spans="1:16" ht="15.6" thickTop="1" x14ac:dyDescent="0.25">
      <c r="A38" s="382">
        <v>29</v>
      </c>
      <c r="B38" s="358"/>
      <c r="C38" s="358"/>
      <c r="D38" s="358"/>
      <c r="E38" s="358"/>
      <c r="F38" s="358"/>
      <c r="G38" s="358"/>
      <c r="H38" s="358"/>
      <c r="I38" s="358"/>
      <c r="J38" s="358" t="s">
        <v>514</v>
      </c>
      <c r="P38" t="s">
        <v>461</v>
      </c>
    </row>
    <row r="39" spans="1:16" ht="15" x14ac:dyDescent="0.25">
      <c r="A39" s="382">
        <v>30</v>
      </c>
      <c r="B39" s="358"/>
      <c r="C39" s="358"/>
      <c r="D39" s="358"/>
      <c r="E39" s="416">
        <f>(92561.96+98531.05+497275.39+1208801.48+24366.03)+(4083.86+4000.1+19564.44+47325.75)+SUM(E19:E31)</f>
        <v>1991171.0099999998</v>
      </c>
      <c r="F39" s="358" t="s">
        <v>220</v>
      </c>
      <c r="G39" s="358"/>
      <c r="H39" s="358"/>
      <c r="I39" s="358"/>
      <c r="J39" s="358" t="s">
        <v>515</v>
      </c>
      <c r="P39" s="40">
        <v>85830.25</v>
      </c>
    </row>
    <row r="40" spans="1:16" ht="15" x14ac:dyDescent="0.25">
      <c r="A40" s="382">
        <v>31</v>
      </c>
      <c r="B40" s="358"/>
      <c r="C40" s="358"/>
      <c r="D40" s="358"/>
      <c r="E40" s="416">
        <f>(10199+96755.1)+(460.6+4271.3)</f>
        <v>111686</v>
      </c>
      <c r="F40" s="358" t="s">
        <v>49</v>
      </c>
      <c r="G40" s="358"/>
      <c r="H40" s="358"/>
      <c r="I40" s="358"/>
      <c r="J40" s="358"/>
      <c r="N40" t="s">
        <v>460</v>
      </c>
      <c r="O40" s="14">
        <f>+healthpension!AA164</f>
        <v>0.22450000000000001</v>
      </c>
      <c r="P40" s="40">
        <f>+ROUND($P$39*O40,2)</f>
        <v>19268.89</v>
      </c>
    </row>
    <row r="41" spans="1:16" ht="15" x14ac:dyDescent="0.25">
      <c r="A41" s="382">
        <v>32</v>
      </c>
      <c r="B41" s="358"/>
      <c r="C41" s="358"/>
      <c r="D41" s="358"/>
      <c r="E41" s="502">
        <f>+P40</f>
        <v>19268.89</v>
      </c>
      <c r="F41" s="358" t="s">
        <v>221</v>
      </c>
      <c r="G41" s="358"/>
      <c r="H41" s="358"/>
      <c r="I41" s="358"/>
      <c r="J41" s="358"/>
      <c r="N41" t="s">
        <v>459</v>
      </c>
      <c r="O41" s="14">
        <f>+healthpension!AB164</f>
        <v>0.77549999999999997</v>
      </c>
      <c r="P41" s="40">
        <f>+ROUND($P$39*O41,2)</f>
        <v>66561.36</v>
      </c>
    </row>
    <row r="42" spans="1:16" ht="15" x14ac:dyDescent="0.25">
      <c r="A42" s="382">
        <v>33</v>
      </c>
      <c r="B42" s="358"/>
      <c r="C42" s="358"/>
      <c r="D42" s="358"/>
      <c r="E42" s="502">
        <f>+P41</f>
        <v>66561.36</v>
      </c>
      <c r="F42" s="358" t="s">
        <v>222</v>
      </c>
      <c r="G42" s="358"/>
      <c r="H42" s="358"/>
      <c r="I42" s="358"/>
      <c r="J42" s="358"/>
    </row>
    <row r="43" spans="1:16" ht="15" x14ac:dyDescent="0.25">
      <c r="A43" s="382">
        <v>34</v>
      </c>
      <c r="B43" s="358"/>
      <c r="C43" s="358"/>
      <c r="D43" s="358"/>
      <c r="E43" s="416">
        <f>67350.93+3103.42</f>
        <v>70454.349999999991</v>
      </c>
      <c r="F43" s="358" t="s">
        <v>223</v>
      </c>
      <c r="G43" s="358"/>
      <c r="H43" s="358"/>
      <c r="I43" s="358"/>
      <c r="J43" s="358"/>
    </row>
    <row r="44" spans="1:16" ht="15.6" thickBot="1" x14ac:dyDescent="0.3">
      <c r="A44" s="382">
        <v>35</v>
      </c>
      <c r="B44" s="358"/>
      <c r="C44" s="358"/>
      <c r="D44" s="358"/>
      <c r="E44" s="501">
        <f>SUM(E39:E43)</f>
        <v>2259141.61</v>
      </c>
      <c r="F44" s="358"/>
      <c r="G44" s="358"/>
      <c r="H44" s="358"/>
      <c r="I44" s="358"/>
      <c r="J44" s="358"/>
    </row>
    <row r="45" spans="1:16" ht="15.6" thickTop="1" x14ac:dyDescent="0.25">
      <c r="A45" s="382"/>
      <c r="B45" s="358"/>
      <c r="C45" s="358"/>
      <c r="D45" s="358"/>
      <c r="E45" s="454"/>
      <c r="F45" s="358"/>
      <c r="G45" s="358"/>
      <c r="H45" s="358"/>
      <c r="I45" s="358"/>
      <c r="J45" s="358"/>
    </row>
    <row r="46" spans="1:16" ht="15" x14ac:dyDescent="0.25">
      <c r="A46" s="382"/>
      <c r="B46" s="356" t="s">
        <v>523</v>
      </c>
      <c r="C46" s="356"/>
      <c r="D46" s="356"/>
      <c r="E46" s="503"/>
      <c r="F46" s="356"/>
      <c r="G46" s="356"/>
      <c r="H46" s="356"/>
      <c r="I46" s="356"/>
      <c r="J46" s="356"/>
    </row>
    <row r="47" spans="1:16" x14ac:dyDescent="0.25">
      <c r="A47" s="1"/>
      <c r="E47" s="351"/>
    </row>
    <row r="48" spans="1:16" x14ac:dyDescent="0.25">
      <c r="A48" s="1">
        <v>36</v>
      </c>
    </row>
    <row r="49" spans="1:16" x14ac:dyDescent="0.25">
      <c r="A49" s="1">
        <v>37</v>
      </c>
      <c r="E49" s="342">
        <f>+E37-E44</f>
        <v>0</v>
      </c>
      <c r="P49" s="223" t="s">
        <v>318</v>
      </c>
    </row>
    <row r="50" spans="1:16" x14ac:dyDescent="0.25">
      <c r="A50" s="1">
        <v>38</v>
      </c>
      <c r="E50" s="28"/>
      <c r="P50" s="223" t="s">
        <v>319</v>
      </c>
    </row>
    <row r="51" spans="1:16" x14ac:dyDescent="0.25">
      <c r="A51" s="1">
        <v>39</v>
      </c>
      <c r="B51" s="91"/>
      <c r="C51" s="88"/>
      <c r="D51" s="88"/>
      <c r="E51" s="268"/>
      <c r="P51" s="40">
        <v>40374.14</v>
      </c>
    </row>
    <row r="52" spans="1:16" x14ac:dyDescent="0.25">
      <c r="A52" s="1">
        <v>40</v>
      </c>
      <c r="B52" s="81"/>
      <c r="C52" s="89" t="s">
        <v>217</v>
      </c>
      <c r="D52" s="42">
        <f>58491.05+394397.83+6996.84</f>
        <v>459885.72000000003</v>
      </c>
      <c r="E52" s="269" t="s">
        <v>316</v>
      </c>
      <c r="N52" s="37">
        <v>26</v>
      </c>
      <c r="O52" s="26">
        <f>+ROUND(N52/$N$56,4)</f>
        <v>0.17330000000000001</v>
      </c>
      <c r="P52" s="40">
        <f>+ROUND($P$51*O52,2)</f>
        <v>6996.84</v>
      </c>
    </row>
    <row r="53" spans="1:16" x14ac:dyDescent="0.25">
      <c r="A53" s="1">
        <v>41</v>
      </c>
      <c r="B53" s="81"/>
      <c r="C53" s="89" t="s">
        <v>219</v>
      </c>
      <c r="D53" s="42">
        <f>161379.8+1011216.39+24765.5+D22+D27</f>
        <v>1197885.0900000001</v>
      </c>
      <c r="E53" s="269" t="s">
        <v>317</v>
      </c>
      <c r="N53" s="37">
        <v>92</v>
      </c>
      <c r="O53" s="26">
        <v>0.61339999999999995</v>
      </c>
      <c r="P53" s="40">
        <f t="shared" ref="P53:P54" si="2">+ROUND($P$51*O53,2)</f>
        <v>24765.5</v>
      </c>
    </row>
    <row r="54" spans="1:16" x14ac:dyDescent="0.25">
      <c r="A54" s="1">
        <v>42</v>
      </c>
      <c r="B54" s="81"/>
      <c r="C54" s="89" t="s">
        <v>216</v>
      </c>
      <c r="D54" s="42">
        <f>73318.51+510252.92+8611.8</f>
        <v>592183.23</v>
      </c>
      <c r="E54" s="269" t="s">
        <v>315</v>
      </c>
      <c r="N54" s="37">
        <v>32</v>
      </c>
      <c r="O54" s="26">
        <f t="shared" ref="O54" si="3">+ROUND(N54/$N$56,4)</f>
        <v>0.21329999999999999</v>
      </c>
      <c r="P54" s="40">
        <f t="shared" si="2"/>
        <v>8611.7999999999993</v>
      </c>
    </row>
    <row r="55" spans="1:16" x14ac:dyDescent="0.25">
      <c r="A55" s="1">
        <v>43</v>
      </c>
      <c r="B55" s="81"/>
      <c r="C55" s="89" t="s">
        <v>218</v>
      </c>
      <c r="D55" s="42">
        <f>+D18</f>
        <v>750</v>
      </c>
      <c r="E55" s="270"/>
      <c r="P55" s="40"/>
    </row>
    <row r="56" spans="1:16" x14ac:dyDescent="0.25">
      <c r="A56" s="1">
        <v>44</v>
      </c>
      <c r="B56" s="81"/>
      <c r="C56" s="89"/>
      <c r="D56" s="95">
        <f>SUM(D52:D55)</f>
        <v>2250704.04</v>
      </c>
      <c r="E56" s="270"/>
      <c r="N56">
        <f>SUM(N52:N55)</f>
        <v>150</v>
      </c>
      <c r="O56" s="14">
        <f>SUM(O52:O55)</f>
        <v>1</v>
      </c>
      <c r="P56" s="40">
        <f>SUM(P52:P54)</f>
        <v>40374.14</v>
      </c>
    </row>
    <row r="57" spans="1:16" x14ac:dyDescent="0.25">
      <c r="A57" s="1">
        <v>45</v>
      </c>
      <c r="B57" s="82"/>
      <c r="C57" s="90"/>
      <c r="D57" s="83"/>
      <c r="E57" s="271"/>
    </row>
    <row r="58" spans="1:16" x14ac:dyDescent="0.25">
      <c r="A58" s="1">
        <v>46</v>
      </c>
      <c r="C58" s="37"/>
      <c r="E58" s="28"/>
    </row>
    <row r="59" spans="1:16" x14ac:dyDescent="0.25">
      <c r="A59" s="1">
        <v>47</v>
      </c>
      <c r="E59" s="28"/>
    </row>
    <row r="60" spans="1:16" x14ac:dyDescent="0.25">
      <c r="A60" s="1">
        <v>48</v>
      </c>
    </row>
    <row r="62" spans="1:16" x14ac:dyDescent="0.25">
      <c r="C62" s="37" t="s">
        <v>426</v>
      </c>
      <c r="D62" s="40">
        <f>+'OH by acct detail'!Y105</f>
        <v>2250704.0300000003</v>
      </c>
      <c r="E62" s="40">
        <f>+'OH by acct detail'!W105</f>
        <v>2259141.6</v>
      </c>
      <c r="F62" s="40">
        <f>+'OH by acct detail'!X105</f>
        <v>273109.63</v>
      </c>
      <c r="G62" s="40">
        <f>+'OH by acct detail'!Z105+SUM('OH by acct detail'!AC105:AD105)</f>
        <v>870700.51999999979</v>
      </c>
      <c r="H62" s="40">
        <f>+'OH by acct detail'!AA105+'OH by acct detail'!AB105</f>
        <v>214291.66999999998</v>
      </c>
      <c r="I62" s="40">
        <f>+'OH by acct detail'!AE105</f>
        <v>3151.14</v>
      </c>
    </row>
    <row r="63" spans="1:16" x14ac:dyDescent="0.25">
      <c r="C63" s="37" t="s">
        <v>211</v>
      </c>
      <c r="D63" s="40">
        <f t="shared" ref="D63:I63" si="4">+D37-D62</f>
        <v>9.9999997764825821E-3</v>
      </c>
      <c r="E63" s="67">
        <f t="shared" si="4"/>
        <v>1.0000000242143869E-2</v>
      </c>
      <c r="F63" s="67">
        <f t="shared" si="4"/>
        <v>2.0000000018626451E-2</v>
      </c>
      <c r="G63" s="40">
        <f t="shared" si="4"/>
        <v>-3.9999999804422259E-2</v>
      </c>
      <c r="H63" s="40">
        <f t="shared" si="4"/>
        <v>0</v>
      </c>
      <c r="I63" s="40">
        <f t="shared" si="4"/>
        <v>9.9999999997635314E-3</v>
      </c>
    </row>
    <row r="64" spans="1:16" x14ac:dyDescent="0.25">
      <c r="C64" s="37"/>
    </row>
    <row r="71" spans="5:5" x14ac:dyDescent="0.25">
      <c r="E71" s="28"/>
    </row>
  </sheetData>
  <phoneticPr fontId="0" type="noConversion"/>
  <printOptions horizontalCentered="1"/>
  <pageMargins left="0.5" right="0.75" top="0.56999999999999995" bottom="0.54" header="0.5" footer="0.5"/>
  <pageSetup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67" sqref="A167"/>
    </sheetView>
  </sheetViews>
  <sheetFormatPr defaultRowHeight="13.2" x14ac:dyDescent="0.25"/>
  <cols>
    <col min="1" max="1" width="24.5546875" bestFit="1" customWidth="1"/>
    <col min="2" max="2" width="4.33203125" bestFit="1" customWidth="1"/>
    <col min="3" max="3" width="13.44140625" bestFit="1" customWidth="1"/>
    <col min="4" max="4" width="12.33203125" bestFit="1" customWidth="1"/>
    <col min="5" max="5" width="1.5546875" customWidth="1"/>
    <col min="6" max="6" width="11.88671875" bestFit="1" customWidth="1"/>
    <col min="7" max="7" width="11.88671875" customWidth="1"/>
    <col min="8" max="8" width="12.33203125" bestFit="1" customWidth="1"/>
    <col min="9" max="9" width="11.88671875" customWidth="1"/>
    <col min="10" max="10" width="1.5546875" customWidth="1"/>
    <col min="11" max="11" width="13.6640625" customWidth="1"/>
    <col min="12" max="12" width="11.109375" bestFit="1" customWidth="1"/>
    <col min="13" max="14" width="14.109375" bestFit="1" customWidth="1"/>
    <col min="15" max="15" width="13.5546875" bestFit="1" customWidth="1"/>
    <col min="16" max="16" width="8.6640625" bestFit="1" customWidth="1"/>
    <col min="17" max="17" width="11.109375" customWidth="1"/>
    <col min="18" max="18" width="1.5546875" customWidth="1"/>
  </cols>
  <sheetData>
    <row r="2" spans="1:13" ht="52.8" x14ac:dyDescent="0.25">
      <c r="A2" s="99" t="s">
        <v>0</v>
      </c>
      <c r="B2" s="99" t="s">
        <v>1</v>
      </c>
      <c r="C2" s="104" t="s">
        <v>301</v>
      </c>
      <c r="D2" s="103" t="s">
        <v>305</v>
      </c>
      <c r="F2" s="103" t="s">
        <v>302</v>
      </c>
      <c r="G2" s="103" t="s">
        <v>311</v>
      </c>
      <c r="H2" s="103" t="s">
        <v>303</v>
      </c>
      <c r="I2" s="103" t="s">
        <v>313</v>
      </c>
      <c r="K2" s="103" t="s">
        <v>304</v>
      </c>
      <c r="L2" s="103"/>
      <c r="M2" s="103" t="s">
        <v>262</v>
      </c>
    </row>
    <row r="3" spans="1:13" x14ac:dyDescent="0.25">
      <c r="A3">
        <f>+healthpension!K6</f>
        <v>0</v>
      </c>
      <c r="B3">
        <f>+healthpension!L6</f>
        <v>648</v>
      </c>
      <c r="C3" s="40">
        <f>+healthpension!M6</f>
        <v>36.479999999999997</v>
      </c>
      <c r="D3" s="40">
        <f>ROUND(C3*2080,2)</f>
        <v>75878.399999999994</v>
      </c>
      <c r="F3" s="24"/>
      <c r="G3" s="40">
        <f>+IF(F3&gt;0,ROUND(F3*(C3*1.5),2),0)</f>
        <v>0</v>
      </c>
      <c r="H3" s="24"/>
      <c r="I3" s="40">
        <f>+IF(H3&gt;0,ROUND(H3*(C3*2),2),0)</f>
        <v>0</v>
      </c>
      <c r="K3" s="10">
        <f t="shared" ref="K3:K34" si="0">ROUND(((C3*1.5)*F3)+((C3*2)*H3),4)</f>
        <v>0</v>
      </c>
      <c r="L3" s="250">
        <f>ROUND($L$156/$K$155,8)*K3</f>
        <v>0</v>
      </c>
      <c r="M3" s="10">
        <f t="shared" ref="M3:M34" si="1">D3+L3</f>
        <v>75878.399999999994</v>
      </c>
    </row>
    <row r="4" spans="1:13" x14ac:dyDescent="0.25">
      <c r="A4">
        <f>+healthpension!K7</f>
        <v>0</v>
      </c>
      <c r="B4">
        <f>+healthpension!L7</f>
        <v>682</v>
      </c>
      <c r="C4" s="40">
        <f>+healthpension!M7</f>
        <v>25.26</v>
      </c>
      <c r="D4" s="40">
        <f t="shared" ref="D4:D67" si="2">ROUND(C4*2080,2)</f>
        <v>52540.800000000003</v>
      </c>
      <c r="F4" s="24">
        <v>11</v>
      </c>
      <c r="G4" s="40">
        <f t="shared" ref="G4:G67" si="3">+IF(F4&gt;0,ROUND(F4*(C4*1.5),2),0)</f>
        <v>416.79</v>
      </c>
      <c r="H4" s="24"/>
      <c r="I4" s="40">
        <f t="shared" ref="I4:I67" si="4">+IF(H4&gt;0,ROUND(H4*(C4*2),2),0)</f>
        <v>0</v>
      </c>
      <c r="K4" s="10">
        <f t="shared" si="0"/>
        <v>416.79</v>
      </c>
      <c r="L4" s="25">
        <f t="shared" ref="L4" si="5">ROUND($L$156/$K$155,8)*K4</f>
        <v>417.88943366940009</v>
      </c>
      <c r="M4" s="10">
        <f t="shared" si="1"/>
        <v>52958.689433669402</v>
      </c>
    </row>
    <row r="5" spans="1:13" x14ac:dyDescent="0.25">
      <c r="A5">
        <f>+healthpension!K8</f>
        <v>0</v>
      </c>
      <c r="B5">
        <f>+healthpension!L8</f>
        <v>635</v>
      </c>
      <c r="C5" s="40">
        <f>+healthpension!M8</f>
        <v>32.659999999999997</v>
      </c>
      <c r="D5" s="40">
        <f t="shared" si="2"/>
        <v>67932.800000000003</v>
      </c>
      <c r="F5" s="24">
        <v>130.44999999999999</v>
      </c>
      <c r="G5" s="40">
        <f t="shared" si="3"/>
        <v>6390.75</v>
      </c>
      <c r="H5" s="24"/>
      <c r="I5" s="40">
        <f t="shared" si="4"/>
        <v>0</v>
      </c>
      <c r="K5" s="10">
        <f t="shared" si="0"/>
        <v>6390.7455</v>
      </c>
      <c r="L5" s="25">
        <f t="shared" ref="L5:L34" si="6">ROUND($L$156/$K$155,8)*K5</f>
        <v>6407.6033919246311</v>
      </c>
      <c r="M5" s="10">
        <f t="shared" si="1"/>
        <v>74340.403391924629</v>
      </c>
    </row>
    <row r="6" spans="1:13" x14ac:dyDescent="0.25">
      <c r="A6">
        <f>+healthpension!K9</f>
        <v>0</v>
      </c>
      <c r="B6">
        <f>+healthpension!L9</f>
        <v>475</v>
      </c>
      <c r="C6" s="40">
        <f>+healthpension!M9</f>
        <v>42.18</v>
      </c>
      <c r="D6" s="40">
        <f t="shared" si="2"/>
        <v>87734.399999999994</v>
      </c>
      <c r="F6" s="24"/>
      <c r="G6" s="40">
        <f t="shared" si="3"/>
        <v>0</v>
      </c>
      <c r="H6" s="24"/>
      <c r="I6" s="40">
        <f t="shared" si="4"/>
        <v>0</v>
      </c>
      <c r="K6" s="10">
        <f t="shared" si="0"/>
        <v>0</v>
      </c>
      <c r="L6" s="25">
        <f t="shared" si="6"/>
        <v>0</v>
      </c>
      <c r="M6" s="10">
        <f t="shared" si="1"/>
        <v>87734.399999999994</v>
      </c>
    </row>
    <row r="7" spans="1:13" x14ac:dyDescent="0.25">
      <c r="A7">
        <f>+healthpension!K10</f>
        <v>0</v>
      </c>
      <c r="B7">
        <f>+healthpension!L10</f>
        <v>228</v>
      </c>
      <c r="C7" s="40">
        <f>+healthpension!M10</f>
        <v>54.24</v>
      </c>
      <c r="D7" s="40">
        <f t="shared" si="2"/>
        <v>112819.2</v>
      </c>
      <c r="F7" s="24"/>
      <c r="G7" s="40">
        <f t="shared" si="3"/>
        <v>0</v>
      </c>
      <c r="H7" s="24"/>
      <c r="I7" s="40">
        <f t="shared" si="4"/>
        <v>0</v>
      </c>
      <c r="K7" s="10">
        <f t="shared" si="0"/>
        <v>0</v>
      </c>
      <c r="L7" s="25">
        <f t="shared" si="6"/>
        <v>0</v>
      </c>
      <c r="M7" s="10">
        <f t="shared" si="1"/>
        <v>112819.2</v>
      </c>
    </row>
    <row r="8" spans="1:13" x14ac:dyDescent="0.25">
      <c r="A8">
        <f>+healthpension!K11</f>
        <v>0</v>
      </c>
      <c r="B8">
        <f>+healthpension!L11</f>
        <v>410</v>
      </c>
      <c r="C8" s="40">
        <f>+healthpension!M11</f>
        <v>31.93</v>
      </c>
      <c r="D8" s="40">
        <f t="shared" si="2"/>
        <v>66414.399999999994</v>
      </c>
      <c r="F8" s="24">
        <v>262.7</v>
      </c>
      <c r="G8" s="40">
        <f t="shared" si="3"/>
        <v>12582.02</v>
      </c>
      <c r="H8" s="24">
        <v>3</v>
      </c>
      <c r="I8" s="40">
        <f t="shared" si="4"/>
        <v>191.58</v>
      </c>
      <c r="K8" s="10">
        <f t="shared" si="0"/>
        <v>12773.5965</v>
      </c>
      <c r="L8" s="25">
        <f t="shared" si="6"/>
        <v>12807.291459263492</v>
      </c>
      <c r="M8" s="10">
        <f t="shared" si="1"/>
        <v>79221.691459263486</v>
      </c>
    </row>
    <row r="9" spans="1:13" x14ac:dyDescent="0.25">
      <c r="A9">
        <f>+healthpension!K12</f>
        <v>0</v>
      </c>
      <c r="B9">
        <f>+healthpension!L12</f>
        <v>647</v>
      </c>
      <c r="C9" s="40">
        <f>+healthpension!M12</f>
        <v>21.75</v>
      </c>
      <c r="D9" s="40">
        <f t="shared" si="2"/>
        <v>45240</v>
      </c>
      <c r="F9" s="24">
        <v>32.200000000000003</v>
      </c>
      <c r="G9" s="40">
        <f t="shared" si="3"/>
        <v>1050.53</v>
      </c>
      <c r="H9" s="24"/>
      <c r="I9" s="40">
        <f t="shared" si="4"/>
        <v>0</v>
      </c>
      <c r="K9" s="10">
        <f t="shared" si="0"/>
        <v>1050.5250000000001</v>
      </c>
      <c r="L9" s="25">
        <f t="shared" si="6"/>
        <v>1053.2961378765001</v>
      </c>
      <c r="M9" s="10">
        <f t="shared" si="1"/>
        <v>46293.296137876503</v>
      </c>
    </row>
    <row r="10" spans="1:13" x14ac:dyDescent="0.25">
      <c r="A10">
        <f>+healthpension!K13</f>
        <v>0</v>
      </c>
      <c r="B10">
        <f>+healthpension!L13</f>
        <v>645</v>
      </c>
      <c r="C10" s="40">
        <f>+healthpension!M13</f>
        <v>39.06</v>
      </c>
      <c r="D10" s="40">
        <f t="shared" si="2"/>
        <v>81244.800000000003</v>
      </c>
      <c r="F10" s="24"/>
      <c r="G10" s="40">
        <f t="shared" si="3"/>
        <v>0</v>
      </c>
      <c r="H10" s="24"/>
      <c r="I10" s="40">
        <f t="shared" si="4"/>
        <v>0</v>
      </c>
      <c r="K10" s="10">
        <f t="shared" si="0"/>
        <v>0</v>
      </c>
      <c r="L10" s="25">
        <f t="shared" si="6"/>
        <v>0</v>
      </c>
      <c r="M10" s="10">
        <f t="shared" si="1"/>
        <v>81244.800000000003</v>
      </c>
    </row>
    <row r="11" spans="1:13" x14ac:dyDescent="0.25">
      <c r="A11">
        <f>+healthpension!K14</f>
        <v>0</v>
      </c>
      <c r="B11">
        <f>+healthpension!L14</f>
        <v>518</v>
      </c>
      <c r="C11" s="40">
        <f>+healthpension!M14</f>
        <v>25.92</v>
      </c>
      <c r="D11" s="40">
        <f t="shared" si="2"/>
        <v>53913.599999999999</v>
      </c>
      <c r="F11" s="24">
        <v>31.86</v>
      </c>
      <c r="G11" s="40">
        <f t="shared" si="3"/>
        <v>1238.72</v>
      </c>
      <c r="H11" s="24"/>
      <c r="I11" s="40">
        <f t="shared" si="4"/>
        <v>0</v>
      </c>
      <c r="K11" s="10">
        <f t="shared" si="0"/>
        <v>1238.7167999999999</v>
      </c>
      <c r="L11" s="25">
        <f t="shared" si="6"/>
        <v>1241.984361498048</v>
      </c>
      <c r="M11" s="10">
        <f t="shared" si="1"/>
        <v>55155.584361498048</v>
      </c>
    </row>
    <row r="12" spans="1:13" x14ac:dyDescent="0.25">
      <c r="A12">
        <f>+healthpension!K15</f>
        <v>0</v>
      </c>
      <c r="B12">
        <f>+healthpension!L15</f>
        <v>535</v>
      </c>
      <c r="C12" s="40">
        <f>+healthpension!M15</f>
        <v>32.08</v>
      </c>
      <c r="D12" s="40">
        <f t="shared" si="2"/>
        <v>66726.399999999994</v>
      </c>
      <c r="F12" s="24">
        <v>496.8</v>
      </c>
      <c r="G12" s="40">
        <f t="shared" si="3"/>
        <v>23906.02</v>
      </c>
      <c r="H12" s="24">
        <v>1.5</v>
      </c>
      <c r="I12" s="40">
        <f t="shared" si="4"/>
        <v>96.24</v>
      </c>
      <c r="K12" s="10">
        <f t="shared" si="0"/>
        <v>24002.256000000001</v>
      </c>
      <c r="L12" s="25">
        <f t="shared" si="6"/>
        <v>24065.570591012165</v>
      </c>
      <c r="M12" s="10">
        <f t="shared" si="1"/>
        <v>90791.970591012156</v>
      </c>
    </row>
    <row r="13" spans="1:13" x14ac:dyDescent="0.25">
      <c r="A13">
        <f>+healthpension!K16</f>
        <v>0</v>
      </c>
      <c r="B13">
        <f>+healthpension!L16</f>
        <v>649</v>
      </c>
      <c r="C13" s="40">
        <f>+healthpension!M16</f>
        <v>32.659999999999997</v>
      </c>
      <c r="D13" s="40">
        <f t="shared" si="2"/>
        <v>67932.800000000003</v>
      </c>
      <c r="F13" s="24">
        <v>3.5</v>
      </c>
      <c r="G13" s="40">
        <f t="shared" si="3"/>
        <v>171.47</v>
      </c>
      <c r="H13" s="24"/>
      <c r="I13" s="40">
        <f t="shared" si="4"/>
        <v>0</v>
      </c>
      <c r="K13" s="10">
        <f t="shared" si="0"/>
        <v>171.465</v>
      </c>
      <c r="L13" s="25">
        <f t="shared" si="6"/>
        <v>171.91730066490001</v>
      </c>
      <c r="M13" s="10">
        <f t="shared" si="1"/>
        <v>68104.71730066491</v>
      </c>
    </row>
    <row r="14" spans="1:13" x14ac:dyDescent="0.25">
      <c r="A14">
        <f>+healthpension!K17</f>
        <v>0</v>
      </c>
      <c r="B14">
        <f>+healthpension!L17</f>
        <v>301</v>
      </c>
      <c r="C14" s="40">
        <f>+healthpension!M17</f>
        <v>37.130000000000003</v>
      </c>
      <c r="D14" s="40">
        <f t="shared" si="2"/>
        <v>77230.399999999994</v>
      </c>
      <c r="F14" s="24">
        <v>412</v>
      </c>
      <c r="G14" s="40">
        <f t="shared" si="3"/>
        <v>22946.34</v>
      </c>
      <c r="H14" s="24"/>
      <c r="I14" s="40">
        <f t="shared" si="4"/>
        <v>0</v>
      </c>
      <c r="K14" s="10">
        <f t="shared" si="0"/>
        <v>22946.34</v>
      </c>
      <c r="L14" s="25">
        <f t="shared" si="6"/>
        <v>23006.869232432404</v>
      </c>
      <c r="M14" s="10">
        <f t="shared" si="1"/>
        <v>100237.2692324324</v>
      </c>
    </row>
    <row r="15" spans="1:13" x14ac:dyDescent="0.25">
      <c r="A15">
        <f>+healthpension!K18</f>
        <v>0</v>
      </c>
      <c r="B15">
        <f>+healthpension!L18</f>
        <v>634</v>
      </c>
      <c r="C15" s="40">
        <f>+healthpension!M18</f>
        <v>20.74</v>
      </c>
      <c r="D15" s="40">
        <f t="shared" si="2"/>
        <v>43139.199999999997</v>
      </c>
      <c r="F15" s="24">
        <v>20.92</v>
      </c>
      <c r="G15" s="40">
        <f t="shared" si="3"/>
        <v>650.82000000000005</v>
      </c>
      <c r="H15" s="24"/>
      <c r="I15" s="40">
        <f t="shared" si="4"/>
        <v>0</v>
      </c>
      <c r="K15" s="10">
        <f t="shared" si="0"/>
        <v>650.82119999999998</v>
      </c>
      <c r="L15" s="25">
        <f t="shared" si="6"/>
        <v>652.537975210632</v>
      </c>
      <c r="M15" s="10">
        <f t="shared" si="1"/>
        <v>43791.737975210628</v>
      </c>
    </row>
    <row r="16" spans="1:13" x14ac:dyDescent="0.25">
      <c r="A16">
        <f>+healthpension!K19</f>
        <v>0</v>
      </c>
      <c r="B16">
        <f>+healthpension!L19</f>
        <v>556</v>
      </c>
      <c r="C16" s="40">
        <f>+healthpension!M19</f>
        <v>36.86</v>
      </c>
      <c r="D16" s="40">
        <f t="shared" si="2"/>
        <v>76668.800000000003</v>
      </c>
      <c r="F16" s="24"/>
      <c r="G16" s="40">
        <f t="shared" si="3"/>
        <v>0</v>
      </c>
      <c r="H16" s="24"/>
      <c r="I16" s="40">
        <f t="shared" si="4"/>
        <v>0</v>
      </c>
      <c r="K16" s="10">
        <f t="shared" si="0"/>
        <v>0</v>
      </c>
      <c r="L16" s="25">
        <f t="shared" si="6"/>
        <v>0</v>
      </c>
      <c r="M16" s="10">
        <f t="shared" si="1"/>
        <v>76668.800000000003</v>
      </c>
    </row>
    <row r="17" spans="1:13" x14ac:dyDescent="0.25">
      <c r="A17">
        <f>+healthpension!K20</f>
        <v>0</v>
      </c>
      <c r="B17">
        <f>+healthpension!L20</f>
        <v>637</v>
      </c>
      <c r="C17" s="40">
        <f>+healthpension!M20</f>
        <v>37.31</v>
      </c>
      <c r="D17" s="40">
        <f t="shared" si="2"/>
        <v>77604.800000000003</v>
      </c>
      <c r="F17" s="24">
        <v>299.5</v>
      </c>
      <c r="G17" s="40">
        <f t="shared" si="3"/>
        <v>16761.52</v>
      </c>
      <c r="H17" s="24"/>
      <c r="I17" s="40">
        <f t="shared" si="4"/>
        <v>0</v>
      </c>
      <c r="K17" s="10">
        <f t="shared" si="0"/>
        <v>16761.517500000002</v>
      </c>
      <c r="L17" s="25">
        <f t="shared" si="6"/>
        <v>16805.732036552552</v>
      </c>
      <c r="M17" s="10">
        <f t="shared" si="1"/>
        <v>94410.532036552555</v>
      </c>
    </row>
    <row r="18" spans="1:13" x14ac:dyDescent="0.25">
      <c r="A18">
        <f>+healthpension!K21</f>
        <v>0</v>
      </c>
      <c r="B18">
        <f>+healthpension!L21</f>
        <v>534</v>
      </c>
      <c r="C18" s="40">
        <f>+healthpension!M21</f>
        <v>36.299999999999997</v>
      </c>
      <c r="D18" s="40">
        <f t="shared" si="2"/>
        <v>75504</v>
      </c>
      <c r="F18" s="24">
        <v>314</v>
      </c>
      <c r="G18" s="40">
        <f t="shared" si="3"/>
        <v>17097.3</v>
      </c>
      <c r="H18" s="24">
        <v>1</v>
      </c>
      <c r="I18" s="40">
        <f t="shared" si="4"/>
        <v>72.599999999999994</v>
      </c>
      <c r="K18" s="10">
        <f t="shared" si="0"/>
        <v>17169.900000000001</v>
      </c>
      <c r="L18" s="25">
        <f t="shared" si="6"/>
        <v>17215.191792414003</v>
      </c>
      <c r="M18" s="10">
        <f t="shared" si="1"/>
        <v>92719.191792414</v>
      </c>
    </row>
    <row r="19" spans="1:13" x14ac:dyDescent="0.25">
      <c r="A19">
        <f>+healthpension!K22</f>
        <v>0</v>
      </c>
      <c r="B19">
        <f>+healthpension!L22</f>
        <v>219</v>
      </c>
      <c r="C19" s="40">
        <f>+healthpension!M22</f>
        <v>32.28</v>
      </c>
      <c r="D19" s="40">
        <f t="shared" si="2"/>
        <v>67142.399999999994</v>
      </c>
      <c r="F19" s="24">
        <v>492.57</v>
      </c>
      <c r="G19" s="40">
        <f t="shared" si="3"/>
        <v>23850.240000000002</v>
      </c>
      <c r="H19" s="24">
        <v>4</v>
      </c>
      <c r="I19" s="40">
        <f t="shared" si="4"/>
        <v>258.24</v>
      </c>
      <c r="K19" s="10">
        <f t="shared" si="0"/>
        <v>24108.4794</v>
      </c>
      <c r="L19" s="25">
        <f t="shared" si="6"/>
        <v>24172.074193470085</v>
      </c>
      <c r="M19" s="10">
        <f t="shared" si="1"/>
        <v>91314.474193470087</v>
      </c>
    </row>
    <row r="20" spans="1:13" x14ac:dyDescent="0.25">
      <c r="A20">
        <f>+healthpension!K23</f>
        <v>0</v>
      </c>
      <c r="B20">
        <f>+healthpension!L23</f>
        <v>338</v>
      </c>
      <c r="C20" s="40">
        <f>+healthpension!M23</f>
        <v>31.95</v>
      </c>
      <c r="D20" s="40">
        <f t="shared" si="2"/>
        <v>66456</v>
      </c>
      <c r="F20" s="24">
        <v>186.25</v>
      </c>
      <c r="G20" s="40">
        <f t="shared" si="3"/>
        <v>8926.0300000000007</v>
      </c>
      <c r="H20" s="24"/>
      <c r="I20" s="40">
        <f t="shared" si="4"/>
        <v>0</v>
      </c>
      <c r="K20" s="10">
        <f t="shared" si="0"/>
        <v>8926.0313000000006</v>
      </c>
      <c r="L20" s="25">
        <f t="shared" si="6"/>
        <v>8949.5769209250193</v>
      </c>
      <c r="M20" s="10">
        <f t="shared" si="1"/>
        <v>75405.576920925014</v>
      </c>
    </row>
    <row r="21" spans="1:13" x14ac:dyDescent="0.25">
      <c r="A21">
        <f>+healthpension!K24</f>
        <v>0</v>
      </c>
      <c r="B21">
        <f>+healthpension!L24</f>
        <v>512</v>
      </c>
      <c r="C21" s="40">
        <f>+healthpension!M24</f>
        <v>35.22</v>
      </c>
      <c r="D21" s="40">
        <f t="shared" si="2"/>
        <v>73257.600000000006</v>
      </c>
      <c r="F21" s="24">
        <v>301</v>
      </c>
      <c r="G21" s="40">
        <f t="shared" si="3"/>
        <v>15901.83</v>
      </c>
      <c r="H21" s="24"/>
      <c r="I21" s="40">
        <f t="shared" si="4"/>
        <v>0</v>
      </c>
      <c r="K21" s="10">
        <f t="shared" si="0"/>
        <v>15901.83</v>
      </c>
      <c r="L21" s="25">
        <f t="shared" si="6"/>
        <v>15943.776801283802</v>
      </c>
      <c r="M21" s="10">
        <f t="shared" si="1"/>
        <v>89201.376801283812</v>
      </c>
    </row>
    <row r="22" spans="1:13" x14ac:dyDescent="0.25">
      <c r="A22">
        <f>+healthpension!K25</f>
        <v>0</v>
      </c>
      <c r="B22">
        <f>+healthpension!L25</f>
        <v>433</v>
      </c>
      <c r="C22" s="40">
        <f>+healthpension!M25</f>
        <v>32.08</v>
      </c>
      <c r="D22" s="40">
        <f t="shared" si="2"/>
        <v>66726.399999999994</v>
      </c>
      <c r="F22" s="24">
        <v>344.25</v>
      </c>
      <c r="G22" s="40">
        <f t="shared" si="3"/>
        <v>16565.310000000001</v>
      </c>
      <c r="H22" s="24"/>
      <c r="I22" s="40">
        <f t="shared" si="4"/>
        <v>0</v>
      </c>
      <c r="K22" s="10">
        <f t="shared" si="0"/>
        <v>16565.310000000001</v>
      </c>
      <c r="L22" s="250">
        <f t="shared" si="6"/>
        <v>16609.006968636604</v>
      </c>
      <c r="M22" s="10">
        <f t="shared" si="1"/>
        <v>83335.406968636598</v>
      </c>
    </row>
    <row r="23" spans="1:13" x14ac:dyDescent="0.25">
      <c r="A23">
        <f>+healthpension!K26</f>
        <v>0</v>
      </c>
      <c r="B23">
        <f>+healthpension!L26</f>
        <v>497</v>
      </c>
      <c r="C23" s="40">
        <f>+healthpension!M26</f>
        <v>24.01</v>
      </c>
      <c r="D23" s="40">
        <f t="shared" si="2"/>
        <v>49940.800000000003</v>
      </c>
      <c r="F23" s="24">
        <v>5.5</v>
      </c>
      <c r="G23" s="40">
        <f t="shared" si="3"/>
        <v>198.08</v>
      </c>
      <c r="H23" s="24"/>
      <c r="I23" s="40">
        <f t="shared" si="4"/>
        <v>0</v>
      </c>
      <c r="K23" s="10">
        <f t="shared" si="0"/>
        <v>198.08250000000001</v>
      </c>
      <c r="L23" s="25">
        <f t="shared" si="6"/>
        <v>198.60501390345004</v>
      </c>
      <c r="M23" s="10">
        <f t="shared" si="1"/>
        <v>50139.405013903452</v>
      </c>
    </row>
    <row r="24" spans="1:13" x14ac:dyDescent="0.25">
      <c r="A24">
        <f>+healthpension!K27</f>
        <v>0</v>
      </c>
      <c r="B24">
        <f>+healthpension!L27</f>
        <v>685</v>
      </c>
      <c r="C24" s="40">
        <f>+healthpension!M27</f>
        <v>18.260000000000002</v>
      </c>
      <c r="D24" s="40">
        <f t="shared" si="2"/>
        <v>37980.800000000003</v>
      </c>
      <c r="F24" s="24"/>
      <c r="G24" s="40">
        <f t="shared" si="3"/>
        <v>0</v>
      </c>
      <c r="H24" s="24"/>
      <c r="I24" s="40">
        <f t="shared" si="4"/>
        <v>0</v>
      </c>
      <c r="K24" s="10">
        <f t="shared" si="0"/>
        <v>0</v>
      </c>
      <c r="L24" s="25">
        <f t="shared" si="6"/>
        <v>0</v>
      </c>
      <c r="M24" s="10">
        <f t="shared" si="1"/>
        <v>37980.800000000003</v>
      </c>
    </row>
    <row r="25" spans="1:13" x14ac:dyDescent="0.25">
      <c r="A25">
        <f>+healthpension!K28</f>
        <v>0</v>
      </c>
      <c r="B25">
        <f>+healthpension!L28</f>
        <v>538</v>
      </c>
      <c r="C25" s="40">
        <f>+healthpension!M28</f>
        <v>31.93</v>
      </c>
      <c r="D25" s="40">
        <f t="shared" si="2"/>
        <v>66414.399999999994</v>
      </c>
      <c r="F25" s="24">
        <v>273.5</v>
      </c>
      <c r="G25" s="40">
        <f t="shared" si="3"/>
        <v>13099.28</v>
      </c>
      <c r="H25" s="24"/>
      <c r="I25" s="40">
        <f t="shared" si="4"/>
        <v>0</v>
      </c>
      <c r="K25" s="10">
        <f t="shared" si="0"/>
        <v>13099.282499999999</v>
      </c>
      <c r="L25" s="25">
        <f t="shared" si="6"/>
        <v>13133.836573335451</v>
      </c>
      <c r="M25" s="10">
        <f t="shared" si="1"/>
        <v>79548.236573335453</v>
      </c>
    </row>
    <row r="26" spans="1:13" x14ac:dyDescent="0.25">
      <c r="A26">
        <f>+healthpension!K29</f>
        <v>0</v>
      </c>
      <c r="B26">
        <f>+healthpension!L29</f>
        <v>335</v>
      </c>
      <c r="C26" s="40">
        <f>+healthpension!M29</f>
        <v>54.5</v>
      </c>
      <c r="D26" s="40">
        <f t="shared" si="2"/>
        <v>113360</v>
      </c>
      <c r="F26" s="24"/>
      <c r="G26" s="40">
        <f t="shared" si="3"/>
        <v>0</v>
      </c>
      <c r="H26" s="24"/>
      <c r="I26" s="40">
        <f t="shared" si="4"/>
        <v>0</v>
      </c>
      <c r="K26" s="10">
        <f t="shared" si="0"/>
        <v>0</v>
      </c>
      <c r="L26" s="25">
        <f t="shared" si="6"/>
        <v>0</v>
      </c>
      <c r="M26" s="10">
        <f t="shared" si="1"/>
        <v>113360</v>
      </c>
    </row>
    <row r="27" spans="1:13" x14ac:dyDescent="0.25">
      <c r="A27">
        <f>+healthpension!K30</f>
        <v>0</v>
      </c>
      <c r="B27">
        <f>+healthpension!L30</f>
        <v>660</v>
      </c>
      <c r="C27" s="40">
        <f>+healthpension!M30</f>
        <v>21.01</v>
      </c>
      <c r="D27" s="40">
        <f t="shared" si="2"/>
        <v>43700.800000000003</v>
      </c>
      <c r="F27" s="24">
        <v>152</v>
      </c>
      <c r="G27" s="40">
        <f t="shared" si="3"/>
        <v>4790.28</v>
      </c>
      <c r="H27" s="24"/>
      <c r="I27" s="40">
        <f t="shared" si="4"/>
        <v>0</v>
      </c>
      <c r="K27" s="10">
        <f t="shared" si="0"/>
        <v>4790.28</v>
      </c>
      <c r="L27" s="25">
        <f t="shared" si="6"/>
        <v>4802.9160880008003</v>
      </c>
      <c r="M27" s="10">
        <f t="shared" si="1"/>
        <v>48503.716088000801</v>
      </c>
    </row>
    <row r="28" spans="1:13" x14ac:dyDescent="0.25">
      <c r="A28">
        <f>+healthpension!K31</f>
        <v>0</v>
      </c>
      <c r="B28">
        <f>+healthpension!L31</f>
        <v>455</v>
      </c>
      <c r="C28" s="40">
        <f>+healthpension!M31</f>
        <v>31.93</v>
      </c>
      <c r="D28" s="40">
        <f t="shared" si="2"/>
        <v>66414.399999999994</v>
      </c>
      <c r="F28" s="24">
        <v>318.83</v>
      </c>
      <c r="G28" s="40">
        <f t="shared" si="3"/>
        <v>15270.36</v>
      </c>
      <c r="H28" s="24">
        <v>5</v>
      </c>
      <c r="I28" s="40">
        <f t="shared" si="4"/>
        <v>319.3</v>
      </c>
      <c r="K28" s="10">
        <f t="shared" si="0"/>
        <v>15589.662899999999</v>
      </c>
      <c r="L28" s="25">
        <f t="shared" si="6"/>
        <v>15630.786248177395</v>
      </c>
      <c r="M28" s="10">
        <f t="shared" si="1"/>
        <v>82045.186248177386</v>
      </c>
    </row>
    <row r="29" spans="1:13" x14ac:dyDescent="0.25">
      <c r="A29">
        <f>+healthpension!K32</f>
        <v>0</v>
      </c>
      <c r="B29">
        <f>+healthpension!L32</f>
        <v>314</v>
      </c>
      <c r="C29" s="40">
        <f>+healthpension!M32</f>
        <v>31.93</v>
      </c>
      <c r="D29" s="40">
        <f t="shared" si="2"/>
        <v>66414.399999999994</v>
      </c>
      <c r="F29" s="24">
        <v>313.5</v>
      </c>
      <c r="G29" s="40">
        <f t="shared" si="3"/>
        <v>15015.08</v>
      </c>
      <c r="H29" s="24"/>
      <c r="I29" s="40">
        <f t="shared" si="4"/>
        <v>0</v>
      </c>
      <c r="K29" s="10">
        <f t="shared" si="0"/>
        <v>15015.0825</v>
      </c>
      <c r="L29" s="25">
        <f t="shared" si="6"/>
        <v>15054.690185523452</v>
      </c>
      <c r="M29" s="10">
        <f t="shared" si="1"/>
        <v>81469.090185523441</v>
      </c>
    </row>
    <row r="30" spans="1:13" x14ac:dyDescent="0.25">
      <c r="A30">
        <f>+healthpension!K33</f>
        <v>0</v>
      </c>
      <c r="B30">
        <f>+healthpension!L33</f>
        <v>428</v>
      </c>
      <c r="C30" s="40">
        <f>+healthpension!M33</f>
        <v>32.6</v>
      </c>
      <c r="D30" s="40">
        <f t="shared" si="2"/>
        <v>67808</v>
      </c>
      <c r="F30" s="24">
        <v>298.5</v>
      </c>
      <c r="G30" s="40">
        <f t="shared" si="3"/>
        <v>14596.65</v>
      </c>
      <c r="H30" s="24">
        <v>5</v>
      </c>
      <c r="I30" s="40">
        <f t="shared" si="4"/>
        <v>326</v>
      </c>
      <c r="K30" s="10">
        <f t="shared" si="0"/>
        <v>14922.65</v>
      </c>
      <c r="L30" s="25">
        <f t="shared" si="6"/>
        <v>14962.013861529002</v>
      </c>
      <c r="M30" s="10">
        <f t="shared" si="1"/>
        <v>82770.013861529005</v>
      </c>
    </row>
    <row r="31" spans="1:13" x14ac:dyDescent="0.25">
      <c r="A31">
        <f>+healthpension!K34</f>
        <v>0</v>
      </c>
      <c r="B31">
        <f>+healthpension!L34</f>
        <v>129</v>
      </c>
      <c r="C31" s="40">
        <f>+healthpension!M34</f>
        <v>31.89</v>
      </c>
      <c r="D31" s="40">
        <f t="shared" si="2"/>
        <v>66331.199999999997</v>
      </c>
      <c r="F31" s="24">
        <v>113.58</v>
      </c>
      <c r="G31" s="40">
        <f t="shared" si="3"/>
        <v>5433.1</v>
      </c>
      <c r="H31" s="24"/>
      <c r="I31" s="40">
        <f t="shared" si="4"/>
        <v>0</v>
      </c>
      <c r="K31" s="10">
        <f t="shared" si="0"/>
        <v>5433.0992999999999</v>
      </c>
      <c r="L31" s="25">
        <f t="shared" si="6"/>
        <v>5447.4310553194982</v>
      </c>
      <c r="M31" s="10">
        <f t="shared" si="1"/>
        <v>71778.631055319493</v>
      </c>
    </row>
    <row r="32" spans="1:13" x14ac:dyDescent="0.25">
      <c r="A32">
        <f>+healthpension!K35</f>
        <v>0</v>
      </c>
      <c r="B32">
        <f>+healthpension!L35</f>
        <v>205</v>
      </c>
      <c r="C32" s="40">
        <f>+healthpension!M35</f>
        <v>29.34</v>
      </c>
      <c r="D32" s="40">
        <f t="shared" si="2"/>
        <v>61027.199999999997</v>
      </c>
      <c r="F32" s="24">
        <v>181</v>
      </c>
      <c r="G32" s="40">
        <f t="shared" si="3"/>
        <v>7965.81</v>
      </c>
      <c r="H32" s="24"/>
      <c r="I32" s="40">
        <f t="shared" si="4"/>
        <v>0</v>
      </c>
      <c r="K32" s="10">
        <f t="shared" si="0"/>
        <v>7965.81</v>
      </c>
      <c r="L32" s="25">
        <f t="shared" si="6"/>
        <v>7986.822691566601</v>
      </c>
      <c r="M32" s="10">
        <f t="shared" si="1"/>
        <v>69014.022691566599</v>
      </c>
    </row>
    <row r="33" spans="1:13" x14ac:dyDescent="0.25">
      <c r="A33">
        <f>+healthpension!K36</f>
        <v>0</v>
      </c>
      <c r="B33">
        <f>+healthpension!L36</f>
        <v>220</v>
      </c>
      <c r="C33" s="40">
        <f>+healthpension!M36</f>
        <v>37.130000000000003</v>
      </c>
      <c r="D33" s="40">
        <f t="shared" si="2"/>
        <v>77230.399999999994</v>
      </c>
      <c r="F33" s="24">
        <v>300.24</v>
      </c>
      <c r="G33" s="40">
        <f t="shared" si="3"/>
        <v>16721.87</v>
      </c>
      <c r="H33" s="24"/>
      <c r="I33" s="40">
        <f t="shared" si="4"/>
        <v>0</v>
      </c>
      <c r="K33" s="10">
        <f t="shared" si="0"/>
        <v>16721.8668</v>
      </c>
      <c r="L33" s="25">
        <f t="shared" si="6"/>
        <v>16765.97674355705</v>
      </c>
      <c r="M33" s="10">
        <f t="shared" si="1"/>
        <v>93996.376743557048</v>
      </c>
    </row>
    <row r="34" spans="1:13" x14ac:dyDescent="0.25">
      <c r="A34">
        <f>+healthpension!K37</f>
        <v>0</v>
      </c>
      <c r="B34">
        <f>+healthpension!L37</f>
        <v>316</v>
      </c>
      <c r="C34" s="40">
        <f>+healthpension!M37</f>
        <v>36.86</v>
      </c>
      <c r="D34" s="40">
        <f t="shared" si="2"/>
        <v>76668.800000000003</v>
      </c>
      <c r="F34" s="24">
        <v>191.17</v>
      </c>
      <c r="G34" s="40">
        <f t="shared" si="3"/>
        <v>10569.79</v>
      </c>
      <c r="H34" s="24">
        <v>1</v>
      </c>
      <c r="I34" s="40">
        <f t="shared" si="4"/>
        <v>73.72</v>
      </c>
      <c r="K34" s="10">
        <f t="shared" si="0"/>
        <v>10643.5093</v>
      </c>
      <c r="L34" s="25">
        <f t="shared" si="6"/>
        <v>10671.585387442099</v>
      </c>
      <c r="M34" s="10">
        <f t="shared" si="1"/>
        <v>87340.385387442104</v>
      </c>
    </row>
    <row r="35" spans="1:13" x14ac:dyDescent="0.25">
      <c r="A35">
        <f>+healthpension!K38</f>
        <v>0</v>
      </c>
      <c r="B35">
        <f>+healthpension!L38</f>
        <v>395</v>
      </c>
      <c r="C35" s="40">
        <f>+healthpension!M38</f>
        <v>37.31</v>
      </c>
      <c r="D35" s="40">
        <f t="shared" si="2"/>
        <v>77604.800000000003</v>
      </c>
      <c r="F35" s="24">
        <v>279</v>
      </c>
      <c r="G35" s="40">
        <f t="shared" si="3"/>
        <v>15614.24</v>
      </c>
      <c r="H35" s="24"/>
      <c r="I35" s="40">
        <f t="shared" si="4"/>
        <v>0</v>
      </c>
      <c r="K35" s="10">
        <f t="shared" ref="K35:K66" si="7">ROUND(((C35*1.5)*F35)+((C35*2)*H35),4)</f>
        <v>15614.235000000001</v>
      </c>
      <c r="L35" s="25">
        <f t="shared" ref="L35:L66" si="8">ROUND($L$156/$K$155,8)*K35</f>
        <v>15655.423165937102</v>
      </c>
      <c r="M35" s="10">
        <f t="shared" ref="M35:M66" si="9">D35+L35</f>
        <v>93260.223165937103</v>
      </c>
    </row>
    <row r="36" spans="1:13" x14ac:dyDescent="0.25">
      <c r="A36">
        <f>+healthpension!K39</f>
        <v>0</v>
      </c>
      <c r="B36">
        <f>+healthpension!L39</f>
        <v>669</v>
      </c>
      <c r="C36" s="40">
        <f>+healthpension!M39</f>
        <v>32.49</v>
      </c>
      <c r="D36" s="40">
        <f t="shared" si="2"/>
        <v>67579.199999999997</v>
      </c>
      <c r="F36" s="24">
        <v>31</v>
      </c>
      <c r="G36" s="40">
        <f t="shared" si="3"/>
        <v>1510.79</v>
      </c>
      <c r="H36" s="24"/>
      <c r="I36" s="40">
        <f t="shared" si="4"/>
        <v>0</v>
      </c>
      <c r="K36" s="10">
        <f t="shared" si="7"/>
        <v>1510.7850000000001</v>
      </c>
      <c r="L36" s="25">
        <f t="shared" si="8"/>
        <v>1514.7702393201002</v>
      </c>
      <c r="M36" s="10">
        <f t="shared" si="9"/>
        <v>69093.970239320101</v>
      </c>
    </row>
    <row r="37" spans="1:13" x14ac:dyDescent="0.25">
      <c r="A37">
        <f>+healthpension!K40</f>
        <v>0</v>
      </c>
      <c r="B37">
        <f>+healthpension!L40</f>
        <v>214</v>
      </c>
      <c r="C37" s="40">
        <f>+healthpension!M40</f>
        <v>23.1</v>
      </c>
      <c r="D37" s="40">
        <f t="shared" si="2"/>
        <v>48048</v>
      </c>
      <c r="F37" s="24">
        <v>217</v>
      </c>
      <c r="G37" s="40">
        <f t="shared" si="3"/>
        <v>7519.05</v>
      </c>
      <c r="H37" s="24">
        <v>3.5</v>
      </c>
      <c r="I37" s="40">
        <f t="shared" si="4"/>
        <v>161.69999999999999</v>
      </c>
      <c r="K37" s="10">
        <f t="shared" si="7"/>
        <v>7680.75</v>
      </c>
      <c r="L37" s="25">
        <f t="shared" si="8"/>
        <v>7701.0107431950009</v>
      </c>
      <c r="M37" s="10">
        <f t="shared" si="9"/>
        <v>55749.010743195002</v>
      </c>
    </row>
    <row r="38" spans="1:13" x14ac:dyDescent="0.25">
      <c r="A38">
        <f>+healthpension!K41</f>
        <v>0</v>
      </c>
      <c r="B38">
        <f>+healthpension!L41</f>
        <v>330</v>
      </c>
      <c r="C38" s="40">
        <f>+healthpension!M41</f>
        <v>31.95</v>
      </c>
      <c r="D38" s="40">
        <f t="shared" si="2"/>
        <v>66456</v>
      </c>
      <c r="F38" s="24">
        <v>426.09</v>
      </c>
      <c r="G38" s="40">
        <f t="shared" si="3"/>
        <v>20420.36</v>
      </c>
      <c r="H38" s="24"/>
      <c r="I38" s="40">
        <f t="shared" si="4"/>
        <v>0</v>
      </c>
      <c r="K38" s="10">
        <f t="shared" si="7"/>
        <v>20420.363300000001</v>
      </c>
      <c r="L38" s="25">
        <f t="shared" si="8"/>
        <v>20474.22935953454</v>
      </c>
      <c r="M38" s="10">
        <f t="shared" si="9"/>
        <v>86930.22935953454</v>
      </c>
    </row>
    <row r="39" spans="1:13" x14ac:dyDescent="0.25">
      <c r="A39">
        <f>+healthpension!K42</f>
        <v>0</v>
      </c>
      <c r="B39">
        <f>+healthpension!L42</f>
        <v>420</v>
      </c>
      <c r="C39" s="40">
        <f>+healthpension!M42</f>
        <v>31.93</v>
      </c>
      <c r="D39" s="40">
        <f t="shared" si="2"/>
        <v>66414.399999999994</v>
      </c>
      <c r="F39" s="24">
        <v>314.75</v>
      </c>
      <c r="G39" s="40">
        <f t="shared" si="3"/>
        <v>15074.95</v>
      </c>
      <c r="H39" s="24">
        <v>7</v>
      </c>
      <c r="I39" s="40">
        <f t="shared" si="4"/>
        <v>447.02</v>
      </c>
      <c r="K39" s="10">
        <f t="shared" si="7"/>
        <v>15521.971299999999</v>
      </c>
      <c r="L39" s="25">
        <f t="shared" si="8"/>
        <v>15562.916087213418</v>
      </c>
      <c r="M39" s="10">
        <f t="shared" si="9"/>
        <v>81977.316087213418</v>
      </c>
    </row>
    <row r="40" spans="1:13" x14ac:dyDescent="0.25">
      <c r="A40">
        <f>+healthpension!K43</f>
        <v>0</v>
      </c>
      <c r="B40">
        <f>+healthpension!L43</f>
        <v>650</v>
      </c>
      <c r="C40" s="40">
        <f>+healthpension!M43</f>
        <v>22.64</v>
      </c>
      <c r="D40" s="40">
        <f t="shared" si="2"/>
        <v>47091.199999999997</v>
      </c>
      <c r="F40" s="24">
        <v>44.76</v>
      </c>
      <c r="G40" s="40">
        <f t="shared" si="3"/>
        <v>1520.05</v>
      </c>
      <c r="H40" s="24"/>
      <c r="I40" s="40">
        <f t="shared" si="4"/>
        <v>0</v>
      </c>
      <c r="K40" s="10">
        <f t="shared" si="7"/>
        <v>1520.0496000000001</v>
      </c>
      <c r="L40" s="25">
        <f t="shared" si="8"/>
        <v>1524.0592780378563</v>
      </c>
      <c r="M40" s="10">
        <f t="shared" si="9"/>
        <v>48615.259278037855</v>
      </c>
    </row>
    <row r="41" spans="1:13" x14ac:dyDescent="0.25">
      <c r="A41">
        <f>+healthpension!K44</f>
        <v>0</v>
      </c>
      <c r="B41">
        <f>+healthpension!L44</f>
        <v>519</v>
      </c>
      <c r="C41" s="40">
        <f>+healthpension!M44</f>
        <v>69.62</v>
      </c>
      <c r="D41" s="40">
        <f t="shared" si="2"/>
        <v>144809.60000000001</v>
      </c>
      <c r="F41" s="24"/>
      <c r="G41" s="40">
        <f t="shared" si="3"/>
        <v>0</v>
      </c>
      <c r="H41" s="24"/>
      <c r="I41" s="40">
        <f t="shared" si="4"/>
        <v>0</v>
      </c>
      <c r="K41" s="10">
        <f t="shared" si="7"/>
        <v>0</v>
      </c>
      <c r="L41" s="25">
        <f t="shared" si="8"/>
        <v>0</v>
      </c>
      <c r="M41" s="10">
        <f t="shared" si="9"/>
        <v>144809.60000000001</v>
      </c>
    </row>
    <row r="42" spans="1:13" x14ac:dyDescent="0.25">
      <c r="A42">
        <f>+healthpension!K45</f>
        <v>0</v>
      </c>
      <c r="B42">
        <f>+healthpension!L45</f>
        <v>392</v>
      </c>
      <c r="C42" s="40">
        <f>+healthpension!M45</f>
        <v>27.29</v>
      </c>
      <c r="D42" s="40">
        <f t="shared" si="2"/>
        <v>56763.199999999997</v>
      </c>
      <c r="F42" s="24">
        <v>20.23</v>
      </c>
      <c r="G42" s="40">
        <f t="shared" si="3"/>
        <v>828.12</v>
      </c>
      <c r="H42" s="24"/>
      <c r="I42" s="40">
        <f t="shared" si="4"/>
        <v>0</v>
      </c>
      <c r="K42" s="10">
        <f t="shared" si="7"/>
        <v>828.11509999999998</v>
      </c>
      <c r="L42" s="25">
        <f t="shared" si="8"/>
        <v>830.29955169768607</v>
      </c>
      <c r="M42" s="10">
        <f t="shared" si="9"/>
        <v>57593.499551697685</v>
      </c>
    </row>
    <row r="43" spans="1:13" x14ac:dyDescent="0.25">
      <c r="A43">
        <f>+healthpension!K46</f>
        <v>0</v>
      </c>
      <c r="B43">
        <f>+healthpension!L46</f>
        <v>683</v>
      </c>
      <c r="C43" s="40">
        <f>+healthpension!M46</f>
        <v>18.260000000000002</v>
      </c>
      <c r="D43" s="40">
        <f t="shared" si="2"/>
        <v>37980.800000000003</v>
      </c>
      <c r="F43" s="24">
        <v>0.75</v>
      </c>
      <c r="G43" s="40">
        <f t="shared" si="3"/>
        <v>20.54</v>
      </c>
      <c r="H43" s="24"/>
      <c r="I43" s="40">
        <f t="shared" si="4"/>
        <v>0</v>
      </c>
      <c r="K43" s="10">
        <f t="shared" si="7"/>
        <v>20.5425</v>
      </c>
      <c r="L43" s="25">
        <f t="shared" si="8"/>
        <v>20.596688239050003</v>
      </c>
      <c r="M43" s="10">
        <f t="shared" si="9"/>
        <v>38001.396688239052</v>
      </c>
    </row>
    <row r="44" spans="1:13" x14ac:dyDescent="0.25">
      <c r="A44">
        <f>+healthpension!K47</f>
        <v>0</v>
      </c>
      <c r="B44">
        <f>+healthpension!L47</f>
        <v>448</v>
      </c>
      <c r="C44" s="40">
        <f>+healthpension!M47</f>
        <v>25.92</v>
      </c>
      <c r="D44" s="40">
        <f t="shared" si="2"/>
        <v>53913.599999999999</v>
      </c>
      <c r="F44" s="24">
        <v>28.41</v>
      </c>
      <c r="G44" s="40">
        <f t="shared" si="3"/>
        <v>1104.58</v>
      </c>
      <c r="H44" s="24"/>
      <c r="I44" s="40">
        <f t="shared" si="4"/>
        <v>0</v>
      </c>
      <c r="K44" s="10">
        <f t="shared" si="7"/>
        <v>1104.5808</v>
      </c>
      <c r="L44" s="25">
        <f t="shared" si="8"/>
        <v>1107.4945295090881</v>
      </c>
      <c r="M44" s="10">
        <f t="shared" si="9"/>
        <v>55021.094529509086</v>
      </c>
    </row>
    <row r="45" spans="1:13" x14ac:dyDescent="0.25">
      <c r="A45">
        <f>+healthpension!K48</f>
        <v>0</v>
      </c>
      <c r="B45">
        <f>+healthpension!L48</f>
        <v>676</v>
      </c>
      <c r="C45" s="40">
        <f>+healthpension!M48</f>
        <v>20.440000000000001</v>
      </c>
      <c r="D45" s="40">
        <f t="shared" si="2"/>
        <v>42515.199999999997</v>
      </c>
      <c r="F45" s="24">
        <v>35.83</v>
      </c>
      <c r="G45" s="40">
        <f t="shared" si="3"/>
        <v>1098.55</v>
      </c>
      <c r="H45" s="24"/>
      <c r="I45" s="40">
        <f t="shared" si="4"/>
        <v>0</v>
      </c>
      <c r="K45" s="10">
        <f t="shared" si="7"/>
        <v>1098.5478000000001</v>
      </c>
      <c r="L45" s="25">
        <f t="shared" si="8"/>
        <v>1101.4456152997082</v>
      </c>
      <c r="M45" s="10">
        <f t="shared" si="9"/>
        <v>43616.645615299705</v>
      </c>
    </row>
    <row r="46" spans="1:13" x14ac:dyDescent="0.25">
      <c r="A46">
        <f>+healthpension!K49</f>
        <v>0</v>
      </c>
      <c r="B46">
        <f>+healthpension!L49</f>
        <v>424</v>
      </c>
      <c r="C46" s="40">
        <f>+healthpension!M49</f>
        <v>31.93</v>
      </c>
      <c r="D46" s="40">
        <f t="shared" si="2"/>
        <v>66414.399999999994</v>
      </c>
      <c r="F46" s="24">
        <v>295.93</v>
      </c>
      <c r="G46" s="40">
        <f t="shared" si="3"/>
        <v>14173.57</v>
      </c>
      <c r="H46" s="24">
        <v>8.5</v>
      </c>
      <c r="I46" s="40">
        <f t="shared" si="4"/>
        <v>542.80999999999995</v>
      </c>
      <c r="K46" s="10">
        <f t="shared" si="7"/>
        <v>14716.377399999999</v>
      </c>
      <c r="L46" s="25">
        <f t="shared" si="8"/>
        <v>14755.197143288366</v>
      </c>
      <c r="M46" s="10">
        <f t="shared" si="9"/>
        <v>81169.597143288353</v>
      </c>
    </row>
    <row r="47" spans="1:13" x14ac:dyDescent="0.25">
      <c r="A47">
        <f>+healthpension!K50</f>
        <v>0</v>
      </c>
      <c r="B47">
        <f>+healthpension!L50</f>
        <v>664</v>
      </c>
      <c r="C47" s="40">
        <f>+healthpension!M50</f>
        <v>31.92</v>
      </c>
      <c r="D47" s="40">
        <f t="shared" si="2"/>
        <v>66393.600000000006</v>
      </c>
      <c r="F47" s="24">
        <v>345.33</v>
      </c>
      <c r="G47" s="40">
        <f t="shared" si="3"/>
        <v>16534.400000000001</v>
      </c>
      <c r="H47" s="24"/>
      <c r="I47" s="40">
        <f t="shared" si="4"/>
        <v>0</v>
      </c>
      <c r="K47" s="10">
        <f t="shared" si="7"/>
        <v>16534.400399999999</v>
      </c>
      <c r="L47" s="25">
        <f t="shared" si="8"/>
        <v>16578.015833439145</v>
      </c>
      <c r="M47" s="10">
        <f t="shared" si="9"/>
        <v>82971.615833439151</v>
      </c>
    </row>
    <row r="48" spans="1:13" x14ac:dyDescent="0.25">
      <c r="A48">
        <f>+healthpension!K51</f>
        <v>0</v>
      </c>
      <c r="B48">
        <f>+healthpension!L51</f>
        <v>478</v>
      </c>
      <c r="C48" s="40">
        <f>+healthpension!M51</f>
        <v>37.03</v>
      </c>
      <c r="D48" s="40">
        <f t="shared" si="2"/>
        <v>77022.399999999994</v>
      </c>
      <c r="F48" s="24"/>
      <c r="G48" s="40">
        <f t="shared" si="3"/>
        <v>0</v>
      </c>
      <c r="H48" s="24"/>
      <c r="I48" s="40">
        <f t="shared" si="4"/>
        <v>0</v>
      </c>
      <c r="K48" s="10">
        <f t="shared" si="7"/>
        <v>0</v>
      </c>
      <c r="L48" s="25">
        <f t="shared" si="8"/>
        <v>0</v>
      </c>
      <c r="M48" s="10">
        <f t="shared" si="9"/>
        <v>77022.399999999994</v>
      </c>
    </row>
    <row r="49" spans="1:13" x14ac:dyDescent="0.25">
      <c r="A49">
        <f>+healthpension!K52</f>
        <v>0</v>
      </c>
      <c r="B49">
        <f>+healthpension!L52</f>
        <v>215</v>
      </c>
      <c r="C49" s="40">
        <f>+healthpension!M52</f>
        <v>26.95</v>
      </c>
      <c r="D49" s="40">
        <f t="shared" si="2"/>
        <v>56056</v>
      </c>
      <c r="F49" s="24">
        <v>331</v>
      </c>
      <c r="G49" s="40">
        <f t="shared" si="3"/>
        <v>13380.68</v>
      </c>
      <c r="H49" s="24"/>
      <c r="I49" s="40">
        <f t="shared" si="4"/>
        <v>0</v>
      </c>
      <c r="K49" s="10">
        <f t="shared" si="7"/>
        <v>13380.674999999999</v>
      </c>
      <c r="L49" s="25">
        <f t="shared" si="8"/>
        <v>13415.9713473555</v>
      </c>
      <c r="M49" s="10">
        <f t="shared" si="9"/>
        <v>69471.971347355502</v>
      </c>
    </row>
    <row r="50" spans="1:13" x14ac:dyDescent="0.25">
      <c r="A50">
        <f>+healthpension!K53</f>
        <v>0</v>
      </c>
      <c r="B50">
        <f>+healthpension!L53</f>
        <v>616</v>
      </c>
      <c r="C50" s="40">
        <f>+healthpension!M53</f>
        <v>25.92</v>
      </c>
      <c r="D50" s="40">
        <f t="shared" si="2"/>
        <v>53913.599999999999</v>
      </c>
      <c r="F50" s="24">
        <v>50.65</v>
      </c>
      <c r="G50" s="40">
        <f t="shared" si="3"/>
        <v>1969.27</v>
      </c>
      <c r="H50" s="24"/>
      <c r="I50" s="40">
        <f t="shared" si="4"/>
        <v>0</v>
      </c>
      <c r="K50" s="10">
        <f t="shared" si="7"/>
        <v>1969.2719999999999</v>
      </c>
      <c r="L50" s="25">
        <f t="shared" si="8"/>
        <v>1974.4666638379201</v>
      </c>
      <c r="M50" s="10">
        <f t="shared" si="9"/>
        <v>55888.066663837919</v>
      </c>
    </row>
    <row r="51" spans="1:13" x14ac:dyDescent="0.25">
      <c r="A51">
        <f>+healthpension!K54</f>
        <v>0</v>
      </c>
      <c r="B51">
        <f>+healthpension!L54</f>
        <v>199</v>
      </c>
      <c r="C51" s="40">
        <f>+healthpension!M54</f>
        <v>49.91</v>
      </c>
      <c r="D51" s="40">
        <f t="shared" si="2"/>
        <v>103812.8</v>
      </c>
      <c r="F51" s="24"/>
      <c r="G51" s="40">
        <f t="shared" si="3"/>
        <v>0</v>
      </c>
      <c r="H51" s="24"/>
      <c r="I51" s="40">
        <f t="shared" si="4"/>
        <v>0</v>
      </c>
      <c r="K51" s="10">
        <f t="shared" si="7"/>
        <v>0</v>
      </c>
      <c r="L51" s="25">
        <f t="shared" si="8"/>
        <v>0</v>
      </c>
      <c r="M51" s="10">
        <f t="shared" si="9"/>
        <v>103812.8</v>
      </c>
    </row>
    <row r="52" spans="1:13" x14ac:dyDescent="0.25">
      <c r="A52">
        <f>+healthpension!K55</f>
        <v>0</v>
      </c>
      <c r="B52">
        <f>+healthpension!L55</f>
        <v>344</v>
      </c>
      <c r="C52" s="40">
        <f>+healthpension!M55</f>
        <v>52.78</v>
      </c>
      <c r="D52" s="40">
        <f t="shared" si="2"/>
        <v>109782.39999999999</v>
      </c>
      <c r="F52" s="24"/>
      <c r="G52" s="40">
        <f t="shared" si="3"/>
        <v>0</v>
      </c>
      <c r="H52" s="24"/>
      <c r="I52" s="40">
        <f t="shared" si="4"/>
        <v>0</v>
      </c>
      <c r="K52" s="10">
        <f t="shared" si="7"/>
        <v>0</v>
      </c>
      <c r="L52" s="25">
        <f t="shared" si="8"/>
        <v>0</v>
      </c>
      <c r="M52" s="10">
        <f t="shared" si="9"/>
        <v>109782.39999999999</v>
      </c>
    </row>
    <row r="53" spans="1:13" x14ac:dyDescent="0.25">
      <c r="A53">
        <f>+healthpension!K56</f>
        <v>0</v>
      </c>
      <c r="B53">
        <f>+healthpension!L56</f>
        <v>321</v>
      </c>
      <c r="C53" s="40">
        <f>+healthpension!M56</f>
        <v>27.89</v>
      </c>
      <c r="D53" s="40">
        <f t="shared" si="2"/>
        <v>58011.199999999997</v>
      </c>
      <c r="F53" s="24">
        <v>387</v>
      </c>
      <c r="G53" s="40">
        <f t="shared" si="3"/>
        <v>16190.15</v>
      </c>
      <c r="H53" s="24"/>
      <c r="I53" s="40">
        <f t="shared" si="4"/>
        <v>0</v>
      </c>
      <c r="K53" s="10">
        <f t="shared" si="7"/>
        <v>16190.145</v>
      </c>
      <c r="L53" s="25">
        <f t="shared" si="8"/>
        <v>16232.852335889702</v>
      </c>
      <c r="M53" s="10">
        <f t="shared" si="9"/>
        <v>74244.052335889704</v>
      </c>
    </row>
    <row r="54" spans="1:13" x14ac:dyDescent="0.25">
      <c r="A54">
        <f>+healthpension!K57</f>
        <v>0</v>
      </c>
      <c r="B54">
        <f>+healthpension!L57</f>
        <v>213</v>
      </c>
      <c r="C54" s="40">
        <f>+healthpension!M57</f>
        <v>36.200000000000003</v>
      </c>
      <c r="D54" s="40">
        <f t="shared" si="2"/>
        <v>75296</v>
      </c>
      <c r="F54" s="24">
        <v>387.75</v>
      </c>
      <c r="G54" s="40">
        <f t="shared" si="3"/>
        <v>21054.83</v>
      </c>
      <c r="H54" s="24"/>
      <c r="I54" s="40">
        <f t="shared" si="4"/>
        <v>0</v>
      </c>
      <c r="K54" s="10">
        <f t="shared" si="7"/>
        <v>21054.825000000001</v>
      </c>
      <c r="L54" s="25">
        <f t="shared" si="8"/>
        <v>21110.364680674502</v>
      </c>
      <c r="M54" s="10">
        <f t="shared" si="9"/>
        <v>96406.364680674509</v>
      </c>
    </row>
    <row r="55" spans="1:13" x14ac:dyDescent="0.25">
      <c r="A55">
        <f>+healthpension!K58</f>
        <v>0</v>
      </c>
      <c r="B55">
        <f>+healthpension!L58</f>
        <v>397</v>
      </c>
      <c r="C55" s="40">
        <f>+healthpension!M58</f>
        <v>32.659999999999997</v>
      </c>
      <c r="D55" s="40">
        <f t="shared" si="2"/>
        <v>67932.800000000003</v>
      </c>
      <c r="F55" s="24">
        <v>297.41000000000003</v>
      </c>
      <c r="G55" s="40">
        <f t="shared" si="3"/>
        <v>14570.12</v>
      </c>
      <c r="H55" s="24">
        <v>1.5</v>
      </c>
      <c r="I55" s="40">
        <f t="shared" si="4"/>
        <v>97.98</v>
      </c>
      <c r="K55" s="10">
        <f t="shared" si="7"/>
        <v>14668.0959</v>
      </c>
      <c r="L55" s="25">
        <f t="shared" si="8"/>
        <v>14706.788283450776</v>
      </c>
      <c r="M55" s="10">
        <f t="shared" si="9"/>
        <v>82639.588283450779</v>
      </c>
    </row>
    <row r="56" spans="1:13" x14ac:dyDescent="0.25">
      <c r="A56">
        <f>+healthpension!K59</f>
        <v>0</v>
      </c>
      <c r="B56">
        <f>+healthpension!L59</f>
        <v>458</v>
      </c>
      <c r="C56" s="40">
        <f>+healthpension!M59</f>
        <v>58.08</v>
      </c>
      <c r="D56" s="40">
        <f t="shared" si="2"/>
        <v>120806.39999999999</v>
      </c>
      <c r="F56" s="24">
        <v>229.08</v>
      </c>
      <c r="G56" s="40">
        <f t="shared" si="3"/>
        <v>19957.45</v>
      </c>
      <c r="H56" s="24"/>
      <c r="I56" s="40">
        <f t="shared" si="4"/>
        <v>0</v>
      </c>
      <c r="K56" s="10">
        <f t="shared" si="7"/>
        <v>19957.4496</v>
      </c>
      <c r="L56" s="25">
        <f t="shared" si="8"/>
        <v>20010.09455800186</v>
      </c>
      <c r="M56" s="10">
        <f t="shared" si="9"/>
        <v>140816.49455800187</v>
      </c>
    </row>
    <row r="57" spans="1:13" x14ac:dyDescent="0.25">
      <c r="A57">
        <f>+healthpension!K60</f>
        <v>0</v>
      </c>
      <c r="B57">
        <f>+healthpension!L60</f>
        <v>382</v>
      </c>
      <c r="C57" s="40">
        <f>+healthpension!M60</f>
        <v>37.31</v>
      </c>
      <c r="D57" s="40">
        <f t="shared" si="2"/>
        <v>77604.800000000003</v>
      </c>
      <c r="F57" s="24"/>
      <c r="G57" s="40">
        <f t="shared" si="3"/>
        <v>0</v>
      </c>
      <c r="H57" s="24"/>
      <c r="I57" s="40">
        <f t="shared" si="4"/>
        <v>0</v>
      </c>
      <c r="K57" s="10">
        <f t="shared" si="7"/>
        <v>0</v>
      </c>
      <c r="L57" s="25">
        <f t="shared" si="8"/>
        <v>0</v>
      </c>
      <c r="M57" s="10">
        <f t="shared" si="9"/>
        <v>77604.800000000003</v>
      </c>
    </row>
    <row r="58" spans="1:13" x14ac:dyDescent="0.25">
      <c r="A58">
        <f>+healthpension!K61</f>
        <v>0</v>
      </c>
      <c r="B58">
        <f>+healthpension!L61</f>
        <v>431</v>
      </c>
      <c r="C58" s="40">
        <f>+healthpension!M61</f>
        <v>31.93</v>
      </c>
      <c r="D58" s="40">
        <f t="shared" si="2"/>
        <v>66414.399999999994</v>
      </c>
      <c r="F58" s="24">
        <v>275</v>
      </c>
      <c r="G58" s="40">
        <f t="shared" si="3"/>
        <v>13171.13</v>
      </c>
      <c r="H58" s="24"/>
      <c r="I58" s="40">
        <f t="shared" si="4"/>
        <v>0</v>
      </c>
      <c r="K58" s="10">
        <f t="shared" si="7"/>
        <v>13171.125</v>
      </c>
      <c r="L58" s="25">
        <f t="shared" si="8"/>
        <v>13205.868583792502</v>
      </c>
      <c r="M58" s="10">
        <f t="shared" si="9"/>
        <v>79620.268583792495</v>
      </c>
    </row>
    <row r="59" spans="1:13" x14ac:dyDescent="0.25">
      <c r="A59">
        <f>+healthpension!K62</f>
        <v>0</v>
      </c>
      <c r="B59">
        <f>+healthpension!L62</f>
        <v>655</v>
      </c>
      <c r="C59" s="40">
        <f>+healthpension!M62</f>
        <v>26.95</v>
      </c>
      <c r="D59" s="40">
        <f t="shared" si="2"/>
        <v>56056</v>
      </c>
      <c r="F59" s="24">
        <v>533.08000000000004</v>
      </c>
      <c r="G59" s="40">
        <f t="shared" si="3"/>
        <v>21549.759999999998</v>
      </c>
      <c r="H59" s="24"/>
      <c r="I59" s="40">
        <f t="shared" si="4"/>
        <v>0</v>
      </c>
      <c r="K59" s="10">
        <f t="shared" si="7"/>
        <v>21549.758999999998</v>
      </c>
      <c r="L59" s="25">
        <f t="shared" si="8"/>
        <v>21606.60424727574</v>
      </c>
      <c r="M59" s="10">
        <f t="shared" si="9"/>
        <v>77662.60424727574</v>
      </c>
    </row>
    <row r="60" spans="1:13" x14ac:dyDescent="0.25">
      <c r="A60">
        <f>+healthpension!K63</f>
        <v>0</v>
      </c>
      <c r="B60">
        <f>+healthpension!L63</f>
        <v>541</v>
      </c>
      <c r="C60" s="40">
        <f>+healthpension!M63</f>
        <v>32.659999999999997</v>
      </c>
      <c r="D60" s="40">
        <f t="shared" si="2"/>
        <v>67932.800000000003</v>
      </c>
      <c r="F60" s="24">
        <v>6</v>
      </c>
      <c r="G60" s="40">
        <f t="shared" si="3"/>
        <v>293.94</v>
      </c>
      <c r="H60" s="24"/>
      <c r="I60" s="40">
        <f t="shared" si="4"/>
        <v>0</v>
      </c>
      <c r="K60" s="10">
        <f t="shared" si="7"/>
        <v>293.94</v>
      </c>
      <c r="L60" s="25">
        <f t="shared" si="8"/>
        <v>294.71537256840003</v>
      </c>
      <c r="M60" s="10">
        <f t="shared" si="9"/>
        <v>68227.515372568407</v>
      </c>
    </row>
    <row r="61" spans="1:13" x14ac:dyDescent="0.25">
      <c r="A61">
        <f>+healthpension!K64</f>
        <v>0</v>
      </c>
      <c r="B61">
        <f>+healthpension!L64</f>
        <v>672</v>
      </c>
      <c r="C61" s="40">
        <f>+healthpension!M64</f>
        <v>27.9</v>
      </c>
      <c r="D61" s="40">
        <f t="shared" si="2"/>
        <v>58032</v>
      </c>
      <c r="F61" s="24">
        <v>27</v>
      </c>
      <c r="G61" s="40">
        <f t="shared" si="3"/>
        <v>1129.95</v>
      </c>
      <c r="H61" s="24"/>
      <c r="I61" s="40">
        <f t="shared" si="4"/>
        <v>0</v>
      </c>
      <c r="K61" s="10">
        <f t="shared" si="7"/>
        <v>1129.95</v>
      </c>
      <c r="L61" s="25">
        <f t="shared" si="8"/>
        <v>1132.9306499070001</v>
      </c>
      <c r="M61" s="10">
        <f t="shared" si="9"/>
        <v>59164.930649907001</v>
      </c>
    </row>
    <row r="62" spans="1:13" x14ac:dyDescent="0.25">
      <c r="A62">
        <f>+healthpension!K65</f>
        <v>0</v>
      </c>
      <c r="B62">
        <f>+healthpension!L65</f>
        <v>189</v>
      </c>
      <c r="C62" s="40">
        <f>+healthpension!M65</f>
        <v>39.33</v>
      </c>
      <c r="D62" s="40">
        <f t="shared" si="2"/>
        <v>81806.399999999994</v>
      </c>
      <c r="F62" s="24"/>
      <c r="G62" s="40">
        <f t="shared" si="3"/>
        <v>0</v>
      </c>
      <c r="H62" s="24"/>
      <c r="I62" s="40">
        <f t="shared" si="4"/>
        <v>0</v>
      </c>
      <c r="K62" s="10">
        <f t="shared" si="7"/>
        <v>0</v>
      </c>
      <c r="L62" s="25">
        <f t="shared" si="8"/>
        <v>0</v>
      </c>
      <c r="M62" s="10">
        <f t="shared" si="9"/>
        <v>81806.399999999994</v>
      </c>
    </row>
    <row r="63" spans="1:13" x14ac:dyDescent="0.25">
      <c r="A63">
        <f>+healthpension!K66</f>
        <v>0</v>
      </c>
      <c r="B63">
        <f>+healthpension!L66</f>
        <v>207</v>
      </c>
      <c r="C63" s="40">
        <f>+healthpension!M66</f>
        <v>51.27</v>
      </c>
      <c r="D63" s="40">
        <f t="shared" si="2"/>
        <v>106641.60000000001</v>
      </c>
      <c r="F63" s="24"/>
      <c r="G63" s="40">
        <f t="shared" si="3"/>
        <v>0</v>
      </c>
      <c r="H63" s="24"/>
      <c r="I63" s="40">
        <f t="shared" si="4"/>
        <v>0</v>
      </c>
      <c r="K63" s="10">
        <f t="shared" si="7"/>
        <v>0</v>
      </c>
      <c r="L63" s="25">
        <f t="shared" si="8"/>
        <v>0</v>
      </c>
      <c r="M63" s="10">
        <f t="shared" si="9"/>
        <v>106641.60000000001</v>
      </c>
    </row>
    <row r="64" spans="1:13" x14ac:dyDescent="0.25">
      <c r="A64">
        <f>+healthpension!K67</f>
        <v>0</v>
      </c>
      <c r="B64">
        <f>+healthpension!L67</f>
        <v>449</v>
      </c>
      <c r="C64" s="40">
        <f>+healthpension!M67</f>
        <v>32.57</v>
      </c>
      <c r="D64" s="40">
        <f t="shared" si="2"/>
        <v>67745.600000000006</v>
      </c>
      <c r="F64" s="24"/>
      <c r="G64" s="40">
        <f t="shared" si="3"/>
        <v>0</v>
      </c>
      <c r="H64" s="24"/>
      <c r="I64" s="40">
        <f t="shared" si="4"/>
        <v>0</v>
      </c>
      <c r="K64" s="10">
        <f t="shared" si="7"/>
        <v>0</v>
      </c>
      <c r="L64" s="25">
        <f t="shared" si="8"/>
        <v>0</v>
      </c>
      <c r="M64" s="10">
        <f t="shared" si="9"/>
        <v>67745.600000000006</v>
      </c>
    </row>
    <row r="65" spans="1:13" x14ac:dyDescent="0.25">
      <c r="A65">
        <f>+healthpension!K68</f>
        <v>0</v>
      </c>
      <c r="B65">
        <f>+healthpension!L68</f>
        <v>658</v>
      </c>
      <c r="C65" s="40">
        <f>+healthpension!M68</f>
        <v>34.32</v>
      </c>
      <c r="D65" s="40">
        <f t="shared" si="2"/>
        <v>71385.600000000006</v>
      </c>
      <c r="F65" s="24"/>
      <c r="G65" s="40">
        <f t="shared" si="3"/>
        <v>0</v>
      </c>
      <c r="H65" s="24"/>
      <c r="I65" s="40">
        <f t="shared" si="4"/>
        <v>0</v>
      </c>
      <c r="K65" s="10">
        <f t="shared" si="7"/>
        <v>0</v>
      </c>
      <c r="L65" s="25">
        <f t="shared" si="8"/>
        <v>0</v>
      </c>
      <c r="M65" s="10">
        <f t="shared" si="9"/>
        <v>71385.600000000006</v>
      </c>
    </row>
    <row r="66" spans="1:13" x14ac:dyDescent="0.25">
      <c r="A66">
        <f>+healthpension!K69</f>
        <v>0</v>
      </c>
      <c r="B66">
        <f>+healthpension!L69</f>
        <v>651</v>
      </c>
      <c r="C66" s="40">
        <f>+healthpension!M69</f>
        <v>23.36</v>
      </c>
      <c r="D66" s="40">
        <f t="shared" si="2"/>
        <v>48588.800000000003</v>
      </c>
      <c r="F66" s="24">
        <v>36.619999999999997</v>
      </c>
      <c r="G66" s="40">
        <f t="shared" si="3"/>
        <v>1283.1600000000001</v>
      </c>
      <c r="H66" s="24"/>
      <c r="I66" s="40">
        <f t="shared" si="4"/>
        <v>0</v>
      </c>
      <c r="K66" s="10">
        <f t="shared" si="7"/>
        <v>1283.1648</v>
      </c>
      <c r="L66" s="25">
        <f t="shared" si="8"/>
        <v>1286.5496090993281</v>
      </c>
      <c r="M66" s="10">
        <f t="shared" si="9"/>
        <v>49875.349609099329</v>
      </c>
    </row>
    <row r="67" spans="1:13" x14ac:dyDescent="0.25">
      <c r="A67">
        <f>+healthpension!K70</f>
        <v>0</v>
      </c>
      <c r="B67">
        <f>+healthpension!L70</f>
        <v>581</v>
      </c>
      <c r="C67" s="40">
        <f>+healthpension!M70</f>
        <v>33.1</v>
      </c>
      <c r="D67" s="40">
        <f t="shared" si="2"/>
        <v>68848</v>
      </c>
      <c r="F67" s="24">
        <v>95</v>
      </c>
      <c r="G67" s="40">
        <f t="shared" si="3"/>
        <v>4716.75</v>
      </c>
      <c r="H67" s="24"/>
      <c r="I67" s="40">
        <f t="shared" si="4"/>
        <v>0</v>
      </c>
      <c r="K67" s="10">
        <f t="shared" ref="K67:K98" si="10">ROUND(((C67*1.5)*F67)+((C67*2)*H67),4)</f>
        <v>4716.75</v>
      </c>
      <c r="L67" s="25">
        <f t="shared" ref="L67:L98" si="11">ROUND($L$156/$K$155,8)*K67</f>
        <v>4729.1921261550006</v>
      </c>
      <c r="M67" s="10">
        <f t="shared" ref="M67:M98" si="12">D67+L67</f>
        <v>73577.192126155001</v>
      </c>
    </row>
    <row r="68" spans="1:13" x14ac:dyDescent="0.25">
      <c r="A68">
        <f>+healthpension!K71</f>
        <v>0</v>
      </c>
      <c r="B68">
        <f>+healthpension!L71</f>
        <v>536</v>
      </c>
      <c r="C68" s="40">
        <f>+healthpension!M71</f>
        <v>32.24</v>
      </c>
      <c r="D68" s="40">
        <f t="shared" ref="D68:D131" si="13">ROUND(C68*2080,2)</f>
        <v>67059.199999999997</v>
      </c>
      <c r="F68" s="24">
        <v>456.71</v>
      </c>
      <c r="G68" s="40">
        <f t="shared" ref="G68:G131" si="14">+IF(F68&gt;0,ROUND(F68*(C68*1.5),2),0)</f>
        <v>22086.5</v>
      </c>
      <c r="H68" s="24"/>
      <c r="I68" s="40">
        <f t="shared" ref="I68:I131" si="15">+IF(H68&gt;0,ROUND(H68*(C68*2),2),0)</f>
        <v>0</v>
      </c>
      <c r="K68" s="10">
        <f t="shared" si="10"/>
        <v>22086.495599999998</v>
      </c>
      <c r="L68" s="25">
        <f t="shared" si="11"/>
        <v>22144.756683283416</v>
      </c>
      <c r="M68" s="10">
        <f t="shared" si="12"/>
        <v>89203.95668328341</v>
      </c>
    </row>
    <row r="69" spans="1:13" x14ac:dyDescent="0.25">
      <c r="A69">
        <f>+healthpension!K72</f>
        <v>0</v>
      </c>
      <c r="B69">
        <f>+healthpension!L72</f>
        <v>282</v>
      </c>
      <c r="C69" s="40">
        <f>+healthpension!M72</f>
        <v>50.57</v>
      </c>
      <c r="D69" s="40">
        <f t="shared" si="13"/>
        <v>105185.60000000001</v>
      </c>
      <c r="F69" s="24"/>
      <c r="G69" s="40">
        <f t="shared" si="14"/>
        <v>0</v>
      </c>
      <c r="H69" s="24"/>
      <c r="I69" s="40">
        <f t="shared" si="15"/>
        <v>0</v>
      </c>
      <c r="K69" s="10">
        <f t="shared" si="10"/>
        <v>0</v>
      </c>
      <c r="L69" s="25">
        <f t="shared" si="11"/>
        <v>0</v>
      </c>
      <c r="M69" s="10">
        <f t="shared" si="12"/>
        <v>105185.60000000001</v>
      </c>
    </row>
    <row r="70" spans="1:13" x14ac:dyDescent="0.25">
      <c r="A70">
        <f>+healthpension!K73</f>
        <v>0</v>
      </c>
      <c r="B70">
        <f>+healthpension!L73</f>
        <v>289</v>
      </c>
      <c r="C70" s="40">
        <f>+healthpension!M73</f>
        <v>29.92</v>
      </c>
      <c r="D70" s="40">
        <f t="shared" si="13"/>
        <v>62233.599999999999</v>
      </c>
      <c r="F70" s="24">
        <v>13.5</v>
      </c>
      <c r="G70" s="40">
        <f t="shared" si="14"/>
        <v>605.88</v>
      </c>
      <c r="H70" s="24"/>
      <c r="I70" s="40">
        <f t="shared" si="15"/>
        <v>0</v>
      </c>
      <c r="K70" s="10">
        <f t="shared" si="10"/>
        <v>605.88</v>
      </c>
      <c r="L70" s="25">
        <f t="shared" si="11"/>
        <v>607.47822661680004</v>
      </c>
      <c r="M70" s="10">
        <f t="shared" si="12"/>
        <v>62841.078226616795</v>
      </c>
    </row>
    <row r="71" spans="1:13" x14ac:dyDescent="0.25">
      <c r="A71">
        <f>+healthpension!K74</f>
        <v>0</v>
      </c>
      <c r="B71">
        <f>+healthpension!L74</f>
        <v>479</v>
      </c>
      <c r="C71" s="40">
        <f>+healthpension!M74</f>
        <v>57.5</v>
      </c>
      <c r="D71" s="40">
        <f t="shared" si="13"/>
        <v>119600</v>
      </c>
      <c r="F71" s="24"/>
      <c r="G71" s="40">
        <f t="shared" si="14"/>
        <v>0</v>
      </c>
      <c r="H71" s="24"/>
      <c r="I71" s="40">
        <f t="shared" si="15"/>
        <v>0</v>
      </c>
      <c r="K71" s="10">
        <f t="shared" si="10"/>
        <v>0</v>
      </c>
      <c r="L71" s="25">
        <f t="shared" si="11"/>
        <v>0</v>
      </c>
      <c r="M71" s="10">
        <f t="shared" si="12"/>
        <v>119600</v>
      </c>
    </row>
    <row r="72" spans="1:13" x14ac:dyDescent="0.25">
      <c r="A72">
        <f>+healthpension!K75</f>
        <v>0</v>
      </c>
      <c r="B72">
        <f>+healthpension!L75</f>
        <v>670</v>
      </c>
      <c r="C72" s="40">
        <f>+healthpension!M75</f>
        <v>32.01</v>
      </c>
      <c r="D72" s="40">
        <f t="shared" si="13"/>
        <v>66580.800000000003</v>
      </c>
      <c r="F72" s="24">
        <v>4.5</v>
      </c>
      <c r="G72" s="40">
        <f t="shared" si="14"/>
        <v>216.07</v>
      </c>
      <c r="H72" s="24"/>
      <c r="I72" s="40">
        <f t="shared" si="15"/>
        <v>0</v>
      </c>
      <c r="K72" s="10">
        <f t="shared" si="10"/>
        <v>216.0675</v>
      </c>
      <c r="L72" s="25">
        <f t="shared" si="11"/>
        <v>216.63745581555003</v>
      </c>
      <c r="M72" s="10">
        <f t="shared" si="12"/>
        <v>66797.437455815554</v>
      </c>
    </row>
    <row r="73" spans="1:13" x14ac:dyDescent="0.25">
      <c r="A73">
        <f>+healthpension!K76</f>
        <v>0</v>
      </c>
      <c r="B73">
        <f>+healthpension!L76</f>
        <v>202</v>
      </c>
      <c r="C73" s="40">
        <f>+healthpension!M76</f>
        <v>21.07</v>
      </c>
      <c r="D73" s="40">
        <f t="shared" si="13"/>
        <v>43825.599999999999</v>
      </c>
      <c r="F73" s="24">
        <v>28.41</v>
      </c>
      <c r="G73" s="40">
        <f t="shared" si="14"/>
        <v>897.9</v>
      </c>
      <c r="H73" s="24"/>
      <c r="I73" s="40">
        <f t="shared" si="15"/>
        <v>0</v>
      </c>
      <c r="K73" s="10">
        <f t="shared" si="10"/>
        <v>897.8981</v>
      </c>
      <c r="L73" s="25">
        <f t="shared" si="11"/>
        <v>900.26662948206604</v>
      </c>
      <c r="M73" s="10">
        <f t="shared" si="12"/>
        <v>44725.866629482065</v>
      </c>
    </row>
    <row r="74" spans="1:13" x14ac:dyDescent="0.25">
      <c r="A74">
        <f>+healthpension!K77</f>
        <v>0</v>
      </c>
      <c r="B74">
        <f>+healthpension!L77</f>
        <v>323</v>
      </c>
      <c r="C74" s="40">
        <f>+healthpension!M77</f>
        <v>25.92</v>
      </c>
      <c r="D74" s="40">
        <f t="shared" si="13"/>
        <v>53913.599999999999</v>
      </c>
      <c r="F74" s="24">
        <v>56.08</v>
      </c>
      <c r="G74" s="40">
        <f t="shared" si="14"/>
        <v>2180.39</v>
      </c>
      <c r="H74" s="24"/>
      <c r="I74" s="40">
        <f t="shared" si="15"/>
        <v>0</v>
      </c>
      <c r="K74" s="10">
        <f t="shared" si="10"/>
        <v>2180.3904000000002</v>
      </c>
      <c r="L74" s="25">
        <f t="shared" si="11"/>
        <v>2186.1419646205445</v>
      </c>
      <c r="M74" s="10">
        <f t="shared" si="12"/>
        <v>56099.741964620545</v>
      </c>
    </row>
    <row r="75" spans="1:13" x14ac:dyDescent="0.25">
      <c r="A75">
        <f>+healthpension!K78</f>
        <v>0</v>
      </c>
      <c r="B75">
        <f>+healthpension!L78</f>
        <v>339</v>
      </c>
      <c r="C75" s="40">
        <f>+healthpension!M78</f>
        <v>28.23</v>
      </c>
      <c r="D75" s="40">
        <f t="shared" si="13"/>
        <v>58718.400000000001</v>
      </c>
      <c r="F75" s="24">
        <v>399</v>
      </c>
      <c r="G75" s="40">
        <f t="shared" si="14"/>
        <v>16895.66</v>
      </c>
      <c r="H75" s="24"/>
      <c r="I75" s="40">
        <f t="shared" si="15"/>
        <v>0</v>
      </c>
      <c r="K75" s="10">
        <f t="shared" si="10"/>
        <v>16895.654999999999</v>
      </c>
      <c r="L75" s="25">
        <f t="shared" si="11"/>
        <v>16940.223372498302</v>
      </c>
      <c r="M75" s="10">
        <f t="shared" si="12"/>
        <v>75658.623372498303</v>
      </c>
    </row>
    <row r="76" spans="1:13" x14ac:dyDescent="0.25">
      <c r="A76">
        <f>+healthpension!K79</f>
        <v>0</v>
      </c>
      <c r="B76">
        <f>+healthpension!L79</f>
        <v>414</v>
      </c>
      <c r="C76" s="40">
        <f>+healthpension!M79</f>
        <v>26.79</v>
      </c>
      <c r="D76" s="40">
        <f t="shared" si="13"/>
        <v>55723.199999999997</v>
      </c>
      <c r="F76" s="24">
        <v>45.69</v>
      </c>
      <c r="G76" s="40">
        <f t="shared" si="14"/>
        <v>1836.05</v>
      </c>
      <c r="H76" s="24"/>
      <c r="I76" s="40">
        <f t="shared" si="15"/>
        <v>0</v>
      </c>
      <c r="K76" s="10">
        <f t="shared" si="10"/>
        <v>1836.0527</v>
      </c>
      <c r="L76" s="25">
        <f t="shared" si="11"/>
        <v>1840.895949975222</v>
      </c>
      <c r="M76" s="10">
        <f t="shared" si="12"/>
        <v>57564.095949975221</v>
      </c>
    </row>
    <row r="77" spans="1:13" x14ac:dyDescent="0.25">
      <c r="A77">
        <f>+healthpension!K80</f>
        <v>0</v>
      </c>
      <c r="B77">
        <f>+healthpension!L80</f>
        <v>370</v>
      </c>
      <c r="C77" s="40">
        <f>+healthpension!M80</f>
        <v>25.92</v>
      </c>
      <c r="D77" s="40">
        <f t="shared" si="13"/>
        <v>53913.599999999999</v>
      </c>
      <c r="F77" s="24">
        <v>24.09</v>
      </c>
      <c r="G77" s="40">
        <f t="shared" si="14"/>
        <v>936.62</v>
      </c>
      <c r="H77" s="24"/>
      <c r="I77" s="40">
        <f t="shared" si="15"/>
        <v>0</v>
      </c>
      <c r="K77" s="10">
        <f t="shared" si="10"/>
        <v>936.61919999999998</v>
      </c>
      <c r="L77" s="25">
        <f t="shared" si="11"/>
        <v>939.08987032291202</v>
      </c>
      <c r="M77" s="10">
        <f t="shared" si="12"/>
        <v>54852.689870322909</v>
      </c>
    </row>
    <row r="78" spans="1:13" x14ac:dyDescent="0.25">
      <c r="A78">
        <f>+healthpension!K81</f>
        <v>0</v>
      </c>
      <c r="B78">
        <f>+healthpension!L81</f>
        <v>653</v>
      </c>
      <c r="C78" s="40">
        <f>+healthpension!M81</f>
        <v>20.8</v>
      </c>
      <c r="D78" s="40">
        <f t="shared" si="13"/>
        <v>43264</v>
      </c>
      <c r="F78" s="24"/>
      <c r="G78" s="40">
        <f t="shared" si="14"/>
        <v>0</v>
      </c>
      <c r="H78" s="24"/>
      <c r="I78" s="40">
        <f t="shared" si="15"/>
        <v>0</v>
      </c>
      <c r="K78" s="10">
        <f t="shared" si="10"/>
        <v>0</v>
      </c>
      <c r="L78" s="25">
        <f t="shared" si="11"/>
        <v>0</v>
      </c>
      <c r="M78" s="10">
        <f t="shared" si="12"/>
        <v>43264</v>
      </c>
    </row>
    <row r="79" spans="1:13" x14ac:dyDescent="0.25">
      <c r="A79">
        <f>+healthpension!K82</f>
        <v>0</v>
      </c>
      <c r="B79">
        <f>+healthpension!L82</f>
        <v>644</v>
      </c>
      <c r="C79" s="40">
        <f>+healthpension!M82</f>
        <v>31.7</v>
      </c>
      <c r="D79" s="40">
        <f t="shared" si="13"/>
        <v>65936</v>
      </c>
      <c r="F79" s="24">
        <v>15</v>
      </c>
      <c r="G79" s="40">
        <f t="shared" si="14"/>
        <v>713.25</v>
      </c>
      <c r="H79" s="24"/>
      <c r="I79" s="40">
        <f t="shared" si="15"/>
        <v>0</v>
      </c>
      <c r="K79" s="10">
        <f t="shared" si="10"/>
        <v>713.25</v>
      </c>
      <c r="L79" s="25">
        <f t="shared" si="11"/>
        <v>715.13145364500008</v>
      </c>
      <c r="M79" s="10">
        <f t="shared" si="12"/>
        <v>66651.131453644994</v>
      </c>
    </row>
    <row r="80" spans="1:13" x14ac:dyDescent="0.25">
      <c r="A80">
        <f>+healthpension!K83</f>
        <v>0</v>
      </c>
      <c r="B80">
        <f>+healthpension!L83</f>
        <v>371</v>
      </c>
      <c r="C80" s="40">
        <f>+healthpension!M83</f>
        <v>33.61</v>
      </c>
      <c r="D80" s="40">
        <f t="shared" si="13"/>
        <v>69908.800000000003</v>
      </c>
      <c r="F80" s="24">
        <v>93.21</v>
      </c>
      <c r="G80" s="40">
        <f t="shared" si="14"/>
        <v>4699.18</v>
      </c>
      <c r="H80" s="24"/>
      <c r="I80" s="40">
        <f t="shared" si="15"/>
        <v>0</v>
      </c>
      <c r="K80" s="10">
        <f t="shared" si="10"/>
        <v>4699.1822000000002</v>
      </c>
      <c r="L80" s="25">
        <f t="shared" si="11"/>
        <v>4711.5779847580925</v>
      </c>
      <c r="M80" s="10">
        <f t="shared" si="12"/>
        <v>74620.377984758088</v>
      </c>
    </row>
    <row r="81" spans="1:13" x14ac:dyDescent="0.25">
      <c r="A81">
        <f>+healthpension!K84</f>
        <v>0</v>
      </c>
      <c r="B81">
        <f>+healthpension!L84</f>
        <v>675</v>
      </c>
      <c r="C81" s="40">
        <f>+healthpension!M84</f>
        <v>18.77</v>
      </c>
      <c r="D81" s="40">
        <f t="shared" si="13"/>
        <v>39041.599999999999</v>
      </c>
      <c r="F81" s="24">
        <v>17.32</v>
      </c>
      <c r="G81" s="40">
        <f t="shared" si="14"/>
        <v>487.64</v>
      </c>
      <c r="H81" s="24"/>
      <c r="I81" s="40">
        <f t="shared" si="15"/>
        <v>0</v>
      </c>
      <c r="K81" s="10">
        <f t="shared" si="10"/>
        <v>487.64460000000003</v>
      </c>
      <c r="L81" s="25">
        <f t="shared" si="11"/>
        <v>488.93093818455606</v>
      </c>
      <c r="M81" s="10">
        <f t="shared" si="12"/>
        <v>39530.530938184558</v>
      </c>
    </row>
    <row r="82" spans="1:13" x14ac:dyDescent="0.25">
      <c r="A82">
        <f>+healthpension!K85</f>
        <v>0</v>
      </c>
      <c r="B82">
        <f>+healthpension!L85</f>
        <v>667</v>
      </c>
      <c r="C82" s="40">
        <f>+healthpension!M85</f>
        <v>27.19</v>
      </c>
      <c r="D82" s="40">
        <f t="shared" si="13"/>
        <v>56555.199999999997</v>
      </c>
      <c r="F82" s="24">
        <v>8.25</v>
      </c>
      <c r="G82" s="40">
        <f t="shared" si="14"/>
        <v>336.48</v>
      </c>
      <c r="H82" s="24"/>
      <c r="I82" s="40">
        <f t="shared" si="15"/>
        <v>0</v>
      </c>
      <c r="K82" s="10">
        <f t="shared" si="10"/>
        <v>336.47629999999998</v>
      </c>
      <c r="L82" s="25">
        <f t="shared" si="11"/>
        <v>337.36387737271804</v>
      </c>
      <c r="M82" s="10">
        <f t="shared" si="12"/>
        <v>56892.563877372719</v>
      </c>
    </row>
    <row r="83" spans="1:13" x14ac:dyDescent="0.25">
      <c r="A83">
        <f>+healthpension!K86</f>
        <v>0</v>
      </c>
      <c r="B83">
        <f>+healthpension!L86</f>
        <v>668</v>
      </c>
      <c r="C83" s="40">
        <f>+healthpension!M86</f>
        <v>21.01</v>
      </c>
      <c r="D83" s="40">
        <f t="shared" si="13"/>
        <v>43700.800000000003</v>
      </c>
      <c r="F83" s="24">
        <v>207.5</v>
      </c>
      <c r="G83" s="40">
        <f t="shared" si="14"/>
        <v>6539.36</v>
      </c>
      <c r="H83" s="24"/>
      <c r="I83" s="40">
        <f t="shared" si="15"/>
        <v>0</v>
      </c>
      <c r="K83" s="10">
        <f t="shared" si="10"/>
        <v>6539.3625000000002</v>
      </c>
      <c r="L83" s="25">
        <f t="shared" si="11"/>
        <v>6556.6124227642513</v>
      </c>
      <c r="M83" s="10">
        <f t="shared" si="12"/>
        <v>50257.412422764253</v>
      </c>
    </row>
    <row r="84" spans="1:13" x14ac:dyDescent="0.25">
      <c r="A84">
        <f>+healthpension!K87</f>
        <v>0</v>
      </c>
      <c r="B84">
        <f>+healthpension!L87</f>
        <v>434</v>
      </c>
      <c r="C84" s="40">
        <f>+healthpension!M87</f>
        <v>27.65</v>
      </c>
      <c r="D84" s="40">
        <f t="shared" si="13"/>
        <v>57512</v>
      </c>
      <c r="F84" s="24">
        <v>407.5</v>
      </c>
      <c r="G84" s="40">
        <f t="shared" si="14"/>
        <v>16901.060000000001</v>
      </c>
      <c r="H84" s="24"/>
      <c r="I84" s="40">
        <f t="shared" si="15"/>
        <v>0</v>
      </c>
      <c r="K84" s="10">
        <f t="shared" si="10"/>
        <v>16901.0625</v>
      </c>
      <c r="L84" s="25">
        <f t="shared" si="11"/>
        <v>16945.645136726253</v>
      </c>
      <c r="M84" s="10">
        <f t="shared" si="12"/>
        <v>74457.645136726249</v>
      </c>
    </row>
    <row r="85" spans="1:13" x14ac:dyDescent="0.25">
      <c r="A85">
        <f>+healthpension!K88</f>
        <v>0</v>
      </c>
      <c r="B85">
        <f>+healthpension!L88</f>
        <v>638</v>
      </c>
      <c r="C85" s="40">
        <f>+healthpension!M88</f>
        <v>32.340000000000003</v>
      </c>
      <c r="D85" s="40">
        <f t="shared" si="13"/>
        <v>67267.199999999997</v>
      </c>
      <c r="F85" s="24">
        <v>347</v>
      </c>
      <c r="G85" s="40">
        <f t="shared" si="14"/>
        <v>16832.97</v>
      </c>
      <c r="H85" s="24"/>
      <c r="I85" s="40">
        <f t="shared" si="15"/>
        <v>0</v>
      </c>
      <c r="K85" s="10">
        <f t="shared" si="10"/>
        <v>16832.97</v>
      </c>
      <c r="L85" s="25">
        <f t="shared" si="11"/>
        <v>16877.373018244201</v>
      </c>
      <c r="M85" s="10">
        <f t="shared" si="12"/>
        <v>84144.573018244206</v>
      </c>
    </row>
    <row r="86" spans="1:13" x14ac:dyDescent="0.25">
      <c r="A86">
        <f>+healthpension!K89</f>
        <v>0</v>
      </c>
      <c r="B86">
        <f>+healthpension!L89</f>
        <v>476</v>
      </c>
      <c r="C86" s="40">
        <f>+healthpension!M89</f>
        <v>31.93</v>
      </c>
      <c r="D86" s="40">
        <f t="shared" si="13"/>
        <v>66414.399999999994</v>
      </c>
      <c r="F86" s="24">
        <v>339.25</v>
      </c>
      <c r="G86" s="40">
        <f t="shared" si="14"/>
        <v>16248.38</v>
      </c>
      <c r="H86" s="24"/>
      <c r="I86" s="40">
        <f t="shared" si="15"/>
        <v>0</v>
      </c>
      <c r="K86" s="10">
        <f t="shared" si="10"/>
        <v>16248.3788</v>
      </c>
      <c r="L86" s="25">
        <f t="shared" si="11"/>
        <v>16291.23974850137</v>
      </c>
      <c r="M86" s="10">
        <f t="shared" si="12"/>
        <v>82705.639748501359</v>
      </c>
    </row>
    <row r="87" spans="1:13" x14ac:dyDescent="0.25">
      <c r="A87">
        <f>+healthpension!K90</f>
        <v>0</v>
      </c>
      <c r="B87">
        <f>+healthpension!L90</f>
        <v>160</v>
      </c>
      <c r="C87" s="40">
        <f>+healthpension!M90</f>
        <v>37.130000000000003</v>
      </c>
      <c r="D87" s="40">
        <f t="shared" si="13"/>
        <v>77230.399999999994</v>
      </c>
      <c r="F87" s="24">
        <v>194.5</v>
      </c>
      <c r="G87" s="40">
        <f t="shared" si="14"/>
        <v>10832.68</v>
      </c>
      <c r="H87" s="24">
        <v>3</v>
      </c>
      <c r="I87" s="40">
        <f t="shared" si="15"/>
        <v>222.78</v>
      </c>
      <c r="K87" s="10">
        <f t="shared" si="10"/>
        <v>11055.4575</v>
      </c>
      <c r="L87" s="25">
        <f t="shared" si="11"/>
        <v>11084.620249120951</v>
      </c>
      <c r="M87" s="10">
        <f t="shared" si="12"/>
        <v>88315.020249120949</v>
      </c>
    </row>
    <row r="88" spans="1:13" x14ac:dyDescent="0.25">
      <c r="A88">
        <f>+healthpension!K91</f>
        <v>0</v>
      </c>
      <c r="B88">
        <f>+healthpension!L91</f>
        <v>539</v>
      </c>
      <c r="C88" s="40">
        <f>+healthpension!M91</f>
        <v>33.369999999999997</v>
      </c>
      <c r="D88" s="40">
        <f t="shared" si="13"/>
        <v>69409.600000000006</v>
      </c>
      <c r="F88" s="24">
        <v>44.25</v>
      </c>
      <c r="G88" s="40">
        <f t="shared" si="14"/>
        <v>2214.9299999999998</v>
      </c>
      <c r="H88" s="24"/>
      <c r="I88" s="40">
        <f t="shared" si="15"/>
        <v>0</v>
      </c>
      <c r="K88" s="10">
        <f t="shared" si="10"/>
        <v>2214.9337999999998</v>
      </c>
      <c r="L88" s="25">
        <f t="shared" si="11"/>
        <v>2220.7764852736682</v>
      </c>
      <c r="M88" s="10">
        <f t="shared" si="12"/>
        <v>71630.376485273679</v>
      </c>
    </row>
    <row r="89" spans="1:13" x14ac:dyDescent="0.25">
      <c r="A89">
        <f>+healthpension!K92</f>
        <v>0</v>
      </c>
      <c r="B89">
        <f>+healthpension!L92</f>
        <v>646</v>
      </c>
      <c r="C89" s="40">
        <f>+healthpension!M92</f>
        <v>25.26</v>
      </c>
      <c r="D89" s="40">
        <f t="shared" si="13"/>
        <v>52540.800000000003</v>
      </c>
      <c r="F89" s="24">
        <v>101</v>
      </c>
      <c r="G89" s="40">
        <f t="shared" si="14"/>
        <v>3826.89</v>
      </c>
      <c r="H89" s="24"/>
      <c r="I89" s="40">
        <f t="shared" si="15"/>
        <v>0</v>
      </c>
      <c r="K89" s="10">
        <f t="shared" si="10"/>
        <v>3826.89</v>
      </c>
      <c r="L89" s="25">
        <f t="shared" si="11"/>
        <v>3836.9848000554002</v>
      </c>
      <c r="M89" s="10">
        <f t="shared" si="12"/>
        <v>56377.7848000554</v>
      </c>
    </row>
    <row r="90" spans="1:13" x14ac:dyDescent="0.25">
      <c r="A90">
        <f>+healthpension!K93</f>
        <v>0</v>
      </c>
      <c r="B90">
        <f>+healthpension!L93</f>
        <v>447</v>
      </c>
      <c r="C90" s="40">
        <f>+healthpension!M93</f>
        <v>24.35</v>
      </c>
      <c r="D90" s="40">
        <f t="shared" si="13"/>
        <v>50648</v>
      </c>
      <c r="F90" s="24">
        <v>755.63</v>
      </c>
      <c r="G90" s="40">
        <f t="shared" si="14"/>
        <v>27599.39</v>
      </c>
      <c r="H90" s="24"/>
      <c r="I90" s="40">
        <f t="shared" si="15"/>
        <v>0</v>
      </c>
      <c r="K90" s="10">
        <f t="shared" si="10"/>
        <v>27599.3858</v>
      </c>
      <c r="L90" s="25">
        <f t="shared" si="11"/>
        <v>27672.18911582639</v>
      </c>
      <c r="M90" s="10">
        <f t="shared" si="12"/>
        <v>78320.18911582639</v>
      </c>
    </row>
    <row r="91" spans="1:13" x14ac:dyDescent="0.25">
      <c r="A91">
        <f>+healthpension!K94</f>
        <v>0</v>
      </c>
      <c r="B91">
        <f>+healthpension!L94</f>
        <v>201</v>
      </c>
      <c r="C91" s="40">
        <f>+healthpension!M94</f>
        <v>31.93</v>
      </c>
      <c r="D91" s="40">
        <f t="shared" si="13"/>
        <v>66414.399999999994</v>
      </c>
      <c r="F91" s="24">
        <v>188</v>
      </c>
      <c r="G91" s="40">
        <f t="shared" si="14"/>
        <v>9004.26</v>
      </c>
      <c r="H91" s="24"/>
      <c r="I91" s="40">
        <f t="shared" si="15"/>
        <v>0</v>
      </c>
      <c r="K91" s="10">
        <f t="shared" si="10"/>
        <v>9004.26</v>
      </c>
      <c r="L91" s="25">
        <f t="shared" si="11"/>
        <v>9028.0119772836006</v>
      </c>
      <c r="M91" s="10">
        <f t="shared" si="12"/>
        <v>75442.411977283598</v>
      </c>
    </row>
    <row r="92" spans="1:13" x14ac:dyDescent="0.25">
      <c r="A92">
        <f>+healthpension!K95</f>
        <v>0</v>
      </c>
      <c r="B92">
        <f>+healthpension!L95</f>
        <v>381</v>
      </c>
      <c r="C92" s="40">
        <f>+healthpension!M95</f>
        <v>31.75</v>
      </c>
      <c r="D92" s="40">
        <f t="shared" si="13"/>
        <v>66040</v>
      </c>
      <c r="F92" s="24">
        <v>19</v>
      </c>
      <c r="G92" s="40">
        <f t="shared" si="14"/>
        <v>904.88</v>
      </c>
      <c r="H92" s="24"/>
      <c r="I92" s="40">
        <f t="shared" si="15"/>
        <v>0</v>
      </c>
      <c r="K92" s="10">
        <f t="shared" si="10"/>
        <v>904.875</v>
      </c>
      <c r="L92" s="25">
        <f t="shared" si="11"/>
        <v>907.26193356750014</v>
      </c>
      <c r="M92" s="10">
        <f t="shared" si="12"/>
        <v>66947.261933567497</v>
      </c>
    </row>
    <row r="93" spans="1:13" x14ac:dyDescent="0.25">
      <c r="A93">
        <f>+healthpension!K96</f>
        <v>0</v>
      </c>
      <c r="B93">
        <f>+healthpension!L96</f>
        <v>320</v>
      </c>
      <c r="C93" s="40">
        <f>+healthpension!M96</f>
        <v>29.24</v>
      </c>
      <c r="D93" s="40">
        <f t="shared" si="13"/>
        <v>60819.199999999997</v>
      </c>
      <c r="F93" s="24"/>
      <c r="G93" s="40">
        <f t="shared" si="14"/>
        <v>0</v>
      </c>
      <c r="H93" s="24"/>
      <c r="I93" s="40">
        <f t="shared" si="15"/>
        <v>0</v>
      </c>
      <c r="K93" s="10">
        <f t="shared" si="10"/>
        <v>0</v>
      </c>
      <c r="L93" s="25">
        <f t="shared" si="11"/>
        <v>0</v>
      </c>
      <c r="M93" s="10">
        <f t="shared" si="12"/>
        <v>60819.199999999997</v>
      </c>
    </row>
    <row r="94" spans="1:13" x14ac:dyDescent="0.25">
      <c r="A94">
        <f>+healthpension!K97</f>
        <v>0</v>
      </c>
      <c r="B94">
        <f>+healthpension!L97</f>
        <v>679</v>
      </c>
      <c r="C94" s="40">
        <f>+healthpension!M97</f>
        <v>20.440000000000001</v>
      </c>
      <c r="D94" s="40">
        <f t="shared" si="13"/>
        <v>42515.199999999997</v>
      </c>
      <c r="F94" s="24">
        <v>9.25</v>
      </c>
      <c r="G94" s="40">
        <f t="shared" si="14"/>
        <v>283.61</v>
      </c>
      <c r="H94" s="24"/>
      <c r="I94" s="40">
        <f t="shared" si="15"/>
        <v>0</v>
      </c>
      <c r="K94" s="10">
        <f t="shared" si="10"/>
        <v>283.60500000000002</v>
      </c>
      <c r="L94" s="25">
        <f t="shared" si="11"/>
        <v>284.35311028530003</v>
      </c>
      <c r="M94" s="10">
        <f t="shared" si="12"/>
        <v>42799.553110285298</v>
      </c>
    </row>
    <row r="95" spans="1:13" x14ac:dyDescent="0.25">
      <c r="A95">
        <f>+healthpension!K98</f>
        <v>0</v>
      </c>
      <c r="B95">
        <f>+healthpension!L98</f>
        <v>643</v>
      </c>
      <c r="C95" s="40">
        <f>+healthpension!M98</f>
        <v>32.700000000000003</v>
      </c>
      <c r="D95" s="40">
        <f t="shared" si="13"/>
        <v>68016</v>
      </c>
      <c r="F95" s="24"/>
      <c r="G95" s="40">
        <f t="shared" si="14"/>
        <v>0</v>
      </c>
      <c r="H95" s="24"/>
      <c r="I95" s="40">
        <f t="shared" si="15"/>
        <v>0</v>
      </c>
      <c r="K95" s="10">
        <f t="shared" si="10"/>
        <v>0</v>
      </c>
      <c r="L95" s="25">
        <f t="shared" si="11"/>
        <v>0</v>
      </c>
      <c r="M95" s="10">
        <f t="shared" si="12"/>
        <v>68016</v>
      </c>
    </row>
    <row r="96" spans="1:13" x14ac:dyDescent="0.25">
      <c r="A96">
        <f>+healthpension!K99</f>
        <v>0</v>
      </c>
      <c r="B96">
        <f>+healthpension!L99</f>
        <v>244</v>
      </c>
      <c r="C96" s="40">
        <f>+healthpension!M99</f>
        <v>37.86</v>
      </c>
      <c r="D96" s="40">
        <f t="shared" si="13"/>
        <v>78748.800000000003</v>
      </c>
      <c r="F96" s="24">
        <v>528.16</v>
      </c>
      <c r="G96" s="40">
        <f t="shared" si="14"/>
        <v>29994.21</v>
      </c>
      <c r="H96" s="24"/>
      <c r="I96" s="40">
        <f t="shared" si="15"/>
        <v>0</v>
      </c>
      <c r="K96" s="10">
        <f t="shared" si="10"/>
        <v>29994.206399999999</v>
      </c>
      <c r="L96" s="25">
        <f t="shared" si="11"/>
        <v>30073.326917294307</v>
      </c>
      <c r="M96" s="10">
        <f t="shared" si="12"/>
        <v>108822.12691729431</v>
      </c>
    </row>
    <row r="97" spans="1:13" x14ac:dyDescent="0.25">
      <c r="A97">
        <f>+healthpension!K100</f>
        <v>0</v>
      </c>
      <c r="B97">
        <f>+healthpension!L100</f>
        <v>427</v>
      </c>
      <c r="C97" s="40">
        <f>+healthpension!M100</f>
        <v>34.619999999999997</v>
      </c>
      <c r="D97" s="40">
        <f t="shared" si="13"/>
        <v>72009.600000000006</v>
      </c>
      <c r="F97" s="24">
        <v>39</v>
      </c>
      <c r="G97" s="40">
        <f t="shared" si="14"/>
        <v>2025.27</v>
      </c>
      <c r="H97" s="24"/>
      <c r="I97" s="40">
        <f t="shared" si="15"/>
        <v>0</v>
      </c>
      <c r="K97" s="10">
        <f t="shared" si="10"/>
        <v>2025.27</v>
      </c>
      <c r="L97" s="25">
        <f t="shared" si="11"/>
        <v>2030.6123787222002</v>
      </c>
      <c r="M97" s="10">
        <f t="shared" si="12"/>
        <v>74040.212378722208</v>
      </c>
    </row>
    <row r="98" spans="1:13" x14ac:dyDescent="0.25">
      <c r="A98">
        <f>+healthpension!K101</f>
        <v>0</v>
      </c>
      <c r="B98">
        <f>+healthpension!L101</f>
        <v>156</v>
      </c>
      <c r="C98" s="40">
        <f>+healthpension!M101</f>
        <v>55.47</v>
      </c>
      <c r="D98" s="40">
        <f t="shared" si="13"/>
        <v>115377.60000000001</v>
      </c>
      <c r="F98" s="24"/>
      <c r="G98" s="40">
        <f t="shared" si="14"/>
        <v>0</v>
      </c>
      <c r="H98" s="24"/>
      <c r="I98" s="40">
        <f t="shared" si="15"/>
        <v>0</v>
      </c>
      <c r="K98" s="10">
        <f t="shared" si="10"/>
        <v>0</v>
      </c>
      <c r="L98" s="25">
        <f t="shared" si="11"/>
        <v>0</v>
      </c>
      <c r="M98" s="10">
        <f t="shared" si="12"/>
        <v>115377.60000000001</v>
      </c>
    </row>
    <row r="99" spans="1:13" x14ac:dyDescent="0.25">
      <c r="A99">
        <f>+healthpension!K102</f>
        <v>0</v>
      </c>
      <c r="B99">
        <f>+healthpension!L102</f>
        <v>598</v>
      </c>
      <c r="C99" s="40">
        <f>+healthpension!M102</f>
        <v>33.68</v>
      </c>
      <c r="D99" s="40">
        <f t="shared" si="13"/>
        <v>70054.399999999994</v>
      </c>
      <c r="F99" s="24">
        <v>257</v>
      </c>
      <c r="G99" s="40">
        <f t="shared" si="14"/>
        <v>12983.64</v>
      </c>
      <c r="H99" s="24"/>
      <c r="I99" s="40">
        <f t="shared" si="15"/>
        <v>0</v>
      </c>
      <c r="K99" s="10">
        <f t="shared" ref="K99:K130" si="16">ROUND(((C99*1.5)*F99)+((C99*2)*H99),4)</f>
        <v>12983.64</v>
      </c>
      <c r="L99" s="25">
        <f t="shared" ref="L99:L130" si="17">ROUND($L$156/$K$155,8)*K99</f>
        <v>13017.8890246104</v>
      </c>
      <c r="M99" s="10">
        <f t="shared" ref="M99:M130" si="18">D99+L99</f>
        <v>83072.289024610393</v>
      </c>
    </row>
    <row r="100" spans="1:13" x14ac:dyDescent="0.25">
      <c r="A100">
        <f>+healthpension!K103</f>
        <v>0</v>
      </c>
      <c r="B100">
        <f>+healthpension!L103</f>
        <v>617</v>
      </c>
      <c r="C100" s="40">
        <f>+healthpension!M103</f>
        <v>26.65</v>
      </c>
      <c r="D100" s="40">
        <f t="shared" si="13"/>
        <v>55432</v>
      </c>
      <c r="F100" s="24">
        <v>52</v>
      </c>
      <c r="G100" s="40">
        <f t="shared" si="14"/>
        <v>2078.6999999999998</v>
      </c>
      <c r="H100" s="24"/>
      <c r="I100" s="40">
        <f t="shared" si="15"/>
        <v>0</v>
      </c>
      <c r="K100" s="10">
        <f t="shared" si="16"/>
        <v>2078.6999999999998</v>
      </c>
      <c r="L100" s="25">
        <f t="shared" si="17"/>
        <v>2084.183319582</v>
      </c>
      <c r="M100" s="10">
        <f t="shared" si="18"/>
        <v>57516.183319582</v>
      </c>
    </row>
    <row r="101" spans="1:13" x14ac:dyDescent="0.25">
      <c r="A101">
        <f>+healthpension!K104</f>
        <v>0</v>
      </c>
      <c r="B101">
        <f>+healthpension!L104</f>
        <v>261</v>
      </c>
      <c r="C101" s="40">
        <f>+healthpension!M104</f>
        <v>30.91</v>
      </c>
      <c r="D101" s="40">
        <f t="shared" si="13"/>
        <v>64292.800000000003</v>
      </c>
      <c r="F101" s="24">
        <v>5.5</v>
      </c>
      <c r="G101" s="40">
        <f t="shared" si="14"/>
        <v>255.01</v>
      </c>
      <c r="H101" s="24"/>
      <c r="I101" s="40">
        <f t="shared" si="15"/>
        <v>0</v>
      </c>
      <c r="K101" s="10">
        <f t="shared" si="16"/>
        <v>255.00749999999999</v>
      </c>
      <c r="L101" s="25">
        <f t="shared" si="17"/>
        <v>255.68017408395002</v>
      </c>
      <c r="M101" s="10">
        <f t="shared" si="18"/>
        <v>64548.480174083954</v>
      </c>
    </row>
    <row r="102" spans="1:13" x14ac:dyDescent="0.25">
      <c r="A102">
        <f>+healthpension!K105</f>
        <v>0</v>
      </c>
      <c r="B102">
        <f>+healthpension!L105</f>
        <v>432</v>
      </c>
      <c r="C102" s="40">
        <f>+healthpension!M105</f>
        <v>25.92</v>
      </c>
      <c r="D102" s="40">
        <f t="shared" si="13"/>
        <v>53913.599999999999</v>
      </c>
      <c r="F102" s="24">
        <v>27.66</v>
      </c>
      <c r="G102" s="40">
        <f t="shared" si="14"/>
        <v>1075.42</v>
      </c>
      <c r="H102" s="24"/>
      <c r="I102" s="40">
        <f t="shared" si="15"/>
        <v>0</v>
      </c>
      <c r="K102" s="10">
        <f t="shared" si="16"/>
        <v>1075.4208000000001</v>
      </c>
      <c r="L102" s="25">
        <f t="shared" si="17"/>
        <v>1078.2576095114882</v>
      </c>
      <c r="M102" s="10">
        <f t="shared" si="18"/>
        <v>54991.857609511484</v>
      </c>
    </row>
    <row r="103" spans="1:13" x14ac:dyDescent="0.25">
      <c r="A103">
        <f>+healthpension!K106</f>
        <v>0</v>
      </c>
      <c r="B103">
        <f>+healthpension!L106</f>
        <v>491</v>
      </c>
      <c r="C103" s="40">
        <f>+healthpension!M106</f>
        <v>32.340000000000003</v>
      </c>
      <c r="D103" s="40">
        <f t="shared" si="13"/>
        <v>67267.199999999997</v>
      </c>
      <c r="F103" s="24">
        <v>280.5</v>
      </c>
      <c r="G103" s="40">
        <f t="shared" si="14"/>
        <v>13607.06</v>
      </c>
      <c r="H103" s="24"/>
      <c r="I103" s="40">
        <f t="shared" si="15"/>
        <v>0</v>
      </c>
      <c r="K103" s="10">
        <f t="shared" si="16"/>
        <v>13607.055</v>
      </c>
      <c r="L103" s="25">
        <f t="shared" si="17"/>
        <v>13642.948506102302</v>
      </c>
      <c r="M103" s="10">
        <f t="shared" si="18"/>
        <v>80910.148506102298</v>
      </c>
    </row>
    <row r="104" spans="1:13" x14ac:dyDescent="0.25">
      <c r="A104">
        <f>+healthpension!K107</f>
        <v>0</v>
      </c>
      <c r="B104">
        <f>+healthpension!L107</f>
        <v>600</v>
      </c>
      <c r="C104" s="40">
        <f>+healthpension!M107</f>
        <v>69.959999999999994</v>
      </c>
      <c r="D104" s="40">
        <f t="shared" si="13"/>
        <v>145516.79999999999</v>
      </c>
      <c r="F104" s="24"/>
      <c r="G104" s="40">
        <f t="shared" si="14"/>
        <v>0</v>
      </c>
      <c r="H104" s="24"/>
      <c r="I104" s="40">
        <f t="shared" si="15"/>
        <v>0</v>
      </c>
      <c r="K104" s="10">
        <f t="shared" si="16"/>
        <v>0</v>
      </c>
      <c r="L104" s="25">
        <f t="shared" si="17"/>
        <v>0</v>
      </c>
      <c r="M104" s="10">
        <f t="shared" si="18"/>
        <v>145516.79999999999</v>
      </c>
    </row>
    <row r="105" spans="1:13" x14ac:dyDescent="0.25">
      <c r="A105">
        <f>+healthpension!K108</f>
        <v>0</v>
      </c>
      <c r="B105">
        <f>+healthpension!L108</f>
        <v>383</v>
      </c>
      <c r="C105" s="40">
        <f>+healthpension!M108</f>
        <v>32.28</v>
      </c>
      <c r="D105" s="40">
        <f t="shared" si="13"/>
        <v>67142.399999999994</v>
      </c>
      <c r="F105" s="24">
        <v>30</v>
      </c>
      <c r="G105" s="40">
        <f t="shared" si="14"/>
        <v>1452.6</v>
      </c>
      <c r="H105" s="24"/>
      <c r="I105" s="40">
        <f t="shared" si="15"/>
        <v>0</v>
      </c>
      <c r="K105" s="10">
        <f t="shared" si="16"/>
        <v>1452.6</v>
      </c>
      <c r="L105" s="25">
        <f t="shared" si="17"/>
        <v>1456.431755436</v>
      </c>
      <c r="M105" s="10">
        <f t="shared" si="18"/>
        <v>68598.831755435996</v>
      </c>
    </row>
    <row r="106" spans="1:13" x14ac:dyDescent="0.25">
      <c r="A106">
        <f>+healthpension!K109</f>
        <v>0</v>
      </c>
      <c r="B106">
        <f>+healthpension!L109</f>
        <v>445</v>
      </c>
      <c r="C106" s="40">
        <f>+healthpension!M109</f>
        <v>36.090000000000003</v>
      </c>
      <c r="D106" s="40">
        <f t="shared" si="13"/>
        <v>75067.199999999997</v>
      </c>
      <c r="F106" s="24">
        <v>124</v>
      </c>
      <c r="G106" s="40">
        <f t="shared" si="14"/>
        <v>6712.74</v>
      </c>
      <c r="H106" s="24"/>
      <c r="I106" s="40">
        <f t="shared" si="15"/>
        <v>0</v>
      </c>
      <c r="K106" s="10">
        <f t="shared" si="16"/>
        <v>6712.74</v>
      </c>
      <c r="L106" s="25">
        <f t="shared" si="17"/>
        <v>6730.4472683364002</v>
      </c>
      <c r="M106" s="10">
        <f t="shared" si="18"/>
        <v>81797.647268336397</v>
      </c>
    </row>
    <row r="107" spans="1:13" x14ac:dyDescent="0.25">
      <c r="A107">
        <f>+healthpension!K110</f>
        <v>0</v>
      </c>
      <c r="B107">
        <f>+healthpension!L110</f>
        <v>684</v>
      </c>
      <c r="C107" s="40">
        <f>+healthpension!M110</f>
        <v>26.58</v>
      </c>
      <c r="D107" s="40">
        <f t="shared" si="13"/>
        <v>55286.400000000001</v>
      </c>
      <c r="F107" s="24">
        <v>4</v>
      </c>
      <c r="G107" s="40">
        <f t="shared" si="14"/>
        <v>159.47999999999999</v>
      </c>
      <c r="H107" s="24"/>
      <c r="I107" s="40">
        <f t="shared" si="15"/>
        <v>0</v>
      </c>
      <c r="K107" s="10">
        <f t="shared" si="16"/>
        <v>159.47999999999999</v>
      </c>
      <c r="L107" s="25">
        <f t="shared" si="17"/>
        <v>159.90068591280001</v>
      </c>
      <c r="M107" s="10">
        <f t="shared" si="18"/>
        <v>55446.3006859128</v>
      </c>
    </row>
    <row r="108" spans="1:13" x14ac:dyDescent="0.25">
      <c r="A108">
        <f>+healthpension!K111</f>
        <v>0</v>
      </c>
      <c r="B108">
        <f>+healthpension!L111</f>
        <v>640</v>
      </c>
      <c r="C108" s="40">
        <f>+healthpension!M111</f>
        <v>33.68</v>
      </c>
      <c r="D108" s="40">
        <f t="shared" si="13"/>
        <v>70054.399999999994</v>
      </c>
      <c r="F108" s="24">
        <v>416</v>
      </c>
      <c r="G108" s="40">
        <f t="shared" si="14"/>
        <v>21016.32</v>
      </c>
      <c r="H108" s="24"/>
      <c r="I108" s="40">
        <f t="shared" si="15"/>
        <v>0</v>
      </c>
      <c r="K108" s="10">
        <f t="shared" si="16"/>
        <v>21016.32</v>
      </c>
      <c r="L108" s="25">
        <f t="shared" si="17"/>
        <v>21071.758109875202</v>
      </c>
      <c r="M108" s="10">
        <f t="shared" si="18"/>
        <v>91126.158109875192</v>
      </c>
    </row>
    <row r="109" spans="1:13" x14ac:dyDescent="0.25">
      <c r="A109">
        <f>+healthpension!K112</f>
        <v>0</v>
      </c>
      <c r="B109">
        <f>+healthpension!L112</f>
        <v>185</v>
      </c>
      <c r="C109" s="40">
        <f>+healthpension!M112</f>
        <v>49.24</v>
      </c>
      <c r="D109" s="40">
        <f t="shared" si="13"/>
        <v>102419.2</v>
      </c>
      <c r="F109" s="24"/>
      <c r="G109" s="40">
        <f t="shared" si="14"/>
        <v>0</v>
      </c>
      <c r="H109" s="24"/>
      <c r="I109" s="40">
        <f t="shared" si="15"/>
        <v>0</v>
      </c>
      <c r="K109" s="10">
        <f t="shared" si="16"/>
        <v>0</v>
      </c>
      <c r="L109" s="25">
        <f t="shared" si="17"/>
        <v>0</v>
      </c>
      <c r="M109" s="10">
        <f t="shared" si="18"/>
        <v>102419.2</v>
      </c>
    </row>
    <row r="110" spans="1:13" x14ac:dyDescent="0.25">
      <c r="A110">
        <f>+healthpension!K113</f>
        <v>0</v>
      </c>
      <c r="B110">
        <f>+healthpension!L113</f>
        <v>409</v>
      </c>
      <c r="C110" s="40">
        <f>+healthpension!M113</f>
        <v>24.01</v>
      </c>
      <c r="D110" s="40">
        <f t="shared" si="13"/>
        <v>49940.800000000003</v>
      </c>
      <c r="F110" s="24">
        <v>24</v>
      </c>
      <c r="G110" s="40">
        <f t="shared" si="14"/>
        <v>864.36</v>
      </c>
      <c r="H110" s="24"/>
      <c r="I110" s="40">
        <f t="shared" si="15"/>
        <v>0</v>
      </c>
      <c r="K110" s="10">
        <f t="shared" si="16"/>
        <v>864.36</v>
      </c>
      <c r="L110" s="25">
        <f t="shared" si="17"/>
        <v>866.64006066960008</v>
      </c>
      <c r="M110" s="10">
        <f t="shared" si="18"/>
        <v>50807.4400606696</v>
      </c>
    </row>
    <row r="111" spans="1:13" x14ac:dyDescent="0.25">
      <c r="A111">
        <f>+healthpension!K114</f>
        <v>0</v>
      </c>
      <c r="B111">
        <f>+healthpension!L114</f>
        <v>328</v>
      </c>
      <c r="C111" s="40">
        <f>+healthpension!M114</f>
        <v>26.71</v>
      </c>
      <c r="D111" s="40">
        <f t="shared" si="13"/>
        <v>55556.800000000003</v>
      </c>
      <c r="F111" s="24">
        <v>195.15</v>
      </c>
      <c r="G111" s="40">
        <f t="shared" si="14"/>
        <v>7818.68</v>
      </c>
      <c r="H111" s="24"/>
      <c r="I111" s="40">
        <f t="shared" si="15"/>
        <v>0</v>
      </c>
      <c r="K111" s="10">
        <f t="shared" si="16"/>
        <v>7818.6848</v>
      </c>
      <c r="L111" s="25">
        <f t="shared" si="17"/>
        <v>7839.3093958865284</v>
      </c>
      <c r="M111" s="10">
        <f t="shared" si="18"/>
        <v>63396.109395886531</v>
      </c>
    </row>
    <row r="112" spans="1:13" x14ac:dyDescent="0.25">
      <c r="A112">
        <f>+healthpension!K115</f>
        <v>0</v>
      </c>
      <c r="B112">
        <f>+healthpension!L115</f>
        <v>281</v>
      </c>
      <c r="C112" s="40">
        <f>+healthpension!M115</f>
        <v>37.31</v>
      </c>
      <c r="D112" s="40">
        <f t="shared" si="13"/>
        <v>77604.800000000003</v>
      </c>
      <c r="F112" s="24">
        <v>488.96</v>
      </c>
      <c r="G112" s="40">
        <f t="shared" si="14"/>
        <v>27364.65</v>
      </c>
      <c r="H112" s="24">
        <v>1</v>
      </c>
      <c r="I112" s="40">
        <f t="shared" si="15"/>
        <v>74.62</v>
      </c>
      <c r="K112" s="10">
        <f t="shared" si="16"/>
        <v>27439.2664</v>
      </c>
      <c r="L112" s="25">
        <f t="shared" si="17"/>
        <v>27511.647343265908</v>
      </c>
      <c r="M112" s="10">
        <f t="shared" si="18"/>
        <v>105116.44734326591</v>
      </c>
    </row>
    <row r="113" spans="1:13" x14ac:dyDescent="0.25">
      <c r="A113">
        <f>+healthpension!K116</f>
        <v>0</v>
      </c>
      <c r="B113">
        <f>+healthpension!L116</f>
        <v>473</v>
      </c>
      <c r="C113" s="40">
        <f>+healthpension!M116</f>
        <v>28.58</v>
      </c>
      <c r="D113" s="40">
        <f t="shared" si="13"/>
        <v>59446.400000000001</v>
      </c>
      <c r="F113" s="24">
        <v>20.75</v>
      </c>
      <c r="G113" s="40">
        <f t="shared" si="14"/>
        <v>889.55</v>
      </c>
      <c r="H113" s="24"/>
      <c r="I113" s="40">
        <f t="shared" si="15"/>
        <v>0</v>
      </c>
      <c r="K113" s="10">
        <f t="shared" si="16"/>
        <v>889.55250000000001</v>
      </c>
      <c r="L113" s="25">
        <f t="shared" si="17"/>
        <v>891.89901495765014</v>
      </c>
      <c r="M113" s="10">
        <f t="shared" si="18"/>
        <v>60338.299014957651</v>
      </c>
    </row>
    <row r="114" spans="1:13" x14ac:dyDescent="0.25">
      <c r="A114">
        <f>+healthpension!K117</f>
        <v>0</v>
      </c>
      <c r="B114">
        <f>+healthpension!L117</f>
        <v>319</v>
      </c>
      <c r="C114" s="40">
        <f>+healthpension!M117</f>
        <v>45.79</v>
      </c>
      <c r="D114" s="40">
        <f t="shared" si="13"/>
        <v>95243.199999999997</v>
      </c>
      <c r="F114" s="24"/>
      <c r="G114" s="40">
        <f t="shared" si="14"/>
        <v>0</v>
      </c>
      <c r="H114" s="24"/>
      <c r="I114" s="40">
        <f t="shared" si="15"/>
        <v>0</v>
      </c>
      <c r="K114" s="10">
        <f t="shared" si="16"/>
        <v>0</v>
      </c>
      <c r="L114" s="25">
        <f t="shared" si="17"/>
        <v>0</v>
      </c>
      <c r="M114" s="10">
        <f t="shared" si="18"/>
        <v>95243.199999999997</v>
      </c>
    </row>
    <row r="115" spans="1:13" x14ac:dyDescent="0.25">
      <c r="A115">
        <f>+healthpension!K118</f>
        <v>0</v>
      </c>
      <c r="B115">
        <f>+healthpension!L118</f>
        <v>246</v>
      </c>
      <c r="C115" s="40">
        <f>+healthpension!M118</f>
        <v>23.98</v>
      </c>
      <c r="D115" s="40">
        <f t="shared" si="13"/>
        <v>49878.400000000001</v>
      </c>
      <c r="F115" s="24">
        <v>12.5</v>
      </c>
      <c r="G115" s="40">
        <f t="shared" si="14"/>
        <v>449.63</v>
      </c>
      <c r="H115" s="24"/>
      <c r="I115" s="40">
        <f t="shared" si="15"/>
        <v>0</v>
      </c>
      <c r="K115" s="10">
        <f t="shared" si="16"/>
        <v>449.625</v>
      </c>
      <c r="L115" s="25">
        <f t="shared" si="17"/>
        <v>450.81104780250007</v>
      </c>
      <c r="M115" s="10">
        <f t="shared" si="18"/>
        <v>50329.211047802499</v>
      </c>
    </row>
    <row r="116" spans="1:13" x14ac:dyDescent="0.25">
      <c r="A116">
        <f>+healthpension!K119</f>
        <v>0</v>
      </c>
      <c r="B116">
        <f>+healthpension!L119</f>
        <v>496</v>
      </c>
      <c r="C116" s="40">
        <f>+healthpension!M119</f>
        <v>36.299999999999997</v>
      </c>
      <c r="D116" s="40">
        <f t="shared" si="13"/>
        <v>75504</v>
      </c>
      <c r="F116" s="24">
        <v>280.5</v>
      </c>
      <c r="G116" s="40">
        <f t="shared" si="14"/>
        <v>15273.23</v>
      </c>
      <c r="H116" s="24">
        <v>1.5</v>
      </c>
      <c r="I116" s="40">
        <f t="shared" si="15"/>
        <v>108.9</v>
      </c>
      <c r="K116" s="10">
        <f t="shared" si="16"/>
        <v>15382.125</v>
      </c>
      <c r="L116" s="25">
        <f t="shared" si="17"/>
        <v>15422.700892252502</v>
      </c>
      <c r="M116" s="10">
        <f t="shared" si="18"/>
        <v>90926.700892252498</v>
      </c>
    </row>
    <row r="117" spans="1:13" x14ac:dyDescent="0.25">
      <c r="A117">
        <f>+healthpension!K120</f>
        <v>0</v>
      </c>
      <c r="B117">
        <f>+healthpension!L120</f>
        <v>396</v>
      </c>
      <c r="C117" s="40">
        <f>+healthpension!M120</f>
        <v>31.93</v>
      </c>
      <c r="D117" s="40">
        <f t="shared" si="13"/>
        <v>66414.399999999994</v>
      </c>
      <c r="F117" s="24">
        <v>185.25</v>
      </c>
      <c r="G117" s="40">
        <f t="shared" si="14"/>
        <v>8872.5499999999993</v>
      </c>
      <c r="H117" s="24">
        <v>4.5</v>
      </c>
      <c r="I117" s="40">
        <f t="shared" si="15"/>
        <v>287.37</v>
      </c>
      <c r="K117" s="10">
        <f t="shared" si="16"/>
        <v>9159.9187999999995</v>
      </c>
      <c r="L117" s="25">
        <f t="shared" si="17"/>
        <v>9184.0813834057681</v>
      </c>
      <c r="M117" s="10">
        <f t="shared" si="18"/>
        <v>75598.481383405757</v>
      </c>
    </row>
    <row r="118" spans="1:13" x14ac:dyDescent="0.25">
      <c r="A118">
        <f>+healthpension!K121</f>
        <v>0</v>
      </c>
      <c r="B118">
        <f>+healthpension!L121</f>
        <v>352</v>
      </c>
      <c r="C118" s="40">
        <f>+healthpension!M121</f>
        <v>25.7</v>
      </c>
      <c r="D118" s="40">
        <f t="shared" si="13"/>
        <v>53456</v>
      </c>
      <c r="F118" s="24"/>
      <c r="G118" s="40">
        <f t="shared" si="14"/>
        <v>0</v>
      </c>
      <c r="H118" s="24"/>
      <c r="I118" s="40">
        <f t="shared" si="15"/>
        <v>0</v>
      </c>
      <c r="K118" s="10">
        <f t="shared" si="16"/>
        <v>0</v>
      </c>
      <c r="L118" s="25">
        <f t="shared" si="17"/>
        <v>0</v>
      </c>
      <c r="M118" s="10">
        <f t="shared" si="18"/>
        <v>53456</v>
      </c>
    </row>
    <row r="119" spans="1:13" x14ac:dyDescent="0.25">
      <c r="A119">
        <f>+healthpension!K122</f>
        <v>0</v>
      </c>
      <c r="B119">
        <f>+healthpension!L122</f>
        <v>498</v>
      </c>
      <c r="C119" s="40">
        <f>+healthpension!M122</f>
        <v>31.93</v>
      </c>
      <c r="D119" s="40">
        <f t="shared" si="13"/>
        <v>66414.399999999994</v>
      </c>
      <c r="F119" s="24">
        <v>227.5</v>
      </c>
      <c r="G119" s="40">
        <f t="shared" si="14"/>
        <v>10896.11</v>
      </c>
      <c r="H119" s="24"/>
      <c r="I119" s="40">
        <f t="shared" si="15"/>
        <v>0</v>
      </c>
      <c r="K119" s="10">
        <f t="shared" si="16"/>
        <v>10896.112499999999</v>
      </c>
      <c r="L119" s="25">
        <f t="shared" si="17"/>
        <v>10924.85491931925</v>
      </c>
      <c r="M119" s="10">
        <f t="shared" si="18"/>
        <v>77339.254919319239</v>
      </c>
    </row>
    <row r="120" spans="1:13" x14ac:dyDescent="0.25">
      <c r="A120">
        <f>+healthpension!K123</f>
        <v>0</v>
      </c>
      <c r="B120">
        <f>+healthpension!L123</f>
        <v>180</v>
      </c>
      <c r="C120" s="40">
        <f>+healthpension!M123</f>
        <v>32.47</v>
      </c>
      <c r="D120" s="40">
        <f t="shared" si="13"/>
        <v>67537.600000000006</v>
      </c>
      <c r="F120" s="24"/>
      <c r="G120" s="40">
        <f t="shared" si="14"/>
        <v>0</v>
      </c>
      <c r="H120" s="24"/>
      <c r="I120" s="40">
        <f t="shared" si="15"/>
        <v>0</v>
      </c>
      <c r="K120" s="10">
        <f t="shared" si="16"/>
        <v>0</v>
      </c>
      <c r="L120" s="25">
        <f t="shared" si="17"/>
        <v>0</v>
      </c>
      <c r="M120" s="10">
        <f t="shared" si="18"/>
        <v>67537.600000000006</v>
      </c>
    </row>
    <row r="121" spans="1:13" x14ac:dyDescent="0.25">
      <c r="A121">
        <f>+healthpension!K124</f>
        <v>0</v>
      </c>
      <c r="B121">
        <f>+healthpension!L124</f>
        <v>422</v>
      </c>
      <c r="C121" s="40">
        <f>+healthpension!M124</f>
        <v>26.43</v>
      </c>
      <c r="D121" s="40">
        <f t="shared" si="13"/>
        <v>54974.400000000001</v>
      </c>
      <c r="F121" s="24">
        <v>208</v>
      </c>
      <c r="G121" s="40">
        <f t="shared" si="14"/>
        <v>8246.16</v>
      </c>
      <c r="H121" s="24"/>
      <c r="I121" s="40">
        <f t="shared" si="15"/>
        <v>0</v>
      </c>
      <c r="K121" s="10">
        <f t="shared" si="16"/>
        <v>8246.16</v>
      </c>
      <c r="L121" s="25">
        <f t="shared" si="17"/>
        <v>8267.9122156175999</v>
      </c>
      <c r="M121" s="10">
        <f t="shared" si="18"/>
        <v>63242.312215617603</v>
      </c>
    </row>
    <row r="122" spans="1:13" x14ac:dyDescent="0.25">
      <c r="A122">
        <f>+healthpension!K125</f>
        <v>0</v>
      </c>
      <c r="B122">
        <f>+healthpension!L125</f>
        <v>657</v>
      </c>
      <c r="C122" s="40">
        <f>+healthpension!M125</f>
        <v>58.9</v>
      </c>
      <c r="D122" s="40">
        <f t="shared" si="13"/>
        <v>122512</v>
      </c>
      <c r="F122" s="24"/>
      <c r="G122" s="40">
        <f t="shared" si="14"/>
        <v>0</v>
      </c>
      <c r="H122" s="24"/>
      <c r="I122" s="40">
        <f t="shared" si="15"/>
        <v>0</v>
      </c>
      <c r="K122" s="10">
        <f t="shared" si="16"/>
        <v>0</v>
      </c>
      <c r="L122" s="25">
        <f t="shared" si="17"/>
        <v>0</v>
      </c>
      <c r="M122" s="10">
        <f t="shared" si="18"/>
        <v>122512</v>
      </c>
    </row>
    <row r="123" spans="1:13" x14ac:dyDescent="0.25">
      <c r="A123">
        <f>+healthpension!K126</f>
        <v>0</v>
      </c>
      <c r="B123">
        <f>+healthpension!L126</f>
        <v>318</v>
      </c>
      <c r="C123" s="40">
        <f>+healthpension!M126</f>
        <v>37.130000000000003</v>
      </c>
      <c r="D123" s="40">
        <f t="shared" si="13"/>
        <v>77230.399999999994</v>
      </c>
      <c r="F123" s="24">
        <v>235</v>
      </c>
      <c r="G123" s="40">
        <f t="shared" si="14"/>
        <v>13088.33</v>
      </c>
      <c r="H123" s="24"/>
      <c r="I123" s="40">
        <f t="shared" si="15"/>
        <v>0</v>
      </c>
      <c r="K123" s="10">
        <f t="shared" si="16"/>
        <v>13088.325000000001</v>
      </c>
      <c r="L123" s="25">
        <f t="shared" si="17"/>
        <v>13122.850168984502</v>
      </c>
      <c r="M123" s="10">
        <f t="shared" si="18"/>
        <v>90353.250168984494</v>
      </c>
    </row>
    <row r="124" spans="1:13" x14ac:dyDescent="0.25">
      <c r="A124">
        <f>+healthpension!K127</f>
        <v>0</v>
      </c>
      <c r="B124">
        <f>+healthpension!L127</f>
        <v>417</v>
      </c>
      <c r="C124" s="40">
        <f>+healthpension!M127</f>
        <v>31.7</v>
      </c>
      <c r="D124" s="40">
        <f t="shared" si="13"/>
        <v>65936</v>
      </c>
      <c r="F124" s="24">
        <v>13.25</v>
      </c>
      <c r="G124" s="40">
        <f t="shared" si="14"/>
        <v>630.04</v>
      </c>
      <c r="H124" s="24"/>
      <c r="I124" s="40">
        <f t="shared" si="15"/>
        <v>0</v>
      </c>
      <c r="K124" s="10">
        <f t="shared" si="16"/>
        <v>630.03750000000002</v>
      </c>
      <c r="L124" s="25">
        <f t="shared" si="17"/>
        <v>631.69945071975008</v>
      </c>
      <c r="M124" s="10">
        <f t="shared" si="18"/>
        <v>66567.699450719752</v>
      </c>
    </row>
    <row r="125" spans="1:13" x14ac:dyDescent="0.25">
      <c r="A125">
        <f>+healthpension!K128</f>
        <v>0</v>
      </c>
      <c r="B125">
        <f>+healthpension!L128</f>
        <v>656</v>
      </c>
      <c r="C125" s="40">
        <f>+healthpension!M128</f>
        <v>132.21</v>
      </c>
      <c r="D125" s="40">
        <f t="shared" si="13"/>
        <v>274996.8</v>
      </c>
      <c r="F125" s="24"/>
      <c r="G125" s="40">
        <f t="shared" si="14"/>
        <v>0</v>
      </c>
      <c r="H125" s="24"/>
      <c r="I125" s="40">
        <f t="shared" si="15"/>
        <v>0</v>
      </c>
      <c r="K125" s="10">
        <f t="shared" si="16"/>
        <v>0</v>
      </c>
      <c r="L125" s="25">
        <f t="shared" si="17"/>
        <v>0</v>
      </c>
      <c r="M125" s="10">
        <f t="shared" si="18"/>
        <v>274996.8</v>
      </c>
    </row>
    <row r="126" spans="1:13" x14ac:dyDescent="0.25">
      <c r="A126">
        <f>+healthpension!K129</f>
        <v>0</v>
      </c>
      <c r="B126">
        <f>+healthpension!L129</f>
        <v>388</v>
      </c>
      <c r="C126" s="40">
        <f>+healthpension!M129</f>
        <v>26.65</v>
      </c>
      <c r="D126" s="40">
        <f t="shared" si="13"/>
        <v>55432</v>
      </c>
      <c r="F126" s="24">
        <v>56</v>
      </c>
      <c r="G126" s="40">
        <f t="shared" si="14"/>
        <v>2238.6</v>
      </c>
      <c r="H126" s="24"/>
      <c r="I126" s="40">
        <f t="shared" si="15"/>
        <v>0</v>
      </c>
      <c r="K126" s="10">
        <f t="shared" si="16"/>
        <v>2238.6</v>
      </c>
      <c r="L126" s="25">
        <f t="shared" si="17"/>
        <v>2244.5051133960001</v>
      </c>
      <c r="M126" s="10">
        <f t="shared" si="18"/>
        <v>57676.505113396001</v>
      </c>
    </row>
    <row r="127" spans="1:13" x14ac:dyDescent="0.25">
      <c r="A127">
        <f>+healthpension!K130</f>
        <v>0</v>
      </c>
      <c r="B127">
        <f>+healthpension!L130</f>
        <v>337</v>
      </c>
      <c r="C127" s="40">
        <f>+healthpension!M130</f>
        <v>31.93</v>
      </c>
      <c r="D127" s="40">
        <f t="shared" si="13"/>
        <v>66414.399999999994</v>
      </c>
      <c r="F127" s="24">
        <v>330.75</v>
      </c>
      <c r="G127" s="40">
        <f t="shared" si="14"/>
        <v>15841.27</v>
      </c>
      <c r="H127" s="24"/>
      <c r="I127" s="40">
        <f t="shared" si="15"/>
        <v>0</v>
      </c>
      <c r="K127" s="10">
        <f t="shared" si="16"/>
        <v>15841.2713</v>
      </c>
      <c r="L127" s="25">
        <f t="shared" si="17"/>
        <v>15883.05835591142</v>
      </c>
      <c r="M127" s="10">
        <f t="shared" si="18"/>
        <v>82297.458355911411</v>
      </c>
    </row>
    <row r="128" spans="1:13" x14ac:dyDescent="0.25">
      <c r="A128">
        <f>+healthpension!K131</f>
        <v>0</v>
      </c>
      <c r="B128">
        <f>+healthpension!L131</f>
        <v>665</v>
      </c>
      <c r="C128" s="40">
        <f>+healthpension!M131</f>
        <v>26.28</v>
      </c>
      <c r="D128" s="40">
        <f t="shared" si="13"/>
        <v>54662.400000000001</v>
      </c>
      <c r="F128" s="24">
        <v>499.25</v>
      </c>
      <c r="G128" s="40">
        <f t="shared" si="14"/>
        <v>19680.439999999999</v>
      </c>
      <c r="H128" s="24">
        <v>3.5</v>
      </c>
      <c r="I128" s="40">
        <f t="shared" si="15"/>
        <v>183.96</v>
      </c>
      <c r="K128" s="10">
        <f t="shared" si="16"/>
        <v>19864.395</v>
      </c>
      <c r="L128" s="25">
        <f t="shared" si="17"/>
        <v>19916.794492994701</v>
      </c>
      <c r="M128" s="10">
        <f t="shared" si="18"/>
        <v>74579.194492994706</v>
      </c>
    </row>
    <row r="129" spans="1:13" x14ac:dyDescent="0.25">
      <c r="A129">
        <f>+healthpension!K132</f>
        <v>0</v>
      </c>
      <c r="B129">
        <f>+healthpension!L132</f>
        <v>677</v>
      </c>
      <c r="C129" s="40">
        <f>+healthpension!M132</f>
        <v>19.420000000000002</v>
      </c>
      <c r="D129" s="40">
        <f t="shared" si="13"/>
        <v>40393.599999999999</v>
      </c>
      <c r="F129" s="24">
        <v>24</v>
      </c>
      <c r="G129" s="40">
        <f t="shared" si="14"/>
        <v>699.12</v>
      </c>
      <c r="H129" s="24"/>
      <c r="I129" s="40">
        <f t="shared" si="15"/>
        <v>0</v>
      </c>
      <c r="K129" s="10">
        <f t="shared" si="16"/>
        <v>699.12</v>
      </c>
      <c r="L129" s="25">
        <f t="shared" si="17"/>
        <v>700.96418068320008</v>
      </c>
      <c r="M129" s="10">
        <f t="shared" si="18"/>
        <v>41094.564180683199</v>
      </c>
    </row>
    <row r="130" spans="1:13" x14ac:dyDescent="0.25">
      <c r="A130">
        <f>+healthpension!K133</f>
        <v>0</v>
      </c>
      <c r="B130">
        <f>+healthpension!L133</f>
        <v>216</v>
      </c>
      <c r="C130" s="40">
        <f>+healthpension!M133</f>
        <v>71.680000000000007</v>
      </c>
      <c r="D130" s="40">
        <f t="shared" si="13"/>
        <v>149094.39999999999</v>
      </c>
      <c r="F130" s="24"/>
      <c r="G130" s="40">
        <f t="shared" si="14"/>
        <v>0</v>
      </c>
      <c r="H130" s="24"/>
      <c r="I130" s="40">
        <f t="shared" si="15"/>
        <v>0</v>
      </c>
      <c r="K130" s="10">
        <f t="shared" si="16"/>
        <v>0</v>
      </c>
      <c r="L130" s="25">
        <f t="shared" si="17"/>
        <v>0</v>
      </c>
      <c r="M130" s="10">
        <f t="shared" si="18"/>
        <v>149094.39999999999</v>
      </c>
    </row>
    <row r="131" spans="1:13" x14ac:dyDescent="0.25">
      <c r="A131">
        <f>+healthpension!K134</f>
        <v>0</v>
      </c>
      <c r="B131">
        <f>+healthpension!L134</f>
        <v>618</v>
      </c>
      <c r="C131" s="40">
        <f>+healthpension!M134</f>
        <v>51.93</v>
      </c>
      <c r="D131" s="40">
        <f t="shared" si="13"/>
        <v>108014.39999999999</v>
      </c>
      <c r="F131" s="24"/>
      <c r="G131" s="40">
        <f t="shared" si="14"/>
        <v>0</v>
      </c>
      <c r="H131" s="24"/>
      <c r="I131" s="40">
        <f t="shared" si="15"/>
        <v>0</v>
      </c>
      <c r="K131" s="10">
        <f t="shared" ref="K131:K152" si="19">ROUND(((C131*1.5)*F131)+((C131*2)*H131),4)</f>
        <v>0</v>
      </c>
      <c r="L131" s="25">
        <f t="shared" ref="L131:L152" si="20">ROUND($L$156/$K$155,8)*K131</f>
        <v>0</v>
      </c>
      <c r="M131" s="10">
        <f t="shared" ref="M131:M152" si="21">D131+L131</f>
        <v>108014.39999999999</v>
      </c>
    </row>
    <row r="132" spans="1:13" x14ac:dyDescent="0.25">
      <c r="A132">
        <f>+healthpension!K135</f>
        <v>0</v>
      </c>
      <c r="B132">
        <f>+healthpension!L135</f>
        <v>659</v>
      </c>
      <c r="C132" s="40">
        <f>+healthpension!M135</f>
        <v>21.01</v>
      </c>
      <c r="D132" s="40">
        <f t="shared" ref="D132:D152" si="22">ROUND(C132*2080,2)</f>
        <v>43700.800000000003</v>
      </c>
      <c r="F132" s="24">
        <v>296.25</v>
      </c>
      <c r="G132" s="40">
        <f t="shared" ref="G132:G152" si="23">+IF(F132&gt;0,ROUND(F132*(C132*1.5),2),0)</f>
        <v>9336.32</v>
      </c>
      <c r="H132" s="24"/>
      <c r="I132" s="40">
        <f t="shared" ref="I132:I152" si="24">+IF(H132&gt;0,ROUND(H132*(C132*2),2),0)</f>
        <v>0</v>
      </c>
      <c r="K132" s="10">
        <f t="shared" si="19"/>
        <v>9336.3187999999991</v>
      </c>
      <c r="L132" s="25">
        <f t="shared" si="20"/>
        <v>9360.9467019097683</v>
      </c>
      <c r="M132" s="10">
        <f t="shared" si="21"/>
        <v>53061.746701909768</v>
      </c>
    </row>
    <row r="133" spans="1:13" x14ac:dyDescent="0.25">
      <c r="A133">
        <f>+healthpension!K136</f>
        <v>0</v>
      </c>
      <c r="B133">
        <f>+healthpension!L136</f>
        <v>259</v>
      </c>
      <c r="C133" s="40">
        <f>+healthpension!M136</f>
        <v>36.619999999999997</v>
      </c>
      <c r="D133" s="40">
        <f t="shared" si="22"/>
        <v>76169.600000000006</v>
      </c>
      <c r="F133" s="24">
        <v>30.5</v>
      </c>
      <c r="G133" s="40">
        <f t="shared" si="23"/>
        <v>1675.37</v>
      </c>
      <c r="H133" s="24"/>
      <c r="I133" s="40">
        <f t="shared" si="24"/>
        <v>0</v>
      </c>
      <c r="K133" s="10">
        <f t="shared" si="19"/>
        <v>1675.365</v>
      </c>
      <c r="L133" s="25">
        <f t="shared" si="20"/>
        <v>1679.7843783189003</v>
      </c>
      <c r="M133" s="10">
        <f t="shared" si="21"/>
        <v>77849.384378318908</v>
      </c>
    </row>
    <row r="134" spans="1:13" x14ac:dyDescent="0.25">
      <c r="A134">
        <f>+healthpension!K137</f>
        <v>0</v>
      </c>
      <c r="B134">
        <f>+healthpension!L137</f>
        <v>661</v>
      </c>
      <c r="C134" s="40">
        <f>+healthpension!M137</f>
        <v>31.92</v>
      </c>
      <c r="D134" s="40">
        <f t="shared" si="22"/>
        <v>66393.600000000006</v>
      </c>
      <c r="F134" s="24">
        <v>373.5</v>
      </c>
      <c r="G134" s="40">
        <f t="shared" si="23"/>
        <v>17883.18</v>
      </c>
      <c r="H134" s="24"/>
      <c r="I134" s="40">
        <f t="shared" si="24"/>
        <v>0</v>
      </c>
      <c r="K134" s="10">
        <f t="shared" si="19"/>
        <v>17883.18</v>
      </c>
      <c r="L134" s="25">
        <f t="shared" si="20"/>
        <v>17930.353325194803</v>
      </c>
      <c r="M134" s="10">
        <f t="shared" si="21"/>
        <v>84323.953325194801</v>
      </c>
    </row>
    <row r="135" spans="1:13" x14ac:dyDescent="0.25">
      <c r="A135">
        <f>+healthpension!K138</f>
        <v>0</v>
      </c>
      <c r="B135">
        <f>+healthpension!L138</f>
        <v>218</v>
      </c>
      <c r="C135" s="40">
        <f>+healthpension!M138</f>
        <v>39.01</v>
      </c>
      <c r="D135" s="40">
        <f t="shared" si="22"/>
        <v>81140.800000000003</v>
      </c>
      <c r="F135" s="24">
        <v>250.5</v>
      </c>
      <c r="G135" s="40">
        <f t="shared" si="23"/>
        <v>14658.01</v>
      </c>
      <c r="H135" s="24"/>
      <c r="I135" s="40">
        <f t="shared" si="24"/>
        <v>0</v>
      </c>
      <c r="K135" s="10">
        <f t="shared" si="19"/>
        <v>14658.0075</v>
      </c>
      <c r="L135" s="25">
        <f t="shared" si="20"/>
        <v>14696.673271663951</v>
      </c>
      <c r="M135" s="10">
        <f t="shared" si="21"/>
        <v>95837.473271663956</v>
      </c>
    </row>
    <row r="136" spans="1:13" x14ac:dyDescent="0.25">
      <c r="A136">
        <f>+healthpension!K139</f>
        <v>0</v>
      </c>
      <c r="B136">
        <f>+healthpension!L139</f>
        <v>509</v>
      </c>
      <c r="C136" s="40">
        <f>+healthpension!M139</f>
        <v>31.93</v>
      </c>
      <c r="D136" s="40">
        <f t="shared" si="22"/>
        <v>66414.399999999994</v>
      </c>
      <c r="F136" s="24">
        <v>317.75</v>
      </c>
      <c r="G136" s="40">
        <f t="shared" si="23"/>
        <v>15218.64</v>
      </c>
      <c r="H136" s="24">
        <v>12</v>
      </c>
      <c r="I136" s="40">
        <f t="shared" si="24"/>
        <v>766.32</v>
      </c>
      <c r="K136" s="10">
        <f t="shared" si="19"/>
        <v>15984.9563</v>
      </c>
      <c r="L136" s="25">
        <f t="shared" si="20"/>
        <v>16027.122376825519</v>
      </c>
      <c r="M136" s="10">
        <f t="shared" si="21"/>
        <v>82441.522376825509</v>
      </c>
    </row>
    <row r="137" spans="1:13" x14ac:dyDescent="0.25">
      <c r="A137">
        <f>+healthpension!K140</f>
        <v>0</v>
      </c>
      <c r="B137">
        <f>+healthpension!L140</f>
        <v>178</v>
      </c>
      <c r="C137" s="40">
        <f>+healthpension!M140</f>
        <v>71.540000000000006</v>
      </c>
      <c r="D137" s="40">
        <f t="shared" si="22"/>
        <v>148803.20000000001</v>
      </c>
      <c r="F137" s="24"/>
      <c r="G137" s="40">
        <f t="shared" si="23"/>
        <v>0</v>
      </c>
      <c r="H137" s="24"/>
      <c r="I137" s="40">
        <f t="shared" si="24"/>
        <v>0</v>
      </c>
      <c r="K137" s="10">
        <f t="shared" si="19"/>
        <v>0</v>
      </c>
      <c r="L137" s="25">
        <f t="shared" si="20"/>
        <v>0</v>
      </c>
      <c r="M137" s="10">
        <f t="shared" si="21"/>
        <v>148803.20000000001</v>
      </c>
    </row>
    <row r="138" spans="1:13" x14ac:dyDescent="0.25">
      <c r="A138">
        <f>+healthpension!K141</f>
        <v>0</v>
      </c>
      <c r="B138">
        <f>+healthpension!L141</f>
        <v>421</v>
      </c>
      <c r="C138" s="40">
        <f>+healthpension!M141</f>
        <v>32.549999999999997</v>
      </c>
      <c r="D138" s="40">
        <f t="shared" si="22"/>
        <v>67704</v>
      </c>
      <c r="F138" s="24"/>
      <c r="G138" s="40">
        <f t="shared" si="23"/>
        <v>0</v>
      </c>
      <c r="H138" s="24"/>
      <c r="I138" s="40">
        <f t="shared" si="24"/>
        <v>0</v>
      </c>
      <c r="K138" s="10">
        <f t="shared" si="19"/>
        <v>0</v>
      </c>
      <c r="L138" s="25">
        <f t="shared" si="20"/>
        <v>0</v>
      </c>
      <c r="M138" s="10">
        <f t="shared" si="21"/>
        <v>67704</v>
      </c>
    </row>
    <row r="139" spans="1:13" x14ac:dyDescent="0.25">
      <c r="A139">
        <f>+healthpension!K142</f>
        <v>0</v>
      </c>
      <c r="B139">
        <f>+healthpension!L142</f>
        <v>612</v>
      </c>
      <c r="C139" s="40">
        <f>+healthpension!M142</f>
        <v>33.25</v>
      </c>
      <c r="D139" s="40">
        <f t="shared" si="22"/>
        <v>69160</v>
      </c>
      <c r="F139" s="24"/>
      <c r="G139" s="40">
        <f t="shared" si="23"/>
        <v>0</v>
      </c>
      <c r="H139" s="24"/>
      <c r="I139" s="40">
        <f t="shared" si="24"/>
        <v>0</v>
      </c>
      <c r="K139" s="10">
        <f t="shared" si="19"/>
        <v>0</v>
      </c>
      <c r="L139" s="25">
        <f t="shared" si="20"/>
        <v>0</v>
      </c>
      <c r="M139" s="10">
        <f t="shared" si="21"/>
        <v>69160</v>
      </c>
    </row>
    <row r="140" spans="1:13" x14ac:dyDescent="0.25">
      <c r="A140">
        <f>+healthpension!K143</f>
        <v>0</v>
      </c>
      <c r="B140">
        <f>+healthpension!L143</f>
        <v>642</v>
      </c>
      <c r="C140" s="40">
        <f>+healthpension!M143</f>
        <v>20.86</v>
      </c>
      <c r="D140" s="40">
        <f t="shared" si="22"/>
        <v>43388.800000000003</v>
      </c>
      <c r="F140" s="24">
        <v>19.25</v>
      </c>
      <c r="G140" s="40">
        <f t="shared" si="23"/>
        <v>602.33000000000004</v>
      </c>
      <c r="H140" s="24"/>
      <c r="I140" s="40">
        <f t="shared" si="24"/>
        <v>0</v>
      </c>
      <c r="K140" s="10">
        <f t="shared" si="19"/>
        <v>602.33249999999998</v>
      </c>
      <c r="L140" s="25">
        <f t="shared" si="20"/>
        <v>603.9213688084501</v>
      </c>
      <c r="M140" s="10">
        <f t="shared" si="21"/>
        <v>43992.721368808452</v>
      </c>
    </row>
    <row r="141" spans="1:13" x14ac:dyDescent="0.25">
      <c r="A141">
        <f>+healthpension!K144</f>
        <v>0</v>
      </c>
      <c r="B141">
        <f>+healthpension!L144</f>
        <v>120</v>
      </c>
      <c r="C141" s="40">
        <f>+healthpension!M144</f>
        <v>26.16</v>
      </c>
      <c r="D141" s="40">
        <f t="shared" si="22"/>
        <v>54412.800000000003</v>
      </c>
      <c r="F141" s="24">
        <v>14.73</v>
      </c>
      <c r="G141" s="40">
        <f t="shared" si="23"/>
        <v>578.01</v>
      </c>
      <c r="H141" s="24"/>
      <c r="I141" s="40">
        <f t="shared" si="24"/>
        <v>0</v>
      </c>
      <c r="K141" s="10">
        <f t="shared" si="19"/>
        <v>578.00519999999995</v>
      </c>
      <c r="L141" s="25">
        <f t="shared" si="20"/>
        <v>579.52989679687198</v>
      </c>
      <c r="M141" s="10">
        <f t="shared" si="21"/>
        <v>54992.329896796873</v>
      </c>
    </row>
    <row r="142" spans="1:13" x14ac:dyDescent="0.25">
      <c r="A142">
        <f>+healthpension!K145</f>
        <v>0</v>
      </c>
      <c r="B142">
        <f>+healthpension!L145</f>
        <v>663</v>
      </c>
      <c r="C142" s="40">
        <f>+healthpension!M145</f>
        <v>21.01</v>
      </c>
      <c r="D142" s="40">
        <f t="shared" si="22"/>
        <v>43700.800000000003</v>
      </c>
      <c r="F142" s="24">
        <v>421.5</v>
      </c>
      <c r="G142" s="40">
        <f t="shared" si="23"/>
        <v>13283.57</v>
      </c>
      <c r="H142" s="24">
        <v>1.5</v>
      </c>
      <c r="I142" s="40">
        <f t="shared" si="24"/>
        <v>63.03</v>
      </c>
      <c r="K142" s="10">
        <f t="shared" si="19"/>
        <v>13346.602500000001</v>
      </c>
      <c r="L142" s="25">
        <f t="shared" si="20"/>
        <v>13381.808968870651</v>
      </c>
      <c r="M142" s="10">
        <f t="shared" si="21"/>
        <v>57082.608968870656</v>
      </c>
    </row>
    <row r="143" spans="1:13" x14ac:dyDescent="0.25">
      <c r="A143">
        <f>+healthpension!K146</f>
        <v>0</v>
      </c>
      <c r="B143">
        <f>+healthpension!L146</f>
        <v>379</v>
      </c>
      <c r="C143" s="40">
        <f>+healthpension!M146</f>
        <v>27.96</v>
      </c>
      <c r="D143" s="40">
        <f t="shared" si="22"/>
        <v>58156.800000000003</v>
      </c>
      <c r="F143" s="24">
        <v>51.5</v>
      </c>
      <c r="G143" s="40">
        <f t="shared" si="23"/>
        <v>2159.91</v>
      </c>
      <c r="H143" s="24"/>
      <c r="I143" s="40">
        <f t="shared" si="24"/>
        <v>0</v>
      </c>
      <c r="K143" s="10">
        <f t="shared" si="19"/>
        <v>2159.91</v>
      </c>
      <c r="L143" s="25">
        <f t="shared" si="20"/>
        <v>2165.6075401926</v>
      </c>
      <c r="M143" s="10">
        <f t="shared" si="21"/>
        <v>60322.407540192602</v>
      </c>
    </row>
    <row r="144" spans="1:13" x14ac:dyDescent="0.25">
      <c r="A144">
        <f>+healthpension!K147</f>
        <v>0</v>
      </c>
      <c r="B144">
        <f>+healthpension!L147</f>
        <v>348</v>
      </c>
      <c r="C144" s="40">
        <f>+healthpension!M147</f>
        <v>33.049999999999997</v>
      </c>
      <c r="D144" s="40">
        <f t="shared" si="22"/>
        <v>68744</v>
      </c>
      <c r="F144" s="24">
        <v>83.16</v>
      </c>
      <c r="G144" s="40">
        <f t="shared" si="23"/>
        <v>4122.66</v>
      </c>
      <c r="H144" s="24"/>
      <c r="I144" s="40">
        <f t="shared" si="24"/>
        <v>0</v>
      </c>
      <c r="K144" s="10">
        <f t="shared" si="19"/>
        <v>4122.6570000000002</v>
      </c>
      <c r="L144" s="25">
        <f t="shared" si="20"/>
        <v>4133.5319919940202</v>
      </c>
      <c r="M144" s="10">
        <f t="shared" si="21"/>
        <v>72877.531991994023</v>
      </c>
    </row>
    <row r="145" spans="1:15" x14ac:dyDescent="0.25">
      <c r="A145">
        <f>+healthpension!K148</f>
        <v>0</v>
      </c>
      <c r="B145">
        <f>+healthpension!L148</f>
        <v>654</v>
      </c>
      <c r="C145" s="40">
        <f>+healthpension!M148</f>
        <v>26.95</v>
      </c>
      <c r="D145" s="40">
        <f t="shared" si="22"/>
        <v>56056</v>
      </c>
      <c r="F145" s="24">
        <v>318</v>
      </c>
      <c r="G145" s="40">
        <f t="shared" si="23"/>
        <v>12855.15</v>
      </c>
      <c r="H145" s="24"/>
      <c r="I145" s="40">
        <f t="shared" si="24"/>
        <v>0</v>
      </c>
      <c r="K145" s="10">
        <f t="shared" si="19"/>
        <v>12855.15</v>
      </c>
      <c r="L145" s="25">
        <f>ROUND($L$156/$K$155,8)*K145</f>
        <v>12889.060085979001</v>
      </c>
      <c r="M145" s="10">
        <f t="shared" si="21"/>
        <v>68945.060085978999</v>
      </c>
    </row>
    <row r="146" spans="1:15" x14ac:dyDescent="0.25">
      <c r="A146">
        <f>+healthpension!K149</f>
        <v>0</v>
      </c>
      <c r="B146">
        <f>+healthpension!L149</f>
        <v>146</v>
      </c>
      <c r="C146" s="40">
        <f>+healthpension!M149</f>
        <v>25.44</v>
      </c>
      <c r="D146" s="40">
        <f t="shared" si="22"/>
        <v>52915.199999999997</v>
      </c>
      <c r="F146" s="24">
        <v>155.5</v>
      </c>
      <c r="G146" s="40">
        <f t="shared" si="23"/>
        <v>5933.88</v>
      </c>
      <c r="H146" s="24"/>
      <c r="I146" s="40">
        <f t="shared" si="24"/>
        <v>0</v>
      </c>
      <c r="K146" s="10">
        <f t="shared" si="19"/>
        <v>5933.88</v>
      </c>
      <c r="L146" s="25">
        <f>ROUND($L$156/$K$155,8)*K146</f>
        <v>5949.5327446968004</v>
      </c>
      <c r="M146" s="10">
        <f t="shared" si="21"/>
        <v>58864.732744696797</v>
      </c>
    </row>
    <row r="147" spans="1:15" x14ac:dyDescent="0.25">
      <c r="A147">
        <f>+healthpension!K150</f>
        <v>0</v>
      </c>
      <c r="B147">
        <f>+healthpension!L150</f>
        <v>580</v>
      </c>
      <c r="C147" s="40">
        <f>+healthpension!M150</f>
        <v>25.92</v>
      </c>
      <c r="D147" s="40">
        <f t="shared" si="22"/>
        <v>53913.599999999999</v>
      </c>
      <c r="F147" s="24">
        <v>54.25</v>
      </c>
      <c r="G147" s="40">
        <f t="shared" si="23"/>
        <v>2109.2399999999998</v>
      </c>
      <c r="H147" s="24"/>
      <c r="I147" s="40">
        <f t="shared" si="24"/>
        <v>0</v>
      </c>
      <c r="K147" s="10">
        <f t="shared" si="19"/>
        <v>2109.2399999999998</v>
      </c>
      <c r="L147" s="25">
        <f t="shared" si="20"/>
        <v>2114.8038798264001</v>
      </c>
      <c r="M147" s="10">
        <f t="shared" si="21"/>
        <v>56028.403879826401</v>
      </c>
    </row>
    <row r="148" spans="1:15" x14ac:dyDescent="0.25">
      <c r="A148">
        <f>+healthpension!K151</f>
        <v>0</v>
      </c>
      <c r="B148">
        <f>+healthpension!L151</f>
        <v>678</v>
      </c>
      <c r="C148" s="40">
        <f>+healthpension!M151</f>
        <v>20.440000000000001</v>
      </c>
      <c r="D148" s="40">
        <f t="shared" si="22"/>
        <v>42515.199999999997</v>
      </c>
      <c r="F148" s="24">
        <v>18.13</v>
      </c>
      <c r="G148" s="40">
        <f t="shared" si="23"/>
        <v>555.87</v>
      </c>
      <c r="H148" s="24"/>
      <c r="I148" s="40">
        <f t="shared" si="24"/>
        <v>0</v>
      </c>
      <c r="K148" s="10">
        <f t="shared" si="19"/>
        <v>555.86580000000004</v>
      </c>
      <c r="L148" s="25">
        <f t="shared" si="20"/>
        <v>557.33209615918804</v>
      </c>
      <c r="M148" s="10">
        <f t="shared" si="21"/>
        <v>43072.532096159186</v>
      </c>
    </row>
    <row r="149" spans="1:15" x14ac:dyDescent="0.25">
      <c r="A149">
        <f>+healthpension!K152</f>
        <v>0</v>
      </c>
      <c r="B149">
        <f>+healthpension!L152</f>
        <v>227</v>
      </c>
      <c r="C149" s="40">
        <f>+healthpension!M152</f>
        <v>33.590000000000003</v>
      </c>
      <c r="D149" s="40">
        <f t="shared" si="22"/>
        <v>69867.199999999997</v>
      </c>
      <c r="F149" s="24">
        <v>24</v>
      </c>
      <c r="G149" s="40">
        <f t="shared" si="23"/>
        <v>1209.24</v>
      </c>
      <c r="H149" s="24"/>
      <c r="I149" s="40">
        <f t="shared" si="24"/>
        <v>0</v>
      </c>
      <c r="K149" s="10">
        <f t="shared" si="19"/>
        <v>1209.24</v>
      </c>
      <c r="L149" s="25">
        <f t="shared" si="20"/>
        <v>1212.4298058264001</v>
      </c>
      <c r="M149" s="10">
        <f t="shared" si="21"/>
        <v>71079.629805826393</v>
      </c>
    </row>
    <row r="150" spans="1:15" x14ac:dyDescent="0.25">
      <c r="A150">
        <f>+healthpension!K153</f>
        <v>0</v>
      </c>
      <c r="B150">
        <f>+healthpension!L153</f>
        <v>662</v>
      </c>
      <c r="C150" s="40">
        <f>+healthpension!M153</f>
        <v>31.92</v>
      </c>
      <c r="D150" s="40">
        <f t="shared" si="22"/>
        <v>66393.600000000006</v>
      </c>
      <c r="F150" s="24">
        <v>293.75</v>
      </c>
      <c r="G150" s="40">
        <f t="shared" si="23"/>
        <v>14064.75</v>
      </c>
      <c r="H150" s="24"/>
      <c r="I150" s="40">
        <f t="shared" si="24"/>
        <v>0</v>
      </c>
      <c r="K150" s="10">
        <f t="shared" si="19"/>
        <v>14064.75</v>
      </c>
      <c r="L150" s="25">
        <f t="shared" si="20"/>
        <v>14101.850841435002</v>
      </c>
      <c r="M150" s="10">
        <f t="shared" si="21"/>
        <v>80495.450841435013</v>
      </c>
    </row>
    <row r="151" spans="1:15" x14ac:dyDescent="0.25">
      <c r="A151">
        <f>+healthpension!K154</f>
        <v>0</v>
      </c>
      <c r="B151">
        <f>+healthpension!L154</f>
        <v>587</v>
      </c>
      <c r="C151" s="40">
        <f>+healthpension!M154</f>
        <v>32.82</v>
      </c>
      <c r="D151" s="40">
        <f t="shared" si="22"/>
        <v>68265.600000000006</v>
      </c>
      <c r="F151" s="24">
        <v>28.95</v>
      </c>
      <c r="G151" s="40">
        <f t="shared" si="23"/>
        <v>1425.21</v>
      </c>
      <c r="H151" s="24"/>
      <c r="I151" s="40">
        <f t="shared" si="24"/>
        <v>0</v>
      </c>
      <c r="K151" s="10">
        <f t="shared" si="19"/>
        <v>1425.2085</v>
      </c>
      <c r="L151" s="25">
        <f t="shared" si="20"/>
        <v>1428.96800049381</v>
      </c>
      <c r="M151" s="10">
        <f t="shared" si="21"/>
        <v>69694.568000493819</v>
      </c>
    </row>
    <row r="152" spans="1:15" x14ac:dyDescent="0.25">
      <c r="A152">
        <f>+healthpension!K155</f>
        <v>0</v>
      </c>
      <c r="B152">
        <f>+healthpension!L155</f>
        <v>680</v>
      </c>
      <c r="C152" s="40">
        <f>+healthpension!M155</f>
        <v>27.5</v>
      </c>
      <c r="D152" s="40">
        <f t="shared" si="22"/>
        <v>57200</v>
      </c>
      <c r="F152" s="24">
        <v>20</v>
      </c>
      <c r="G152" s="40">
        <f t="shared" si="23"/>
        <v>825</v>
      </c>
      <c r="H152" s="24"/>
      <c r="I152" s="40">
        <f t="shared" si="24"/>
        <v>0</v>
      </c>
      <c r="K152" s="10">
        <f t="shared" si="19"/>
        <v>825</v>
      </c>
      <c r="L152" s="25">
        <f t="shared" si="20"/>
        <v>827.17623450000008</v>
      </c>
      <c r="M152" s="10">
        <f t="shared" si="21"/>
        <v>58027.176234500002</v>
      </c>
    </row>
    <row r="153" spans="1:15" x14ac:dyDescent="0.25">
      <c r="B153" s="1"/>
      <c r="C153" s="3"/>
      <c r="D153" s="2"/>
      <c r="F153" s="24"/>
      <c r="G153" s="24"/>
      <c r="H153" s="24"/>
      <c r="I153" s="24"/>
      <c r="K153" s="10"/>
      <c r="L153" s="25"/>
      <c r="M153" s="10"/>
    </row>
    <row r="154" spans="1:15" x14ac:dyDescent="0.25">
      <c r="B154" s="1"/>
      <c r="C154" s="3"/>
      <c r="D154" s="2"/>
      <c r="F154" s="24"/>
      <c r="G154" s="24"/>
      <c r="H154" s="24"/>
      <c r="I154" s="24"/>
      <c r="K154" s="10"/>
      <c r="L154" s="25"/>
      <c r="M154" s="10"/>
    </row>
    <row r="155" spans="1:15" ht="13.8" thickBot="1" x14ac:dyDescent="0.3">
      <c r="A155" s="8">
        <f>COUNTA(A3:A154)</f>
        <v>150</v>
      </c>
      <c r="B155" s="8"/>
      <c r="C155" s="5">
        <f t="shared" ref="C155:M155" si="25">SUM(C3:C154)</f>
        <v>5055.4400000000005</v>
      </c>
      <c r="D155" s="15">
        <f>SUM(D3:D154)</f>
        <v>10515315.200000001</v>
      </c>
      <c r="F155" s="17">
        <f>SUM(F3:F154)</f>
        <v>21292.03</v>
      </c>
      <c r="G155" s="15">
        <f>SUM(G3:G154)</f>
        <v>1002591.9200000003</v>
      </c>
      <c r="H155" s="17">
        <f t="shared" si="25"/>
        <v>68</v>
      </c>
      <c r="I155" s="15">
        <f>SUM(I3:I154)</f>
        <v>4294.17</v>
      </c>
      <c r="K155" s="15">
        <f t="shared" si="25"/>
        <v>1006885.9746</v>
      </c>
      <c r="L155" s="63">
        <f t="shared" si="25"/>
        <v>1009541.9988369588</v>
      </c>
      <c r="M155" s="15">
        <f t="shared" si="25"/>
        <v>11524857.198836956</v>
      </c>
    </row>
    <row r="156" spans="1:15" ht="13.8" thickTop="1" x14ac:dyDescent="0.25">
      <c r="A156" s="7"/>
      <c r="B156" s="8"/>
      <c r="C156" s="1" t="s">
        <v>153</v>
      </c>
      <c r="D156" s="251"/>
      <c r="F156" s="21"/>
      <c r="G156" s="21"/>
      <c r="I156" s="21"/>
      <c r="K156" s="105" t="s">
        <v>232</v>
      </c>
      <c r="L156" s="335">
        <f>'labor adj'!J16</f>
        <v>1009542</v>
      </c>
    </row>
    <row r="157" spans="1:15" x14ac:dyDescent="0.25">
      <c r="A157" s="7"/>
      <c r="B157" s="8"/>
      <c r="D157" s="13"/>
      <c r="H157" s="8"/>
      <c r="L157" s="10">
        <f>+L155-L156</f>
        <v>-1.1630412191152573E-3</v>
      </c>
    </row>
    <row r="158" spans="1:15" x14ac:dyDescent="0.25">
      <c r="B158" s="1"/>
      <c r="C158" s="253" t="s">
        <v>20</v>
      </c>
      <c r="D158" s="38">
        <f>D155+D156</f>
        <v>10515315.200000001</v>
      </c>
      <c r="G158" s="10">
        <f>+G155</f>
        <v>1002591.9200000003</v>
      </c>
      <c r="H158" s="4"/>
      <c r="I158" s="10">
        <f>+I155</f>
        <v>4294.17</v>
      </c>
      <c r="K158" s="1"/>
      <c r="L158" s="13"/>
      <c r="N158" s="106"/>
    </row>
    <row r="159" spans="1:15" x14ac:dyDescent="0.25">
      <c r="A159" s="3"/>
      <c r="C159" s="254" t="s">
        <v>306</v>
      </c>
      <c r="D159" s="78">
        <f>+A155*2080</f>
        <v>312000</v>
      </c>
      <c r="G159" s="261">
        <f>+F155</f>
        <v>21292.03</v>
      </c>
      <c r="I159" s="261">
        <f>+H155</f>
        <v>68</v>
      </c>
      <c r="L159" s="13"/>
      <c r="M159" s="40">
        <v>0</v>
      </c>
      <c r="N159" s="254" t="s">
        <v>154</v>
      </c>
    </row>
    <row r="160" spans="1:15" x14ac:dyDescent="0.25">
      <c r="A160" s="3"/>
      <c r="C160" s="33"/>
      <c r="F160" s="2"/>
      <c r="G160" s="2"/>
      <c r="I160" s="2"/>
      <c r="M160" s="33">
        <f>parttime!H13</f>
        <v>1649.375</v>
      </c>
      <c r="N160" s="255" t="s">
        <v>234</v>
      </c>
      <c r="O160" s="10"/>
    </row>
    <row r="161" spans="1:17" x14ac:dyDescent="0.25">
      <c r="A161" s="1"/>
      <c r="C161" s="3"/>
      <c r="D161" s="3"/>
      <c r="F161" s="2"/>
      <c r="G161" s="2"/>
      <c r="H161" s="18"/>
      <c r="I161" s="2"/>
      <c r="M161" s="45">
        <f>D156</f>
        <v>0</v>
      </c>
      <c r="N161" s="256" t="s">
        <v>153</v>
      </c>
    </row>
    <row r="162" spans="1:17" x14ac:dyDescent="0.25">
      <c r="A162" s="262" t="s">
        <v>312</v>
      </c>
      <c r="B162" s="107"/>
      <c r="C162" s="263" t="s">
        <v>29</v>
      </c>
      <c r="D162" s="108">
        <f>ROUND(D158/D159,2)</f>
        <v>33.700000000000003</v>
      </c>
      <c r="F162" s="264" t="s">
        <v>233</v>
      </c>
      <c r="G162" s="108">
        <f>ROUND(G158/G159,2)</f>
        <v>47.09</v>
      </c>
      <c r="H162" s="265" t="s">
        <v>314</v>
      </c>
      <c r="I162" s="108">
        <f>ROUND(I158/I159,2)</f>
        <v>63.15</v>
      </c>
      <c r="L162" s="52"/>
      <c r="M162" s="10">
        <f>SUM(M155:M161)</f>
        <v>11526506.573836956</v>
      </c>
      <c r="N162" s="255" t="s">
        <v>263</v>
      </c>
    </row>
    <row r="163" spans="1:17" x14ac:dyDescent="0.25">
      <c r="B163" s="1"/>
      <c r="P163" s="10"/>
      <c r="Q163" s="10"/>
    </row>
    <row r="164" spans="1:17" x14ac:dyDescent="0.25">
      <c r="B164" s="1"/>
    </row>
    <row r="167" spans="1:17" x14ac:dyDescent="0.25">
      <c r="A167" s="223"/>
      <c r="B167" s="1"/>
      <c r="F167">
        <v>2.5</v>
      </c>
    </row>
    <row r="168" spans="1:17" x14ac:dyDescent="0.25">
      <c r="A168" s="223"/>
      <c r="B168" s="1"/>
      <c r="F168">
        <v>2.5499999999999998</v>
      </c>
      <c r="H168" s="16"/>
    </row>
    <row r="169" spans="1:17" x14ac:dyDescent="0.25">
      <c r="A169" s="220"/>
      <c r="B169" s="1"/>
      <c r="F169">
        <v>32.83</v>
      </c>
    </row>
    <row r="170" spans="1:17" x14ac:dyDescent="0.25">
      <c r="A170" s="220"/>
      <c r="F170">
        <v>2.5</v>
      </c>
    </row>
    <row r="171" spans="1:17" x14ac:dyDescent="0.25">
      <c r="A171" s="220"/>
      <c r="F171">
        <v>9</v>
      </c>
    </row>
    <row r="172" spans="1:17" x14ac:dyDescent="0.25">
      <c r="A172" s="220"/>
      <c r="F172">
        <v>0.33</v>
      </c>
    </row>
    <row r="173" spans="1:17" x14ac:dyDescent="0.25">
      <c r="A173" s="220"/>
      <c r="F173">
        <v>14.83</v>
      </c>
    </row>
    <row r="174" spans="1:17" x14ac:dyDescent="0.25">
      <c r="A174" s="220"/>
      <c r="F174">
        <v>82</v>
      </c>
    </row>
    <row r="175" spans="1:17" x14ac:dyDescent="0.25">
      <c r="F175" s="252">
        <f>SUM(F167:F174)+F155</f>
        <v>21438.57</v>
      </c>
      <c r="G175" s="252"/>
      <c r="H175" s="252">
        <f>+H155</f>
        <v>68</v>
      </c>
      <c r="I175" s="252"/>
    </row>
  </sheetData>
  <phoneticPr fontId="0" type="noConversion"/>
  <pageMargins left="0.75" right="0.75" top="0.34" bottom="0.36" header="0.34" footer="0.33"/>
  <pageSetup paperSize="5" scale="8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workbookViewId="0">
      <selection activeCell="A7" sqref="A7"/>
    </sheetView>
  </sheetViews>
  <sheetFormatPr defaultRowHeight="13.2" x14ac:dyDescent="0.25"/>
  <cols>
    <col min="1" max="1" width="21.44140625" bestFit="1" customWidth="1"/>
    <col min="2" max="2" width="4" bestFit="1" customWidth="1"/>
    <col min="3" max="3" width="8.6640625" bestFit="1" customWidth="1"/>
    <col min="5" max="5" width="11.44140625" customWidth="1"/>
    <col min="6" max="6" width="8.44140625" bestFit="1" customWidth="1"/>
    <col min="7" max="7" width="9.6640625" bestFit="1" customWidth="1"/>
    <col min="8" max="8" width="11.44140625" customWidth="1"/>
    <col min="9" max="9" width="9.88671875" bestFit="1" customWidth="1"/>
    <col min="10" max="10" width="9.88671875" customWidth="1"/>
    <col min="11" max="11" width="9.88671875" bestFit="1" customWidth="1"/>
  </cols>
  <sheetData>
    <row r="1" spans="1:11" x14ac:dyDescent="0.25">
      <c r="A1" s="1" t="s">
        <v>2</v>
      </c>
      <c r="E1" t="s">
        <v>118</v>
      </c>
    </row>
    <row r="2" spans="1:11" x14ac:dyDescent="0.25">
      <c r="A2" s="1" t="s">
        <v>3</v>
      </c>
    </row>
    <row r="3" spans="1:11" x14ac:dyDescent="0.25">
      <c r="A3" s="1" t="s">
        <v>74</v>
      </c>
    </row>
    <row r="4" spans="1:11" x14ac:dyDescent="0.25">
      <c r="A4" s="20">
        <v>42185</v>
      </c>
      <c r="C4" s="1" t="s">
        <v>148</v>
      </c>
      <c r="E4" s="1" t="s">
        <v>146</v>
      </c>
      <c r="F4" s="52" t="s">
        <v>17</v>
      </c>
      <c r="H4" t="s">
        <v>17</v>
      </c>
      <c r="I4" s="8" t="s">
        <v>36</v>
      </c>
      <c r="J4" s="8" t="s">
        <v>36</v>
      </c>
      <c r="K4" s="8" t="s">
        <v>36</v>
      </c>
    </row>
    <row r="5" spans="1:11" x14ac:dyDescent="0.25">
      <c r="A5" s="23" t="s">
        <v>4</v>
      </c>
      <c r="B5" s="23" t="s">
        <v>5</v>
      </c>
      <c r="C5" s="23" t="s">
        <v>149</v>
      </c>
      <c r="D5" s="23" t="s">
        <v>150</v>
      </c>
      <c r="E5" s="23" t="s">
        <v>6</v>
      </c>
      <c r="F5" s="56" t="s">
        <v>151</v>
      </c>
      <c r="G5" s="23" t="s">
        <v>235</v>
      </c>
      <c r="H5" s="23" t="s">
        <v>6</v>
      </c>
      <c r="I5" s="23">
        <v>8810</v>
      </c>
      <c r="J5" s="23">
        <v>8742</v>
      </c>
      <c r="K5" s="23">
        <v>7540</v>
      </c>
    </row>
    <row r="6" spans="1:11" x14ac:dyDescent="0.25">
      <c r="E6" s="2"/>
      <c r="F6" s="33"/>
      <c r="G6" s="33"/>
      <c r="H6" s="2"/>
      <c r="I6" s="2"/>
      <c r="J6" s="2"/>
      <c r="K6" s="2"/>
    </row>
    <row r="7" spans="1:11" x14ac:dyDescent="0.25">
      <c r="A7" s="1"/>
      <c r="B7" s="1">
        <v>999</v>
      </c>
      <c r="C7" s="139">
        <v>227.5</v>
      </c>
      <c r="D7">
        <v>0</v>
      </c>
      <c r="E7" s="2">
        <v>1649.4</v>
      </c>
      <c r="F7" s="174">
        <v>227.5</v>
      </c>
      <c r="G7" s="33"/>
      <c r="H7" s="2">
        <f>F7*7.25</f>
        <v>1649.375</v>
      </c>
      <c r="K7" s="2">
        <f>+H7</f>
        <v>1649.375</v>
      </c>
    </row>
    <row r="8" spans="1:11" x14ac:dyDescent="0.25">
      <c r="E8" s="2"/>
      <c r="F8" s="36"/>
      <c r="G8" s="33"/>
      <c r="H8" s="2">
        <f>F8*8</f>
        <v>0</v>
      </c>
      <c r="I8" s="2"/>
      <c r="J8" s="2"/>
      <c r="K8" s="2"/>
    </row>
    <row r="9" spans="1:11" x14ac:dyDescent="0.25">
      <c r="E9" s="2"/>
      <c r="F9" s="36"/>
      <c r="G9" s="33"/>
      <c r="H9" s="2">
        <f>F9*8</f>
        <v>0</v>
      </c>
      <c r="I9" s="2"/>
      <c r="J9" s="2"/>
      <c r="K9" s="2"/>
    </row>
    <row r="10" spans="1:11" x14ac:dyDescent="0.25">
      <c r="E10" s="2"/>
      <c r="F10" s="36"/>
      <c r="G10" s="33"/>
      <c r="H10" s="2">
        <f>F10*8</f>
        <v>0</v>
      </c>
      <c r="I10" s="2"/>
      <c r="J10" s="2"/>
      <c r="K10" s="2"/>
    </row>
    <row r="11" spans="1:11" ht="13.8" thickBot="1" x14ac:dyDescent="0.3">
      <c r="A11" s="1">
        <f>+COUNTA(A7:A10)</f>
        <v>0</v>
      </c>
      <c r="C11" s="49">
        <f t="shared" ref="C11:K11" si="0">SUM(C6:C10)</f>
        <v>227.5</v>
      </c>
      <c r="D11" s="50">
        <f t="shared" si="0"/>
        <v>0</v>
      </c>
      <c r="E11" s="6">
        <f t="shared" si="0"/>
        <v>1649.4</v>
      </c>
      <c r="F11" s="50">
        <f t="shared" si="0"/>
        <v>227.5</v>
      </c>
      <c r="G11" s="51">
        <f t="shared" si="0"/>
        <v>0</v>
      </c>
      <c r="H11" s="6">
        <f t="shared" si="0"/>
        <v>1649.375</v>
      </c>
      <c r="I11" s="6">
        <f t="shared" si="0"/>
        <v>0</v>
      </c>
      <c r="J11" s="6">
        <f t="shared" si="0"/>
        <v>0</v>
      </c>
      <c r="K11" s="6">
        <f t="shared" si="0"/>
        <v>1649.375</v>
      </c>
    </row>
    <row r="12" spans="1:11" ht="13.8" thickTop="1" x14ac:dyDescent="0.25">
      <c r="E12" s="2"/>
      <c r="F12" s="2"/>
      <c r="G12" s="2" t="s">
        <v>153</v>
      </c>
      <c r="H12" s="2"/>
      <c r="I12" s="2"/>
      <c r="J12" s="2"/>
      <c r="K12" s="2">
        <f>+H12</f>
        <v>0</v>
      </c>
    </row>
    <row r="13" spans="1:11" x14ac:dyDescent="0.25">
      <c r="E13" s="2"/>
      <c r="F13" s="2"/>
      <c r="G13" s="2"/>
      <c r="H13" s="2">
        <f>SUM(H11:H12)</f>
        <v>1649.375</v>
      </c>
      <c r="I13" s="2">
        <f>SUM(I11:I12)</f>
        <v>0</v>
      </c>
      <c r="J13" s="2">
        <f>SUM(J11:J12)</f>
        <v>0</v>
      </c>
      <c r="K13" s="2">
        <f>SUM(K11:K12)</f>
        <v>1649.375</v>
      </c>
    </row>
    <row r="14" spans="1:11" x14ac:dyDescent="0.25">
      <c r="E14" s="2"/>
      <c r="F14" s="2"/>
      <c r="G14" s="2" t="s">
        <v>152</v>
      </c>
      <c r="H14" s="2">
        <f>ROUND(H11/F11,2)</f>
        <v>7.25</v>
      </c>
      <c r="K14" s="2"/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80"/>
  <sheetViews>
    <sheetView workbookViewId="0">
      <pane xSplit="2" ySplit="2" topLeftCell="C156" activePane="bottomRight" state="frozen"/>
      <selection pane="topRight" activeCell="C1" sqref="C1"/>
      <selection pane="bottomLeft" activeCell="A3" sqref="A3"/>
      <selection pane="bottomRight" activeCell="A3" sqref="A3:A161"/>
    </sheetView>
  </sheetViews>
  <sheetFormatPr defaultColWidth="9.109375" defaultRowHeight="13.2" x14ac:dyDescent="0.25"/>
  <cols>
    <col min="1" max="1" width="23.88671875" style="223" bestFit="1" customWidth="1"/>
    <col min="2" max="2" width="4.33203125" style="223" bestFit="1" customWidth="1"/>
    <col min="3" max="3" width="11" style="223" customWidth="1"/>
    <col min="4" max="5" width="9.33203125" style="223" bestFit="1" customWidth="1"/>
    <col min="6" max="6" width="10.33203125" style="39" bestFit="1" customWidth="1"/>
    <col min="7" max="7" width="11.6640625" style="289" customWidth="1"/>
    <col min="8" max="8" width="9.109375" style="223"/>
    <col min="9" max="10" width="10.6640625" style="223" bestFit="1" customWidth="1"/>
    <col min="11" max="11" width="13" style="223" customWidth="1"/>
    <col min="12" max="12" width="13.33203125" style="223" bestFit="1" customWidth="1"/>
    <col min="13" max="13" width="49.5546875" style="223" bestFit="1" customWidth="1"/>
    <col min="14" max="15" width="9.44140625" style="223" bestFit="1" customWidth="1"/>
    <col min="16" max="16384" width="9.109375" style="223"/>
  </cols>
  <sheetData>
    <row r="1" spans="1:16" s="189" customFormat="1" ht="15.6" x14ac:dyDescent="0.3">
      <c r="C1" s="187" t="s">
        <v>447</v>
      </c>
      <c r="D1" s="187"/>
      <c r="E1" s="187"/>
      <c r="F1" s="187"/>
      <c r="G1" s="322"/>
      <c r="I1" s="323" t="s">
        <v>446</v>
      </c>
      <c r="J1" s="323"/>
      <c r="K1" s="323"/>
      <c r="L1" s="323"/>
      <c r="M1" s="324"/>
      <c r="N1" s="324"/>
      <c r="O1" s="324"/>
      <c r="P1" s="324"/>
    </row>
    <row r="2" spans="1:16" s="321" customFormat="1" ht="26.4" x14ac:dyDescent="0.25">
      <c r="A2" s="316"/>
      <c r="B2" s="316"/>
      <c r="C2" s="317" t="s">
        <v>225</v>
      </c>
      <c r="D2" s="317" t="s">
        <v>428</v>
      </c>
      <c r="E2" s="317" t="s">
        <v>429</v>
      </c>
      <c r="F2" s="318" t="s">
        <v>445</v>
      </c>
      <c r="G2" s="319" t="s">
        <v>224</v>
      </c>
      <c r="H2" s="316"/>
      <c r="I2" s="293" t="s">
        <v>437</v>
      </c>
      <c r="J2" s="293" t="s">
        <v>438</v>
      </c>
      <c r="K2" s="293" t="s">
        <v>439</v>
      </c>
      <c r="L2" s="293" t="s">
        <v>440</v>
      </c>
      <c r="M2" s="320"/>
      <c r="N2" s="320"/>
      <c r="O2" s="320"/>
      <c r="P2" s="320"/>
    </row>
    <row r="3" spans="1:16" x14ac:dyDescent="0.25">
      <c r="B3" s="223">
        <v>120</v>
      </c>
      <c r="C3" s="290"/>
      <c r="D3" s="290"/>
      <c r="E3" s="290">
        <v>60</v>
      </c>
      <c r="F3" s="100">
        <f>SUM(C3:E3)</f>
        <v>60</v>
      </c>
      <c r="G3" s="289">
        <v>903</v>
      </c>
      <c r="I3" s="294">
        <v>0</v>
      </c>
      <c r="J3" s="295">
        <v>35.1</v>
      </c>
      <c r="K3" s="294">
        <v>0</v>
      </c>
      <c r="L3" s="294">
        <f>SUM(I3:K3)</f>
        <v>35.1</v>
      </c>
      <c r="M3" s="292"/>
      <c r="N3" s="292"/>
      <c r="O3" s="292"/>
      <c r="P3" s="292"/>
    </row>
    <row r="4" spans="1:16" x14ac:dyDescent="0.25">
      <c r="B4" s="223">
        <v>128</v>
      </c>
      <c r="C4" s="290">
        <v>330</v>
      </c>
      <c r="D4" s="290">
        <v>250</v>
      </c>
      <c r="E4" s="290"/>
      <c r="F4" s="100">
        <f t="shared" ref="F4:F67" si="0">SUM(C4:E4)</f>
        <v>580</v>
      </c>
      <c r="G4" s="289">
        <v>903</v>
      </c>
      <c r="I4" s="294">
        <v>0</v>
      </c>
      <c r="J4" s="296">
        <v>0.62</v>
      </c>
      <c r="K4" s="294">
        <v>0</v>
      </c>
      <c r="L4" s="294">
        <f t="shared" ref="L4:L67" si="1">SUM(I4:K4)</f>
        <v>0.62</v>
      </c>
      <c r="M4" s="292"/>
      <c r="N4" s="292"/>
      <c r="O4" s="292"/>
      <c r="P4" s="292"/>
    </row>
    <row r="5" spans="1:16" x14ac:dyDescent="0.25">
      <c r="B5" s="223">
        <v>129</v>
      </c>
      <c r="C5" s="290"/>
      <c r="D5" s="290">
        <v>250</v>
      </c>
      <c r="E5" s="290">
        <v>50</v>
      </c>
      <c r="F5" s="100">
        <f t="shared" si="0"/>
        <v>300</v>
      </c>
      <c r="G5" s="289">
        <v>921</v>
      </c>
      <c r="I5" s="294">
        <v>0</v>
      </c>
      <c r="J5" s="295">
        <v>19.88</v>
      </c>
      <c r="K5" s="294">
        <v>0</v>
      </c>
      <c r="L5" s="294">
        <f t="shared" si="1"/>
        <v>19.88</v>
      </c>
      <c r="M5" s="292"/>
      <c r="N5" s="292"/>
      <c r="O5" s="292"/>
      <c r="P5" s="292"/>
    </row>
    <row r="6" spans="1:16" x14ac:dyDescent="0.25">
      <c r="B6" s="223">
        <v>146</v>
      </c>
      <c r="C6" s="290"/>
      <c r="D6" s="290"/>
      <c r="E6" s="290">
        <v>50</v>
      </c>
      <c r="F6" s="100">
        <f t="shared" si="0"/>
        <v>50</v>
      </c>
      <c r="G6" s="289">
        <v>163</v>
      </c>
      <c r="I6" s="294">
        <v>0</v>
      </c>
      <c r="J6" s="297">
        <v>19.87</v>
      </c>
      <c r="K6" s="294">
        <v>0</v>
      </c>
      <c r="L6" s="294">
        <f t="shared" si="1"/>
        <v>19.87</v>
      </c>
      <c r="M6" s="292"/>
      <c r="N6" s="292"/>
      <c r="O6" s="292"/>
      <c r="P6" s="292"/>
    </row>
    <row r="7" spans="1:16" x14ac:dyDescent="0.25">
      <c r="B7" s="223">
        <v>156</v>
      </c>
      <c r="C7" s="290"/>
      <c r="D7" s="290"/>
      <c r="E7" s="290"/>
      <c r="F7" s="100">
        <f t="shared" si="0"/>
        <v>0</v>
      </c>
      <c r="I7" s="294"/>
      <c r="J7" s="297"/>
      <c r="K7" s="294"/>
      <c r="L7" s="294">
        <f t="shared" si="1"/>
        <v>0</v>
      </c>
      <c r="M7" s="292"/>
      <c r="N7" s="292"/>
      <c r="O7" s="292"/>
      <c r="P7" s="292"/>
    </row>
    <row r="8" spans="1:16" x14ac:dyDescent="0.25">
      <c r="B8" s="223">
        <v>160</v>
      </c>
      <c r="C8" s="290"/>
      <c r="D8" s="290"/>
      <c r="E8" s="290"/>
      <c r="F8" s="100">
        <f t="shared" si="0"/>
        <v>0</v>
      </c>
      <c r="I8" s="294"/>
      <c r="J8" s="297"/>
      <c r="K8" s="294"/>
      <c r="L8" s="294">
        <f t="shared" si="1"/>
        <v>0</v>
      </c>
      <c r="M8" s="292"/>
      <c r="N8" s="292"/>
      <c r="O8" s="292"/>
      <c r="P8" s="292"/>
    </row>
    <row r="9" spans="1:16" x14ac:dyDescent="0.25">
      <c r="B9" s="223">
        <v>178</v>
      </c>
      <c r="C9" s="290"/>
      <c r="D9" s="290"/>
      <c r="E9" s="290"/>
      <c r="F9" s="100">
        <f t="shared" si="0"/>
        <v>0</v>
      </c>
      <c r="I9" s="294"/>
      <c r="J9" s="297"/>
      <c r="K9" s="294"/>
      <c r="L9" s="294">
        <f t="shared" si="1"/>
        <v>0</v>
      </c>
      <c r="M9" s="292"/>
      <c r="N9" s="292"/>
      <c r="O9" s="292"/>
      <c r="P9" s="292"/>
    </row>
    <row r="10" spans="1:16" x14ac:dyDescent="0.25">
      <c r="B10" s="223">
        <v>179</v>
      </c>
      <c r="C10" s="290">
        <v>1000</v>
      </c>
      <c r="D10" s="290"/>
      <c r="E10" s="290"/>
      <c r="F10" s="100">
        <f t="shared" si="0"/>
        <v>1000</v>
      </c>
      <c r="G10" s="289">
        <v>163</v>
      </c>
      <c r="I10" s="294"/>
      <c r="J10" s="297"/>
      <c r="K10" s="294"/>
      <c r="L10" s="294">
        <f t="shared" si="1"/>
        <v>0</v>
      </c>
      <c r="M10" s="292"/>
      <c r="N10" s="292"/>
      <c r="O10" s="292"/>
      <c r="P10" s="292"/>
    </row>
    <row r="11" spans="1:16" x14ac:dyDescent="0.25">
      <c r="B11" s="223">
        <v>180</v>
      </c>
      <c r="C11" s="290"/>
      <c r="D11" s="290"/>
      <c r="E11" s="290"/>
      <c r="F11" s="100">
        <f t="shared" si="0"/>
        <v>0</v>
      </c>
      <c r="I11" s="294"/>
      <c r="J11" s="297"/>
      <c r="K11" s="294"/>
      <c r="L11" s="294">
        <f t="shared" si="1"/>
        <v>0</v>
      </c>
      <c r="M11" s="292"/>
      <c r="N11" s="292"/>
      <c r="O11" s="292"/>
      <c r="P11" s="292"/>
    </row>
    <row r="12" spans="1:16" x14ac:dyDescent="0.25">
      <c r="B12" s="223">
        <v>185</v>
      </c>
      <c r="C12" s="290"/>
      <c r="D12" s="290"/>
      <c r="E12" s="290"/>
      <c r="F12" s="100">
        <f t="shared" si="0"/>
        <v>0</v>
      </c>
      <c r="I12" s="294">
        <v>0</v>
      </c>
      <c r="J12" s="294">
        <v>0</v>
      </c>
      <c r="K12" s="294">
        <v>603.66</v>
      </c>
      <c r="L12" s="294">
        <f t="shared" si="1"/>
        <v>603.66</v>
      </c>
      <c r="M12" s="292"/>
      <c r="N12" s="292"/>
      <c r="O12" s="292"/>
      <c r="P12" s="292"/>
    </row>
    <row r="13" spans="1:16" x14ac:dyDescent="0.25">
      <c r="B13" s="223">
        <v>189</v>
      </c>
      <c r="C13" s="290"/>
      <c r="D13" s="290"/>
      <c r="E13" s="290"/>
      <c r="F13" s="100">
        <f t="shared" si="0"/>
        <v>0</v>
      </c>
      <c r="I13" s="294">
        <v>0</v>
      </c>
      <c r="J13" s="294">
        <v>0</v>
      </c>
      <c r="K13" s="294">
        <v>383.25</v>
      </c>
      <c r="L13" s="294">
        <f t="shared" si="1"/>
        <v>383.25</v>
      </c>
      <c r="M13" s="292"/>
      <c r="N13" s="292"/>
      <c r="O13" s="292"/>
      <c r="P13" s="292"/>
    </row>
    <row r="14" spans="1:16" x14ac:dyDescent="0.25">
      <c r="B14" s="223">
        <v>199</v>
      </c>
      <c r="C14" s="290"/>
      <c r="D14" s="290"/>
      <c r="E14" s="290">
        <v>50</v>
      </c>
      <c r="F14" s="100">
        <f t="shared" si="0"/>
        <v>50</v>
      </c>
      <c r="G14" s="289">
        <v>903</v>
      </c>
      <c r="I14" s="294">
        <v>0</v>
      </c>
      <c r="J14" s="295">
        <v>28.18</v>
      </c>
      <c r="K14" s="294">
        <v>0</v>
      </c>
      <c r="L14" s="294">
        <f t="shared" si="1"/>
        <v>28.18</v>
      </c>
      <c r="M14" s="292"/>
      <c r="N14" s="292"/>
      <c r="O14" s="292"/>
      <c r="P14" s="292"/>
    </row>
    <row r="15" spans="1:16" x14ac:dyDescent="0.25">
      <c r="B15" s="223">
        <v>201</v>
      </c>
      <c r="C15" s="290"/>
      <c r="D15" s="290"/>
      <c r="E15" s="290"/>
      <c r="F15" s="100">
        <f t="shared" si="0"/>
        <v>0</v>
      </c>
      <c r="I15" s="294"/>
      <c r="J15" s="295"/>
      <c r="K15" s="294"/>
      <c r="L15" s="294">
        <f t="shared" si="1"/>
        <v>0</v>
      </c>
      <c r="M15" s="292"/>
      <c r="N15" s="292"/>
      <c r="O15" s="292"/>
      <c r="P15" s="292"/>
    </row>
    <row r="16" spans="1:16" x14ac:dyDescent="0.25">
      <c r="B16" s="223">
        <v>202</v>
      </c>
      <c r="C16" s="290"/>
      <c r="D16" s="290"/>
      <c r="E16" s="290">
        <v>50</v>
      </c>
      <c r="F16" s="100">
        <f t="shared" si="0"/>
        <v>50</v>
      </c>
      <c r="G16" s="289">
        <v>903</v>
      </c>
      <c r="I16" s="294">
        <v>0</v>
      </c>
      <c r="J16" s="295">
        <v>30.69</v>
      </c>
      <c r="K16" s="294">
        <v>0</v>
      </c>
      <c r="L16" s="294">
        <f t="shared" si="1"/>
        <v>30.69</v>
      </c>
      <c r="M16" s="292"/>
      <c r="N16" s="292"/>
      <c r="O16" s="292"/>
      <c r="P16" s="292"/>
    </row>
    <row r="17" spans="2:16" x14ac:dyDescent="0.25">
      <c r="B17" s="223">
        <v>205</v>
      </c>
      <c r="C17" s="290"/>
      <c r="D17" s="290"/>
      <c r="E17" s="290"/>
      <c r="F17" s="100">
        <f t="shared" si="0"/>
        <v>0</v>
      </c>
      <c r="I17" s="294"/>
      <c r="J17" s="295"/>
      <c r="K17" s="294"/>
      <c r="L17" s="294">
        <f t="shared" si="1"/>
        <v>0</v>
      </c>
      <c r="M17" s="292"/>
      <c r="N17" s="292"/>
      <c r="O17" s="292"/>
      <c r="P17" s="292"/>
    </row>
    <row r="18" spans="2:16" x14ac:dyDescent="0.25">
      <c r="B18" s="223">
        <v>207</v>
      </c>
      <c r="C18" s="290"/>
      <c r="D18" s="290"/>
      <c r="E18" s="290"/>
      <c r="F18" s="100">
        <f t="shared" si="0"/>
        <v>0</v>
      </c>
      <c r="I18" s="294"/>
      <c r="J18" s="295"/>
      <c r="K18" s="294"/>
      <c r="L18" s="294">
        <f t="shared" si="1"/>
        <v>0</v>
      </c>
      <c r="M18" s="292"/>
      <c r="N18" s="292"/>
      <c r="O18" s="292"/>
      <c r="P18" s="292"/>
    </row>
    <row r="19" spans="2:16" x14ac:dyDescent="0.25">
      <c r="B19" s="223">
        <v>208</v>
      </c>
      <c r="C19" s="290"/>
      <c r="D19" s="290"/>
      <c r="E19" s="290">
        <v>260</v>
      </c>
      <c r="F19" s="100">
        <f t="shared" si="0"/>
        <v>260</v>
      </c>
      <c r="G19" s="289">
        <v>903</v>
      </c>
      <c r="I19" s="294">
        <v>0</v>
      </c>
      <c r="J19" s="295">
        <v>144.31</v>
      </c>
      <c r="K19" s="294">
        <v>0</v>
      </c>
      <c r="L19" s="294">
        <f t="shared" si="1"/>
        <v>144.31</v>
      </c>
      <c r="M19" s="292"/>
      <c r="N19" s="292"/>
      <c r="O19" s="292"/>
      <c r="P19" s="292"/>
    </row>
    <row r="20" spans="2:16" x14ac:dyDescent="0.25">
      <c r="B20" s="223">
        <v>213</v>
      </c>
      <c r="C20" s="290"/>
      <c r="D20" s="290"/>
      <c r="E20" s="290"/>
      <c r="F20" s="100">
        <f t="shared" si="0"/>
        <v>0</v>
      </c>
      <c r="I20" s="294"/>
      <c r="J20" s="295"/>
      <c r="K20" s="294"/>
      <c r="L20" s="294">
        <f t="shared" si="1"/>
        <v>0</v>
      </c>
      <c r="M20" s="292"/>
      <c r="N20" s="292"/>
      <c r="O20" s="292"/>
      <c r="P20" s="292"/>
    </row>
    <row r="21" spans="2:16" x14ac:dyDescent="0.25">
      <c r="B21" s="223">
        <v>214</v>
      </c>
      <c r="C21" s="290"/>
      <c r="D21" s="290"/>
      <c r="E21" s="290"/>
      <c r="F21" s="100">
        <f t="shared" si="0"/>
        <v>0</v>
      </c>
      <c r="I21" s="294"/>
      <c r="J21" s="295"/>
      <c r="K21" s="294"/>
      <c r="L21" s="294">
        <f t="shared" si="1"/>
        <v>0</v>
      </c>
      <c r="M21" s="292"/>
      <c r="N21" s="292"/>
      <c r="O21" s="292"/>
      <c r="P21" s="292"/>
    </row>
    <row r="22" spans="2:16" x14ac:dyDescent="0.25">
      <c r="B22" s="223">
        <v>215</v>
      </c>
      <c r="C22" s="290"/>
      <c r="D22" s="290"/>
      <c r="E22" s="290"/>
      <c r="F22" s="100">
        <f t="shared" si="0"/>
        <v>0</v>
      </c>
      <c r="I22" s="294"/>
      <c r="J22" s="295"/>
      <c r="K22" s="294"/>
      <c r="L22" s="294">
        <f t="shared" si="1"/>
        <v>0</v>
      </c>
      <c r="M22" s="292"/>
      <c r="N22" s="292"/>
      <c r="O22" s="292"/>
      <c r="P22" s="292"/>
    </row>
    <row r="23" spans="2:16" x14ac:dyDescent="0.25">
      <c r="B23" s="223">
        <v>216</v>
      </c>
      <c r="C23" s="290"/>
      <c r="D23" s="290"/>
      <c r="E23" s="290"/>
      <c r="F23" s="100">
        <f t="shared" si="0"/>
        <v>0</v>
      </c>
      <c r="I23" s="294"/>
      <c r="J23" s="295"/>
      <c r="K23" s="294"/>
      <c r="L23" s="294">
        <f t="shared" si="1"/>
        <v>0</v>
      </c>
      <c r="M23" s="292"/>
      <c r="N23" s="292"/>
      <c r="O23" s="292"/>
      <c r="P23" s="292"/>
    </row>
    <row r="24" spans="2:16" x14ac:dyDescent="0.25">
      <c r="B24" s="223">
        <v>218</v>
      </c>
      <c r="C24" s="290"/>
      <c r="D24" s="290"/>
      <c r="E24" s="290"/>
      <c r="F24" s="100">
        <f t="shared" si="0"/>
        <v>0</v>
      </c>
      <c r="I24" s="294"/>
      <c r="J24" s="295"/>
      <c r="K24" s="294"/>
      <c r="L24" s="294">
        <f t="shared" si="1"/>
        <v>0</v>
      </c>
      <c r="M24" s="292"/>
      <c r="N24" s="292"/>
      <c r="O24" s="292"/>
      <c r="P24" s="292"/>
    </row>
    <row r="25" spans="2:16" x14ac:dyDescent="0.25">
      <c r="B25" s="223">
        <v>219</v>
      </c>
      <c r="C25" s="290"/>
      <c r="D25" s="290"/>
      <c r="E25" s="290"/>
      <c r="F25" s="100">
        <f t="shared" si="0"/>
        <v>0</v>
      </c>
      <c r="I25" s="294"/>
      <c r="J25" s="295"/>
      <c r="K25" s="294"/>
      <c r="L25" s="294">
        <f t="shared" si="1"/>
        <v>0</v>
      </c>
      <c r="M25" s="292"/>
      <c r="N25" s="292"/>
      <c r="O25" s="292"/>
      <c r="P25" s="292"/>
    </row>
    <row r="26" spans="2:16" x14ac:dyDescent="0.25">
      <c r="B26" s="223">
        <v>220</v>
      </c>
      <c r="C26" s="290"/>
      <c r="D26" s="290"/>
      <c r="E26" s="290"/>
      <c r="F26" s="100">
        <f t="shared" si="0"/>
        <v>0</v>
      </c>
      <c r="I26" s="294"/>
      <c r="J26" s="295"/>
      <c r="K26" s="294"/>
      <c r="L26" s="294">
        <f t="shared" si="1"/>
        <v>0</v>
      </c>
      <c r="M26" s="292"/>
      <c r="N26" s="292"/>
      <c r="O26" s="292"/>
      <c r="P26" s="292"/>
    </row>
    <row r="27" spans="2:16" x14ac:dyDescent="0.25">
      <c r="B27" s="223">
        <v>227</v>
      </c>
      <c r="C27" s="290"/>
      <c r="D27" s="290"/>
      <c r="E27" s="290">
        <v>50</v>
      </c>
      <c r="F27" s="100">
        <f t="shared" si="0"/>
        <v>50</v>
      </c>
      <c r="G27" s="289">
        <v>588</v>
      </c>
      <c r="I27" s="294">
        <v>0</v>
      </c>
      <c r="J27" s="295">
        <v>19.88</v>
      </c>
      <c r="K27" s="294">
        <v>0</v>
      </c>
      <c r="L27" s="294">
        <f t="shared" si="1"/>
        <v>19.88</v>
      </c>
      <c r="M27" s="292"/>
      <c r="N27" s="292"/>
      <c r="O27" s="292"/>
      <c r="P27" s="292"/>
    </row>
    <row r="28" spans="2:16" x14ac:dyDescent="0.25">
      <c r="B28" s="223">
        <v>228</v>
      </c>
      <c r="C28" s="290"/>
      <c r="D28" s="290"/>
      <c r="E28" s="290"/>
      <c r="F28" s="100">
        <f t="shared" si="0"/>
        <v>0</v>
      </c>
      <c r="I28" s="294"/>
      <c r="J28" s="295"/>
      <c r="K28" s="294"/>
      <c r="L28" s="294">
        <f t="shared" si="1"/>
        <v>0</v>
      </c>
      <c r="M28" s="292"/>
      <c r="N28" s="292"/>
      <c r="O28" s="292"/>
      <c r="P28" s="292"/>
    </row>
    <row r="29" spans="2:16" x14ac:dyDescent="0.25">
      <c r="B29" s="223">
        <v>244</v>
      </c>
      <c r="C29" s="290"/>
      <c r="D29" s="290"/>
      <c r="E29" s="290"/>
      <c r="F29" s="100">
        <f t="shared" si="0"/>
        <v>0</v>
      </c>
      <c r="I29" s="294"/>
      <c r="J29" s="295"/>
      <c r="K29" s="294"/>
      <c r="L29" s="294">
        <f t="shared" si="1"/>
        <v>0</v>
      </c>
      <c r="M29" s="292"/>
      <c r="N29" s="292"/>
      <c r="O29" s="292"/>
      <c r="P29" s="292"/>
    </row>
    <row r="30" spans="2:16" x14ac:dyDescent="0.25">
      <c r="B30" s="223">
        <v>246</v>
      </c>
      <c r="C30" s="290"/>
      <c r="D30" s="290"/>
      <c r="E30" s="290"/>
      <c r="F30" s="100">
        <f t="shared" si="0"/>
        <v>0</v>
      </c>
      <c r="I30" s="294"/>
      <c r="J30" s="295"/>
      <c r="K30" s="294"/>
      <c r="L30" s="294">
        <f t="shared" si="1"/>
        <v>0</v>
      </c>
      <c r="M30" s="292"/>
      <c r="N30" s="292"/>
      <c r="O30" s="292"/>
      <c r="P30" s="292"/>
    </row>
    <row r="31" spans="2:16" x14ac:dyDescent="0.25">
      <c r="B31" s="223">
        <v>259</v>
      </c>
      <c r="C31" s="290"/>
      <c r="D31" s="290"/>
      <c r="E31" s="290">
        <v>100</v>
      </c>
      <c r="F31" s="100">
        <f t="shared" si="0"/>
        <v>100</v>
      </c>
      <c r="G31" s="289">
        <v>921</v>
      </c>
      <c r="I31" s="294">
        <v>0</v>
      </c>
      <c r="J31" s="298">
        <v>39.729999999999997</v>
      </c>
      <c r="K31" s="294">
        <v>540.47</v>
      </c>
      <c r="L31" s="294">
        <f t="shared" si="1"/>
        <v>580.20000000000005</v>
      </c>
      <c r="M31" s="292"/>
      <c r="N31" s="299">
        <v>19.87</v>
      </c>
      <c r="O31" s="300">
        <f>+J31-N31</f>
        <v>19.859999999999996</v>
      </c>
      <c r="P31" s="292"/>
    </row>
    <row r="32" spans="2:16" x14ac:dyDescent="0.25">
      <c r="B32" s="223">
        <v>260</v>
      </c>
      <c r="C32" s="290">
        <v>900</v>
      </c>
      <c r="D32" s="290"/>
      <c r="E32" s="290">
        <v>60</v>
      </c>
      <c r="F32" s="100">
        <f t="shared" si="0"/>
        <v>960</v>
      </c>
      <c r="G32" s="289">
        <v>903</v>
      </c>
      <c r="I32" s="294">
        <v>0</v>
      </c>
      <c r="J32" s="295">
        <v>37.46</v>
      </c>
      <c r="K32" s="294">
        <v>0</v>
      </c>
      <c r="L32" s="294">
        <f t="shared" si="1"/>
        <v>37.46</v>
      </c>
      <c r="M32" s="292"/>
      <c r="N32" s="292"/>
      <c r="O32" s="292"/>
      <c r="P32" s="292"/>
    </row>
    <row r="33" spans="2:16" x14ac:dyDescent="0.25">
      <c r="B33" s="223">
        <v>261</v>
      </c>
      <c r="C33" s="290"/>
      <c r="D33" s="290"/>
      <c r="E33" s="290"/>
      <c r="F33" s="100">
        <f t="shared" si="0"/>
        <v>0</v>
      </c>
      <c r="I33" s="294">
        <v>0</v>
      </c>
      <c r="J33" s="294">
        <v>0</v>
      </c>
      <c r="K33" s="294">
        <v>378.89</v>
      </c>
      <c r="L33" s="294">
        <f t="shared" si="1"/>
        <v>378.89</v>
      </c>
      <c r="M33" s="292"/>
      <c r="N33" s="292"/>
      <c r="O33" s="292"/>
      <c r="P33" s="292"/>
    </row>
    <row r="34" spans="2:16" x14ac:dyDescent="0.25">
      <c r="B34" s="223">
        <v>281</v>
      </c>
      <c r="C34" s="290"/>
      <c r="D34" s="290"/>
      <c r="E34" s="290"/>
      <c r="F34" s="100">
        <f t="shared" si="0"/>
        <v>0</v>
      </c>
      <c r="I34" s="294"/>
      <c r="J34" s="294"/>
      <c r="K34" s="294"/>
      <c r="L34" s="294">
        <f t="shared" si="1"/>
        <v>0</v>
      </c>
      <c r="M34" s="292"/>
      <c r="N34" s="292"/>
      <c r="O34" s="292"/>
      <c r="P34" s="292"/>
    </row>
    <row r="35" spans="2:16" x14ac:dyDescent="0.25">
      <c r="B35" s="223">
        <v>282</v>
      </c>
      <c r="C35" s="290"/>
      <c r="D35" s="290"/>
      <c r="E35" s="290">
        <v>50</v>
      </c>
      <c r="F35" s="100">
        <f t="shared" si="0"/>
        <v>50</v>
      </c>
      <c r="G35" s="289">
        <v>588</v>
      </c>
      <c r="I35" s="294">
        <v>0</v>
      </c>
      <c r="J35" s="301">
        <v>31.49</v>
      </c>
      <c r="K35" s="294">
        <v>0</v>
      </c>
      <c r="L35" s="294">
        <f t="shared" si="1"/>
        <v>31.49</v>
      </c>
      <c r="M35" s="292"/>
      <c r="N35" s="292"/>
      <c r="O35" s="292"/>
      <c r="P35" s="292"/>
    </row>
    <row r="36" spans="2:16" x14ac:dyDescent="0.25">
      <c r="B36" s="223">
        <v>289</v>
      </c>
      <c r="C36" s="290"/>
      <c r="D36" s="290"/>
      <c r="E36" s="290">
        <v>150</v>
      </c>
      <c r="F36" s="100">
        <f t="shared" si="0"/>
        <v>150</v>
      </c>
      <c r="G36" s="289">
        <v>921</v>
      </c>
      <c r="I36" s="294">
        <v>0</v>
      </c>
      <c r="J36" s="295">
        <v>79.53</v>
      </c>
      <c r="K36" s="294">
        <v>291.45999999999998</v>
      </c>
      <c r="L36" s="294">
        <f t="shared" si="1"/>
        <v>370.99</v>
      </c>
      <c r="M36" s="292"/>
      <c r="N36" s="292"/>
      <c r="O36" s="292"/>
      <c r="P36" s="292"/>
    </row>
    <row r="37" spans="2:16" x14ac:dyDescent="0.25">
      <c r="B37" s="223">
        <v>301</v>
      </c>
      <c r="C37" s="290"/>
      <c r="D37" s="290"/>
      <c r="E37" s="290"/>
      <c r="F37" s="100">
        <f t="shared" si="0"/>
        <v>0</v>
      </c>
      <c r="I37" s="294"/>
      <c r="J37" s="295"/>
      <c r="K37" s="294"/>
      <c r="L37" s="294">
        <f t="shared" si="1"/>
        <v>0</v>
      </c>
      <c r="M37" s="292"/>
      <c r="N37" s="292"/>
      <c r="O37" s="292"/>
      <c r="P37" s="292"/>
    </row>
    <row r="38" spans="2:16" x14ac:dyDescent="0.25">
      <c r="B38" s="223">
        <v>314</v>
      </c>
      <c r="C38" s="290"/>
      <c r="D38" s="290"/>
      <c r="E38" s="290"/>
      <c r="F38" s="100">
        <f t="shared" si="0"/>
        <v>0</v>
      </c>
      <c r="I38" s="294"/>
      <c r="J38" s="295"/>
      <c r="K38" s="294"/>
      <c r="L38" s="294">
        <f t="shared" si="1"/>
        <v>0</v>
      </c>
      <c r="M38" s="292"/>
      <c r="N38" s="292"/>
      <c r="O38" s="292"/>
      <c r="P38" s="292"/>
    </row>
    <row r="39" spans="2:16" x14ac:dyDescent="0.25">
      <c r="B39" s="223">
        <v>316</v>
      </c>
      <c r="C39" s="290"/>
      <c r="D39" s="290"/>
      <c r="E39" s="290"/>
      <c r="F39" s="100">
        <f t="shared" si="0"/>
        <v>0</v>
      </c>
      <c r="I39" s="294">
        <v>700.78</v>
      </c>
      <c r="J39" s="294">
        <v>0</v>
      </c>
      <c r="K39" s="294">
        <v>0</v>
      </c>
      <c r="L39" s="294">
        <f t="shared" si="1"/>
        <v>700.78</v>
      </c>
      <c r="M39" s="292"/>
      <c r="N39" s="292"/>
      <c r="O39" s="292"/>
      <c r="P39" s="292"/>
    </row>
    <row r="40" spans="2:16" x14ac:dyDescent="0.25">
      <c r="B40" s="223">
        <v>318</v>
      </c>
      <c r="C40" s="290"/>
      <c r="D40" s="290"/>
      <c r="E40" s="290"/>
      <c r="F40" s="100">
        <f t="shared" si="0"/>
        <v>0</v>
      </c>
      <c r="I40" s="294"/>
      <c r="J40" s="294"/>
      <c r="K40" s="294"/>
      <c r="L40" s="294">
        <f t="shared" si="1"/>
        <v>0</v>
      </c>
      <c r="M40" s="292"/>
      <c r="N40" s="292"/>
      <c r="O40" s="292"/>
      <c r="P40" s="292"/>
    </row>
    <row r="41" spans="2:16" x14ac:dyDescent="0.25">
      <c r="B41" s="223">
        <v>319</v>
      </c>
      <c r="C41" s="290"/>
      <c r="D41" s="290">
        <v>450</v>
      </c>
      <c r="E41" s="290">
        <v>50</v>
      </c>
      <c r="F41" s="100">
        <f t="shared" si="0"/>
        <v>500</v>
      </c>
      <c r="G41" s="289">
        <v>598</v>
      </c>
      <c r="I41" s="294">
        <v>0</v>
      </c>
      <c r="J41" s="301">
        <v>20.100000000000001</v>
      </c>
      <c r="K41" s="294">
        <v>0</v>
      </c>
      <c r="L41" s="294">
        <f t="shared" si="1"/>
        <v>20.100000000000001</v>
      </c>
      <c r="M41" s="292"/>
      <c r="N41" s="292"/>
      <c r="O41" s="292"/>
      <c r="P41" s="292"/>
    </row>
    <row r="42" spans="2:16" x14ac:dyDescent="0.25">
      <c r="B42" s="223">
        <v>320</v>
      </c>
      <c r="C42" s="290"/>
      <c r="D42" s="290"/>
      <c r="E42" s="290"/>
      <c r="F42" s="100">
        <f t="shared" si="0"/>
        <v>0</v>
      </c>
      <c r="I42" s="294"/>
      <c r="J42" s="301"/>
      <c r="K42" s="294"/>
      <c r="L42" s="294">
        <f t="shared" si="1"/>
        <v>0</v>
      </c>
      <c r="M42" s="292"/>
      <c r="N42" s="292"/>
      <c r="O42" s="292"/>
      <c r="P42" s="292"/>
    </row>
    <row r="43" spans="2:16" x14ac:dyDescent="0.25">
      <c r="B43" s="223">
        <v>321</v>
      </c>
      <c r="C43" s="290"/>
      <c r="D43" s="290"/>
      <c r="E43" s="290"/>
      <c r="F43" s="100">
        <f t="shared" si="0"/>
        <v>0</v>
      </c>
      <c r="I43" s="294"/>
      <c r="J43" s="301"/>
      <c r="K43" s="294"/>
      <c r="L43" s="294">
        <f t="shared" si="1"/>
        <v>0</v>
      </c>
      <c r="M43" s="292"/>
      <c r="N43" s="292"/>
      <c r="O43" s="292"/>
      <c r="P43" s="292"/>
    </row>
    <row r="44" spans="2:16" x14ac:dyDescent="0.25">
      <c r="B44" s="223">
        <v>323</v>
      </c>
      <c r="C44" s="290"/>
      <c r="D44" s="290"/>
      <c r="E44" s="290">
        <v>90</v>
      </c>
      <c r="F44" s="100">
        <f t="shared" si="0"/>
        <v>90</v>
      </c>
      <c r="G44" s="289">
        <v>903</v>
      </c>
      <c r="I44" s="294">
        <v>0</v>
      </c>
      <c r="J44" s="295">
        <v>56.21</v>
      </c>
      <c r="K44" s="294">
        <v>0</v>
      </c>
      <c r="L44" s="294">
        <f t="shared" si="1"/>
        <v>56.21</v>
      </c>
      <c r="M44" s="292"/>
      <c r="N44" s="292"/>
      <c r="O44" s="292"/>
      <c r="P44" s="292"/>
    </row>
    <row r="45" spans="2:16" x14ac:dyDescent="0.25">
      <c r="B45" s="223">
        <v>328</v>
      </c>
      <c r="C45" s="290"/>
      <c r="D45" s="290"/>
      <c r="E45" s="290">
        <v>50</v>
      </c>
      <c r="F45" s="100">
        <f t="shared" si="0"/>
        <v>50</v>
      </c>
      <c r="G45" s="289">
        <v>163</v>
      </c>
      <c r="I45" s="294">
        <v>0</v>
      </c>
      <c r="J45" s="302">
        <v>19.87</v>
      </c>
      <c r="K45" s="294">
        <v>260.14</v>
      </c>
      <c r="L45" s="294">
        <f t="shared" si="1"/>
        <v>280.01</v>
      </c>
      <c r="M45" s="292"/>
      <c r="N45" s="292"/>
      <c r="O45" s="292"/>
      <c r="P45" s="292"/>
    </row>
    <row r="46" spans="2:16" x14ac:dyDescent="0.25">
      <c r="B46" s="223">
        <v>330</v>
      </c>
      <c r="C46" s="290"/>
      <c r="D46" s="290"/>
      <c r="E46" s="290"/>
      <c r="F46" s="100">
        <f t="shared" si="0"/>
        <v>0</v>
      </c>
      <c r="I46" s="294"/>
      <c r="J46" s="302"/>
      <c r="K46" s="294"/>
      <c r="L46" s="294">
        <f t="shared" si="1"/>
        <v>0</v>
      </c>
      <c r="M46" s="292"/>
      <c r="N46" s="292"/>
      <c r="O46" s="292"/>
      <c r="P46" s="292"/>
    </row>
    <row r="47" spans="2:16" x14ac:dyDescent="0.25">
      <c r="B47" s="223">
        <v>331</v>
      </c>
      <c r="C47" s="290">
        <v>675</v>
      </c>
      <c r="D47" s="290"/>
      <c r="E47" s="290"/>
      <c r="F47" s="100">
        <f t="shared" si="0"/>
        <v>675</v>
      </c>
      <c r="G47" s="289">
        <v>588</v>
      </c>
      <c r="I47" s="294"/>
      <c r="J47" s="302"/>
      <c r="K47" s="294"/>
      <c r="L47" s="294">
        <f t="shared" si="1"/>
        <v>0</v>
      </c>
      <c r="M47" s="292"/>
      <c r="N47" s="292"/>
      <c r="O47" s="292"/>
      <c r="P47" s="292"/>
    </row>
    <row r="48" spans="2:16" x14ac:dyDescent="0.25">
      <c r="B48" s="223">
        <v>335</v>
      </c>
      <c r="C48" s="290"/>
      <c r="D48" s="290"/>
      <c r="E48" s="290"/>
      <c r="F48" s="100">
        <f t="shared" si="0"/>
        <v>0</v>
      </c>
      <c r="I48" s="294"/>
      <c r="J48" s="302"/>
      <c r="K48" s="294"/>
      <c r="L48" s="294">
        <f t="shared" si="1"/>
        <v>0</v>
      </c>
      <c r="M48" s="292"/>
      <c r="N48" s="292"/>
      <c r="O48" s="292"/>
      <c r="P48" s="292"/>
    </row>
    <row r="49" spans="2:16" x14ac:dyDescent="0.25">
      <c r="B49" s="223">
        <v>337</v>
      </c>
      <c r="C49" s="290"/>
      <c r="D49" s="290">
        <v>350</v>
      </c>
      <c r="E49" s="290"/>
      <c r="F49" s="100">
        <f t="shared" si="0"/>
        <v>350</v>
      </c>
      <c r="G49" s="289">
        <v>598</v>
      </c>
      <c r="I49" s="294"/>
      <c r="J49" s="302"/>
      <c r="K49" s="294"/>
      <c r="L49" s="294">
        <f t="shared" si="1"/>
        <v>0</v>
      </c>
      <c r="M49" s="292"/>
      <c r="N49" s="292"/>
      <c r="O49" s="292"/>
      <c r="P49" s="292"/>
    </row>
    <row r="50" spans="2:16" x14ac:dyDescent="0.25">
      <c r="B50" s="223">
        <v>338</v>
      </c>
      <c r="C50" s="290"/>
      <c r="D50" s="290">
        <v>350</v>
      </c>
      <c r="E50" s="290"/>
      <c r="F50" s="100">
        <f t="shared" si="0"/>
        <v>350</v>
      </c>
      <c r="G50" s="289">
        <v>598</v>
      </c>
      <c r="I50" s="294"/>
      <c r="J50" s="302"/>
      <c r="K50" s="294"/>
      <c r="L50" s="294">
        <f t="shared" si="1"/>
        <v>0</v>
      </c>
      <c r="M50" s="292"/>
      <c r="N50" s="292"/>
      <c r="O50" s="292"/>
      <c r="P50" s="292"/>
    </row>
    <row r="51" spans="2:16" x14ac:dyDescent="0.25">
      <c r="B51" s="223">
        <v>339</v>
      </c>
      <c r="C51" s="290"/>
      <c r="D51" s="290">
        <v>350</v>
      </c>
      <c r="E51" s="290">
        <v>50</v>
      </c>
      <c r="F51" s="100">
        <f t="shared" si="0"/>
        <v>400</v>
      </c>
      <c r="G51" s="289">
        <v>588</v>
      </c>
      <c r="I51" s="294">
        <v>0</v>
      </c>
      <c r="J51" s="301">
        <v>19.89</v>
      </c>
      <c r="K51" s="294">
        <v>0</v>
      </c>
      <c r="L51" s="294">
        <f t="shared" si="1"/>
        <v>19.89</v>
      </c>
      <c r="M51" s="292"/>
      <c r="N51" s="292"/>
      <c r="O51" s="292"/>
      <c r="P51" s="292"/>
    </row>
    <row r="52" spans="2:16" x14ac:dyDescent="0.25">
      <c r="B52" s="223">
        <v>344</v>
      </c>
      <c r="C52" s="290"/>
      <c r="D52" s="290">
        <v>350</v>
      </c>
      <c r="E52" s="290"/>
      <c r="F52" s="100">
        <f t="shared" si="0"/>
        <v>350</v>
      </c>
      <c r="G52" s="289">
        <v>921</v>
      </c>
      <c r="I52" s="294"/>
      <c r="J52" s="301"/>
      <c r="K52" s="294"/>
      <c r="L52" s="294">
        <f t="shared" si="1"/>
        <v>0</v>
      </c>
      <c r="M52" s="292"/>
      <c r="N52" s="292"/>
      <c r="O52" s="292"/>
      <c r="P52" s="292"/>
    </row>
    <row r="53" spans="2:16" x14ac:dyDescent="0.25">
      <c r="B53" s="223">
        <v>348</v>
      </c>
      <c r="C53" s="290"/>
      <c r="D53" s="290">
        <v>175</v>
      </c>
      <c r="E53" s="290">
        <v>50</v>
      </c>
      <c r="F53" s="100">
        <f t="shared" si="0"/>
        <v>225</v>
      </c>
      <c r="G53" s="289">
        <v>903</v>
      </c>
      <c r="I53" s="294">
        <v>0</v>
      </c>
      <c r="J53" s="295">
        <v>19.89</v>
      </c>
      <c r="K53" s="294">
        <v>0</v>
      </c>
      <c r="L53" s="294">
        <f t="shared" si="1"/>
        <v>19.89</v>
      </c>
      <c r="M53" s="292"/>
      <c r="N53" s="292"/>
      <c r="O53" s="292"/>
      <c r="P53" s="292"/>
    </row>
    <row r="54" spans="2:16" x14ac:dyDescent="0.25">
      <c r="B54" s="223">
        <v>351</v>
      </c>
      <c r="C54" s="290">
        <v>725</v>
      </c>
      <c r="D54" s="290"/>
      <c r="E54" s="290"/>
      <c r="F54" s="100">
        <f t="shared" si="0"/>
        <v>725</v>
      </c>
      <c r="G54" s="289">
        <v>593.29999999999995</v>
      </c>
      <c r="I54" s="294"/>
      <c r="J54" s="295"/>
      <c r="K54" s="294"/>
      <c r="L54" s="294">
        <f t="shared" si="1"/>
        <v>0</v>
      </c>
      <c r="M54" s="292"/>
      <c r="N54" s="292"/>
      <c r="O54" s="292"/>
      <c r="P54" s="292"/>
    </row>
    <row r="55" spans="2:16" x14ac:dyDescent="0.25">
      <c r="B55" s="223">
        <v>352</v>
      </c>
      <c r="C55" s="290"/>
      <c r="D55" s="290"/>
      <c r="E55" s="290"/>
      <c r="F55" s="100">
        <f t="shared" si="0"/>
        <v>0</v>
      </c>
      <c r="I55" s="294"/>
      <c r="J55" s="295"/>
      <c r="K55" s="294"/>
      <c r="L55" s="294">
        <f t="shared" si="1"/>
        <v>0</v>
      </c>
      <c r="M55" s="292"/>
      <c r="N55" s="292"/>
      <c r="O55" s="292"/>
      <c r="P55" s="292"/>
    </row>
    <row r="56" spans="2:16" x14ac:dyDescent="0.25">
      <c r="B56" s="223">
        <v>368</v>
      </c>
      <c r="C56" s="290">
        <v>675</v>
      </c>
      <c r="D56" s="290"/>
      <c r="E56" s="290"/>
      <c r="F56" s="100">
        <f t="shared" si="0"/>
        <v>675</v>
      </c>
      <c r="G56" s="289">
        <v>903</v>
      </c>
      <c r="I56" s="294"/>
      <c r="J56" s="295"/>
      <c r="K56" s="294"/>
      <c r="L56" s="294">
        <f t="shared" si="1"/>
        <v>0</v>
      </c>
      <c r="M56" s="292"/>
      <c r="N56" s="292"/>
      <c r="O56" s="292"/>
      <c r="P56" s="292"/>
    </row>
    <row r="57" spans="2:16" x14ac:dyDescent="0.25">
      <c r="B57" s="223">
        <v>370</v>
      </c>
      <c r="C57" s="290"/>
      <c r="D57" s="290"/>
      <c r="E57" s="290">
        <v>60</v>
      </c>
      <c r="F57" s="100">
        <f t="shared" si="0"/>
        <v>60</v>
      </c>
      <c r="G57" s="289">
        <v>903</v>
      </c>
      <c r="I57" s="294">
        <v>0</v>
      </c>
      <c r="J57" s="295">
        <v>23.87</v>
      </c>
      <c r="K57" s="294">
        <v>0</v>
      </c>
      <c r="L57" s="294">
        <f t="shared" si="1"/>
        <v>23.87</v>
      </c>
      <c r="M57" s="292"/>
      <c r="N57" s="292"/>
      <c r="O57" s="292"/>
      <c r="P57" s="292"/>
    </row>
    <row r="58" spans="2:16" x14ac:dyDescent="0.25">
      <c r="B58" s="223">
        <v>371</v>
      </c>
      <c r="C58" s="290"/>
      <c r="D58" s="290"/>
      <c r="E58" s="290"/>
      <c r="F58" s="100">
        <f t="shared" si="0"/>
        <v>0</v>
      </c>
      <c r="I58" s="294"/>
      <c r="J58" s="295"/>
      <c r="K58" s="294"/>
      <c r="L58" s="294">
        <f t="shared" si="1"/>
        <v>0</v>
      </c>
      <c r="M58" s="292"/>
      <c r="N58" s="292"/>
      <c r="O58" s="292"/>
      <c r="P58" s="292"/>
    </row>
    <row r="59" spans="2:16" x14ac:dyDescent="0.25">
      <c r="B59" s="223">
        <v>379</v>
      </c>
      <c r="C59" s="290"/>
      <c r="D59" s="290"/>
      <c r="E59" s="290"/>
      <c r="F59" s="100">
        <f t="shared" si="0"/>
        <v>0</v>
      </c>
      <c r="I59" s="294"/>
      <c r="J59" s="295"/>
      <c r="K59" s="294"/>
      <c r="L59" s="294">
        <f t="shared" si="1"/>
        <v>0</v>
      </c>
      <c r="M59" s="292"/>
      <c r="N59" s="292"/>
      <c r="O59" s="292"/>
      <c r="P59" s="292"/>
    </row>
    <row r="60" spans="2:16" x14ac:dyDescent="0.25">
      <c r="B60" s="223">
        <v>381</v>
      </c>
      <c r="C60" s="290"/>
      <c r="D60" s="290"/>
      <c r="E60" s="290">
        <v>50</v>
      </c>
      <c r="F60" s="100">
        <f t="shared" si="0"/>
        <v>50</v>
      </c>
      <c r="G60" s="289">
        <v>921</v>
      </c>
      <c r="I60" s="294">
        <v>0</v>
      </c>
      <c r="J60" s="302">
        <v>19.87</v>
      </c>
      <c r="K60" s="294">
        <v>309.24</v>
      </c>
      <c r="L60" s="294">
        <f t="shared" si="1"/>
        <v>329.11</v>
      </c>
      <c r="M60" s="292"/>
      <c r="N60" s="292"/>
      <c r="O60" s="292"/>
      <c r="P60" s="292"/>
    </row>
    <row r="61" spans="2:16" x14ac:dyDescent="0.25">
      <c r="B61" s="223">
        <v>382</v>
      </c>
      <c r="C61" s="290"/>
      <c r="D61" s="290"/>
      <c r="E61" s="290">
        <v>567.22</v>
      </c>
      <c r="F61" s="100">
        <f t="shared" si="0"/>
        <v>567.22</v>
      </c>
      <c r="G61" s="289">
        <v>588</v>
      </c>
      <c r="I61" s="294">
        <v>0</v>
      </c>
      <c r="J61" s="303">
        <v>226.57</v>
      </c>
      <c r="K61" s="294">
        <v>0</v>
      </c>
      <c r="L61" s="294">
        <f t="shared" si="1"/>
        <v>226.57</v>
      </c>
      <c r="M61" s="292"/>
      <c r="N61" s="292"/>
      <c r="O61" s="292"/>
      <c r="P61" s="292"/>
    </row>
    <row r="62" spans="2:16" x14ac:dyDescent="0.25">
      <c r="B62" s="223">
        <v>383</v>
      </c>
      <c r="C62" s="290"/>
      <c r="D62" s="290"/>
      <c r="E62" s="290"/>
      <c r="F62" s="100">
        <f t="shared" si="0"/>
        <v>0</v>
      </c>
      <c r="I62" s="294"/>
      <c r="J62" s="303"/>
      <c r="K62" s="294"/>
      <c r="L62" s="294">
        <f t="shared" si="1"/>
        <v>0</v>
      </c>
      <c r="M62" s="292"/>
      <c r="N62" s="292"/>
      <c r="O62" s="292"/>
      <c r="P62" s="292"/>
    </row>
    <row r="63" spans="2:16" x14ac:dyDescent="0.25">
      <c r="B63" s="223">
        <v>384</v>
      </c>
      <c r="C63" s="290">
        <v>625</v>
      </c>
      <c r="D63" s="290">
        <v>300</v>
      </c>
      <c r="E63" s="290"/>
      <c r="F63" s="100">
        <f t="shared" si="0"/>
        <v>925</v>
      </c>
      <c r="G63" s="289">
        <v>593.29999999999995</v>
      </c>
      <c r="I63" s="294"/>
      <c r="J63" s="303"/>
      <c r="K63" s="294"/>
      <c r="L63" s="294">
        <f t="shared" si="1"/>
        <v>0</v>
      </c>
      <c r="M63" s="292"/>
      <c r="N63" s="292"/>
      <c r="O63" s="292"/>
      <c r="P63" s="292"/>
    </row>
    <row r="64" spans="2:16" x14ac:dyDescent="0.25">
      <c r="B64" s="223">
        <v>388</v>
      </c>
      <c r="C64" s="290"/>
      <c r="D64" s="290">
        <v>300</v>
      </c>
      <c r="E64" s="290">
        <v>50</v>
      </c>
      <c r="F64" s="100">
        <f t="shared" si="0"/>
        <v>350</v>
      </c>
      <c r="G64" s="289">
        <v>921</v>
      </c>
      <c r="I64" s="294">
        <v>0</v>
      </c>
      <c r="J64" s="301">
        <v>19.88</v>
      </c>
      <c r="K64" s="294">
        <v>326.73</v>
      </c>
      <c r="L64" s="294">
        <f t="shared" si="1"/>
        <v>346.61</v>
      </c>
      <c r="M64" s="292"/>
      <c r="N64" s="292"/>
      <c r="O64" s="292"/>
      <c r="P64" s="292"/>
    </row>
    <row r="65" spans="2:16" x14ac:dyDescent="0.25">
      <c r="B65" s="223">
        <v>392</v>
      </c>
      <c r="C65" s="290"/>
      <c r="D65" s="290">
        <v>300</v>
      </c>
      <c r="E65" s="290">
        <v>70</v>
      </c>
      <c r="F65" s="100">
        <f t="shared" si="0"/>
        <v>370</v>
      </c>
      <c r="G65" s="289">
        <v>903</v>
      </c>
      <c r="I65" s="294">
        <v>0</v>
      </c>
      <c r="J65" s="295">
        <v>27.84</v>
      </c>
      <c r="K65" s="294">
        <v>265.87</v>
      </c>
      <c r="L65" s="294">
        <f t="shared" si="1"/>
        <v>293.70999999999998</v>
      </c>
      <c r="M65" s="292"/>
      <c r="N65" s="292"/>
      <c r="O65" s="292"/>
      <c r="P65" s="292"/>
    </row>
    <row r="66" spans="2:16" x14ac:dyDescent="0.25">
      <c r="B66" s="223">
        <v>395</v>
      </c>
      <c r="C66" s="290"/>
      <c r="D66" s="290">
        <v>150</v>
      </c>
      <c r="E66" s="290"/>
      <c r="F66" s="100">
        <f t="shared" si="0"/>
        <v>150</v>
      </c>
      <c r="G66" s="289">
        <v>588</v>
      </c>
      <c r="I66" s="294"/>
      <c r="J66" s="295"/>
      <c r="K66" s="294"/>
      <c r="L66" s="294">
        <f t="shared" si="1"/>
        <v>0</v>
      </c>
      <c r="M66" s="292"/>
      <c r="N66" s="292"/>
      <c r="O66" s="292"/>
      <c r="P66" s="292"/>
    </row>
    <row r="67" spans="2:16" x14ac:dyDescent="0.25">
      <c r="B67" s="223">
        <v>396</v>
      </c>
      <c r="C67" s="290"/>
      <c r="D67" s="290">
        <v>150</v>
      </c>
      <c r="E67" s="290"/>
      <c r="F67" s="100">
        <f t="shared" si="0"/>
        <v>150</v>
      </c>
      <c r="G67" s="289">
        <v>588</v>
      </c>
      <c r="I67" s="294"/>
      <c r="J67" s="295"/>
      <c r="K67" s="294"/>
      <c r="L67" s="294">
        <f t="shared" si="1"/>
        <v>0</v>
      </c>
      <c r="M67" s="292"/>
      <c r="N67" s="292"/>
      <c r="O67" s="292"/>
      <c r="P67" s="292"/>
    </row>
    <row r="68" spans="2:16" x14ac:dyDescent="0.25">
      <c r="B68" s="223">
        <v>397</v>
      </c>
      <c r="C68" s="290"/>
      <c r="D68" s="290">
        <v>150</v>
      </c>
      <c r="E68" s="290"/>
      <c r="F68" s="100">
        <f t="shared" ref="F68:F131" si="2">SUM(C68:E68)</f>
        <v>150</v>
      </c>
      <c r="G68" s="289">
        <v>598</v>
      </c>
      <c r="I68" s="294"/>
      <c r="J68" s="295"/>
      <c r="K68" s="294"/>
      <c r="L68" s="294">
        <f t="shared" ref="L68:L131" si="3">SUM(I68:K68)</f>
        <v>0</v>
      </c>
      <c r="M68" s="292"/>
      <c r="N68" s="292"/>
      <c r="O68" s="292"/>
      <c r="P68" s="292"/>
    </row>
    <row r="69" spans="2:16" x14ac:dyDescent="0.25">
      <c r="B69" s="223">
        <v>409</v>
      </c>
      <c r="C69" s="290"/>
      <c r="D69" s="290">
        <v>350</v>
      </c>
      <c r="E69" s="290"/>
      <c r="F69" s="100">
        <f t="shared" si="2"/>
        <v>350</v>
      </c>
      <c r="G69" s="289">
        <v>598</v>
      </c>
      <c r="I69" s="294"/>
      <c r="J69" s="295"/>
      <c r="K69" s="294"/>
      <c r="L69" s="294">
        <f t="shared" si="3"/>
        <v>0</v>
      </c>
      <c r="M69" s="292"/>
      <c r="N69" s="292"/>
      <c r="O69" s="292"/>
      <c r="P69" s="292"/>
    </row>
    <row r="70" spans="2:16" x14ac:dyDescent="0.25">
      <c r="B70" s="223">
        <v>410</v>
      </c>
      <c r="C70" s="290"/>
      <c r="D70" s="290"/>
      <c r="E70" s="290"/>
      <c r="F70" s="100">
        <f t="shared" si="2"/>
        <v>0</v>
      </c>
      <c r="I70" s="294"/>
      <c r="J70" s="295"/>
      <c r="K70" s="294"/>
      <c r="L70" s="294">
        <f t="shared" si="3"/>
        <v>0</v>
      </c>
      <c r="M70" s="292"/>
      <c r="N70" s="292"/>
      <c r="O70" s="292"/>
      <c r="P70" s="292"/>
    </row>
    <row r="71" spans="2:16" x14ac:dyDescent="0.25">
      <c r="B71" s="223">
        <v>414</v>
      </c>
      <c r="C71" s="290"/>
      <c r="D71" s="290"/>
      <c r="E71" s="290">
        <v>80</v>
      </c>
      <c r="F71" s="100">
        <f t="shared" si="2"/>
        <v>80</v>
      </c>
      <c r="G71" s="289">
        <v>903</v>
      </c>
      <c r="I71" s="294">
        <v>0</v>
      </c>
      <c r="J71" s="295">
        <v>49.99</v>
      </c>
      <c r="K71" s="294">
        <v>328.47</v>
      </c>
      <c r="L71" s="294">
        <f t="shared" si="3"/>
        <v>378.46000000000004</v>
      </c>
      <c r="M71" s="292"/>
      <c r="N71" s="292"/>
      <c r="O71" s="292"/>
      <c r="P71" s="292"/>
    </row>
    <row r="72" spans="2:16" x14ac:dyDescent="0.25">
      <c r="B72" s="223">
        <v>417</v>
      </c>
      <c r="C72" s="290"/>
      <c r="D72" s="290"/>
      <c r="E72" s="290"/>
      <c r="F72" s="100">
        <f t="shared" si="2"/>
        <v>0</v>
      </c>
      <c r="I72" s="294"/>
      <c r="J72" s="295"/>
      <c r="K72" s="294"/>
      <c r="L72" s="294">
        <f t="shared" si="3"/>
        <v>0</v>
      </c>
      <c r="M72" s="292"/>
      <c r="N72" s="292"/>
      <c r="O72" s="292"/>
      <c r="P72" s="292"/>
    </row>
    <row r="73" spans="2:16" x14ac:dyDescent="0.25">
      <c r="B73" s="223">
        <v>420</v>
      </c>
      <c r="C73" s="290"/>
      <c r="D73" s="290"/>
      <c r="E73" s="290"/>
      <c r="F73" s="100">
        <f t="shared" si="2"/>
        <v>0</v>
      </c>
      <c r="I73" s="294"/>
      <c r="J73" s="295"/>
      <c r="K73" s="294"/>
      <c r="L73" s="294">
        <f t="shared" si="3"/>
        <v>0</v>
      </c>
      <c r="M73" s="292"/>
      <c r="N73" s="292"/>
      <c r="O73" s="292"/>
      <c r="P73" s="292"/>
    </row>
    <row r="74" spans="2:16" x14ac:dyDescent="0.25">
      <c r="B74" s="223">
        <v>421</v>
      </c>
      <c r="C74" s="290"/>
      <c r="D74" s="290"/>
      <c r="E74" s="290"/>
      <c r="F74" s="100">
        <f t="shared" si="2"/>
        <v>0</v>
      </c>
      <c r="I74" s="294"/>
      <c r="J74" s="295"/>
      <c r="K74" s="294"/>
      <c r="L74" s="294">
        <f t="shared" si="3"/>
        <v>0</v>
      </c>
      <c r="M74" s="292"/>
      <c r="N74" s="292"/>
      <c r="O74" s="292"/>
      <c r="P74" s="292"/>
    </row>
    <row r="75" spans="2:16" x14ac:dyDescent="0.25">
      <c r="B75" s="223">
        <v>422</v>
      </c>
      <c r="C75" s="290"/>
      <c r="D75" s="290"/>
      <c r="E75" s="290"/>
      <c r="F75" s="100">
        <f t="shared" si="2"/>
        <v>0</v>
      </c>
      <c r="I75" s="294">
        <v>0</v>
      </c>
      <c r="J75" s="294">
        <v>0</v>
      </c>
      <c r="K75" s="294">
        <v>277.48</v>
      </c>
      <c r="L75" s="294">
        <f t="shared" si="3"/>
        <v>277.48</v>
      </c>
      <c r="M75" s="292"/>
      <c r="N75" s="292"/>
      <c r="O75" s="292"/>
      <c r="P75" s="292"/>
    </row>
    <row r="76" spans="2:16" x14ac:dyDescent="0.25">
      <c r="B76" s="223">
        <v>424</v>
      </c>
      <c r="C76" s="290"/>
      <c r="D76" s="290">
        <v>250</v>
      </c>
      <c r="E76" s="290"/>
      <c r="F76" s="100">
        <f t="shared" si="2"/>
        <v>250</v>
      </c>
      <c r="G76" s="289">
        <v>588</v>
      </c>
      <c r="I76" s="294"/>
      <c r="J76" s="294"/>
      <c r="K76" s="294"/>
      <c r="L76" s="294">
        <f t="shared" si="3"/>
        <v>0</v>
      </c>
      <c r="M76" s="292"/>
      <c r="N76" s="292"/>
      <c r="O76" s="292"/>
      <c r="P76" s="292"/>
    </row>
    <row r="77" spans="2:16" x14ac:dyDescent="0.25">
      <c r="B77" s="223">
        <v>427</v>
      </c>
      <c r="C77" s="290"/>
      <c r="D77" s="290"/>
      <c r="E77" s="290">
        <v>50</v>
      </c>
      <c r="F77" s="100">
        <f t="shared" si="2"/>
        <v>50</v>
      </c>
      <c r="G77" s="289">
        <v>588</v>
      </c>
      <c r="I77" s="294">
        <v>0</v>
      </c>
      <c r="J77" s="295">
        <v>19.88</v>
      </c>
      <c r="K77" s="294">
        <v>0</v>
      </c>
      <c r="L77" s="294">
        <f t="shared" si="3"/>
        <v>19.88</v>
      </c>
      <c r="M77" s="292"/>
      <c r="N77" s="292"/>
      <c r="O77" s="292"/>
      <c r="P77" s="292"/>
    </row>
    <row r="78" spans="2:16" x14ac:dyDescent="0.25">
      <c r="B78" s="223">
        <v>428</v>
      </c>
      <c r="C78" s="290"/>
      <c r="D78" s="290"/>
      <c r="E78" s="290">
        <v>50</v>
      </c>
      <c r="F78" s="100">
        <f t="shared" si="2"/>
        <v>50</v>
      </c>
      <c r="G78" s="289">
        <v>598</v>
      </c>
      <c r="I78" s="294">
        <v>0</v>
      </c>
      <c r="J78" s="295">
        <v>19.87</v>
      </c>
      <c r="K78" s="294">
        <v>0</v>
      </c>
      <c r="L78" s="294">
        <f t="shared" si="3"/>
        <v>19.87</v>
      </c>
      <c r="M78" s="292"/>
      <c r="N78" s="292"/>
      <c r="O78" s="292"/>
      <c r="P78" s="292"/>
    </row>
    <row r="79" spans="2:16" x14ac:dyDescent="0.25">
      <c r="B79" s="223">
        <v>431</v>
      </c>
      <c r="C79" s="290"/>
      <c r="D79" s="290"/>
      <c r="E79" s="290"/>
      <c r="F79" s="100">
        <f t="shared" si="2"/>
        <v>0</v>
      </c>
      <c r="I79" s="294"/>
      <c r="J79" s="295"/>
      <c r="K79" s="294"/>
      <c r="L79" s="294">
        <f t="shared" si="3"/>
        <v>0</v>
      </c>
      <c r="M79" s="292"/>
      <c r="N79" s="292"/>
      <c r="O79" s="292"/>
      <c r="P79" s="292"/>
    </row>
    <row r="80" spans="2:16" x14ac:dyDescent="0.25">
      <c r="B80" s="223">
        <v>432</v>
      </c>
      <c r="C80" s="290"/>
      <c r="D80" s="290"/>
      <c r="E80" s="290">
        <v>35</v>
      </c>
      <c r="F80" s="100">
        <f t="shared" si="2"/>
        <v>35</v>
      </c>
      <c r="G80" s="289">
        <v>903</v>
      </c>
      <c r="I80" s="294">
        <v>0</v>
      </c>
      <c r="J80" s="295">
        <v>6.25</v>
      </c>
      <c r="K80" s="294">
        <v>0</v>
      </c>
      <c r="L80" s="294">
        <f t="shared" si="3"/>
        <v>6.25</v>
      </c>
      <c r="M80" s="292"/>
      <c r="N80" s="292"/>
      <c r="O80" s="292"/>
      <c r="P80" s="292"/>
    </row>
    <row r="81" spans="2:16" x14ac:dyDescent="0.25">
      <c r="B81" s="223">
        <v>433</v>
      </c>
      <c r="C81" s="290"/>
      <c r="D81" s="290"/>
      <c r="E81" s="290"/>
      <c r="F81" s="100">
        <f t="shared" si="2"/>
        <v>0</v>
      </c>
      <c r="I81" s="294"/>
      <c r="J81" s="295"/>
      <c r="K81" s="294"/>
      <c r="L81" s="294">
        <f t="shared" si="3"/>
        <v>0</v>
      </c>
      <c r="M81" s="292"/>
      <c r="N81" s="292"/>
      <c r="O81" s="292"/>
      <c r="P81" s="292"/>
    </row>
    <row r="82" spans="2:16" x14ac:dyDescent="0.25">
      <c r="B82" s="223">
        <v>434</v>
      </c>
      <c r="C82" s="290"/>
      <c r="D82" s="290"/>
      <c r="E82" s="290">
        <v>50</v>
      </c>
      <c r="F82" s="100">
        <f t="shared" si="2"/>
        <v>50</v>
      </c>
      <c r="G82" s="289">
        <v>588</v>
      </c>
      <c r="I82" s="294">
        <v>0</v>
      </c>
      <c r="J82" s="303">
        <v>19.87</v>
      </c>
      <c r="K82" s="294">
        <v>0</v>
      </c>
      <c r="L82" s="294">
        <f t="shared" si="3"/>
        <v>19.87</v>
      </c>
      <c r="M82" s="292"/>
      <c r="N82" s="292"/>
      <c r="O82" s="292"/>
      <c r="P82" s="292"/>
    </row>
    <row r="83" spans="2:16" x14ac:dyDescent="0.25">
      <c r="B83" s="223">
        <v>445</v>
      </c>
      <c r="C83" s="290"/>
      <c r="D83" s="290">
        <v>250</v>
      </c>
      <c r="E83" s="290"/>
      <c r="F83" s="100">
        <f t="shared" si="2"/>
        <v>250</v>
      </c>
      <c r="G83" s="289">
        <v>588</v>
      </c>
      <c r="I83" s="294">
        <v>1051.1500000000001</v>
      </c>
      <c r="J83" s="294">
        <v>0</v>
      </c>
      <c r="K83" s="294">
        <v>0</v>
      </c>
      <c r="L83" s="294">
        <f t="shared" si="3"/>
        <v>1051.1500000000001</v>
      </c>
      <c r="M83" s="292"/>
      <c r="N83" s="292"/>
      <c r="O83" s="292"/>
      <c r="P83" s="292"/>
    </row>
    <row r="84" spans="2:16" x14ac:dyDescent="0.25">
      <c r="B84" s="223">
        <v>447</v>
      </c>
      <c r="C84" s="290"/>
      <c r="D84" s="290"/>
      <c r="E84" s="290">
        <v>50</v>
      </c>
      <c r="F84" s="100">
        <f t="shared" si="2"/>
        <v>50</v>
      </c>
      <c r="G84" s="289">
        <v>598</v>
      </c>
      <c r="I84" s="294">
        <v>0</v>
      </c>
      <c r="J84" s="295">
        <v>21.29</v>
      </c>
      <c r="K84" s="294">
        <v>0</v>
      </c>
      <c r="L84" s="294">
        <f t="shared" si="3"/>
        <v>21.29</v>
      </c>
      <c r="M84" s="292"/>
      <c r="N84" s="292"/>
      <c r="O84" s="292"/>
      <c r="P84" s="292"/>
    </row>
    <row r="85" spans="2:16" x14ac:dyDescent="0.25">
      <c r="B85" s="223">
        <v>448</v>
      </c>
      <c r="C85" s="290"/>
      <c r="D85" s="290"/>
      <c r="E85" s="290">
        <v>60</v>
      </c>
      <c r="F85" s="100">
        <f t="shared" si="2"/>
        <v>60</v>
      </c>
      <c r="G85" s="289">
        <v>903</v>
      </c>
      <c r="I85" s="294">
        <v>0</v>
      </c>
      <c r="J85" s="295">
        <v>37.49</v>
      </c>
      <c r="K85" s="294">
        <v>0</v>
      </c>
      <c r="L85" s="294">
        <f t="shared" si="3"/>
        <v>37.49</v>
      </c>
      <c r="M85" s="292"/>
      <c r="N85" s="292"/>
      <c r="O85" s="292"/>
      <c r="P85" s="292"/>
    </row>
    <row r="86" spans="2:16" x14ac:dyDescent="0.25">
      <c r="B86" s="223">
        <v>449</v>
      </c>
      <c r="C86" s="290"/>
      <c r="D86" s="290">
        <v>250</v>
      </c>
      <c r="E86" s="290"/>
      <c r="F86" s="100">
        <f t="shared" si="2"/>
        <v>250</v>
      </c>
      <c r="G86" s="289">
        <v>908</v>
      </c>
      <c r="I86" s="294"/>
      <c r="J86" s="295"/>
      <c r="K86" s="294"/>
      <c r="L86" s="294">
        <f t="shared" si="3"/>
        <v>0</v>
      </c>
      <c r="M86" s="292"/>
      <c r="N86" s="292"/>
      <c r="O86" s="292"/>
      <c r="P86" s="292"/>
    </row>
    <row r="87" spans="2:16" x14ac:dyDescent="0.25">
      <c r="B87" s="223">
        <v>455</v>
      </c>
      <c r="C87" s="290"/>
      <c r="D87" s="290"/>
      <c r="E87" s="290"/>
      <c r="F87" s="100">
        <f t="shared" si="2"/>
        <v>0</v>
      </c>
      <c r="I87" s="294"/>
      <c r="J87" s="295"/>
      <c r="K87" s="294"/>
      <c r="L87" s="294">
        <f t="shared" si="3"/>
        <v>0</v>
      </c>
      <c r="M87" s="292"/>
      <c r="N87" s="292"/>
      <c r="O87" s="292"/>
      <c r="P87" s="292"/>
    </row>
    <row r="88" spans="2:16" x14ac:dyDescent="0.25">
      <c r="B88" s="223">
        <v>458</v>
      </c>
      <c r="C88" s="290"/>
      <c r="D88" s="290"/>
      <c r="E88" s="290"/>
      <c r="F88" s="100">
        <f t="shared" si="2"/>
        <v>0</v>
      </c>
      <c r="I88" s="294"/>
      <c r="J88" s="295"/>
      <c r="K88" s="294"/>
      <c r="L88" s="294">
        <f t="shared" si="3"/>
        <v>0</v>
      </c>
      <c r="M88" s="292"/>
      <c r="N88" s="292"/>
      <c r="O88" s="292"/>
      <c r="P88" s="292"/>
    </row>
    <row r="89" spans="2:16" x14ac:dyDescent="0.25">
      <c r="B89" s="223">
        <v>473</v>
      </c>
      <c r="C89" s="290"/>
      <c r="D89" s="290">
        <v>100</v>
      </c>
      <c r="E89" s="290">
        <v>100</v>
      </c>
      <c r="F89" s="100">
        <f t="shared" si="2"/>
        <v>200</v>
      </c>
      <c r="G89" s="289">
        <v>921</v>
      </c>
      <c r="I89" s="294">
        <v>0</v>
      </c>
      <c r="J89" s="294">
        <v>39.74</v>
      </c>
      <c r="K89" s="294">
        <v>0</v>
      </c>
      <c r="L89" s="294">
        <f t="shared" si="3"/>
        <v>39.74</v>
      </c>
      <c r="M89" s="292"/>
      <c r="N89" s="299">
        <v>19.87</v>
      </c>
      <c r="O89" s="300">
        <f>+J89-N89</f>
        <v>19.87</v>
      </c>
      <c r="P89" s="292"/>
    </row>
    <row r="90" spans="2:16" x14ac:dyDescent="0.25">
      <c r="B90" s="223">
        <v>475</v>
      </c>
      <c r="C90" s="290"/>
      <c r="D90" s="290"/>
      <c r="E90" s="290"/>
      <c r="F90" s="100">
        <f t="shared" si="2"/>
        <v>0</v>
      </c>
      <c r="I90" s="294">
        <v>700.78</v>
      </c>
      <c r="J90" s="294">
        <v>0</v>
      </c>
      <c r="K90" s="294">
        <v>0</v>
      </c>
      <c r="L90" s="294">
        <f t="shared" si="3"/>
        <v>700.78</v>
      </c>
      <c r="M90" s="292"/>
      <c r="N90" s="292"/>
      <c r="O90" s="292"/>
      <c r="P90" s="292"/>
    </row>
    <row r="91" spans="2:16" x14ac:dyDescent="0.25">
      <c r="B91" s="223">
        <v>476</v>
      </c>
      <c r="C91" s="290"/>
      <c r="D91" s="290"/>
      <c r="E91" s="290"/>
      <c r="F91" s="100">
        <f t="shared" si="2"/>
        <v>0</v>
      </c>
      <c r="I91" s="294"/>
      <c r="J91" s="294"/>
      <c r="K91" s="294"/>
      <c r="L91" s="294">
        <f t="shared" si="3"/>
        <v>0</v>
      </c>
      <c r="M91" s="292"/>
      <c r="N91" s="292"/>
      <c r="O91" s="292"/>
      <c r="P91" s="292"/>
    </row>
    <row r="92" spans="2:16" x14ac:dyDescent="0.25">
      <c r="B92" s="223">
        <v>478</v>
      </c>
      <c r="C92" s="290"/>
      <c r="D92" s="290"/>
      <c r="E92" s="290"/>
      <c r="F92" s="100">
        <f t="shared" si="2"/>
        <v>0</v>
      </c>
      <c r="I92" s="294">
        <v>815</v>
      </c>
      <c r="J92" s="294">
        <v>0</v>
      </c>
      <c r="K92" s="294">
        <v>454.02</v>
      </c>
      <c r="L92" s="294">
        <f t="shared" si="3"/>
        <v>1269.02</v>
      </c>
      <c r="M92" s="292"/>
      <c r="N92" s="292"/>
      <c r="O92" s="292"/>
      <c r="P92" s="292"/>
    </row>
    <row r="93" spans="2:16" x14ac:dyDescent="0.25">
      <c r="B93" s="223">
        <v>479</v>
      </c>
      <c r="C93" s="290"/>
      <c r="D93" s="290"/>
      <c r="E93" s="290"/>
      <c r="F93" s="100">
        <f t="shared" si="2"/>
        <v>0</v>
      </c>
      <c r="I93" s="294"/>
      <c r="J93" s="294"/>
      <c r="K93" s="294"/>
      <c r="L93" s="294">
        <f t="shared" si="3"/>
        <v>0</v>
      </c>
      <c r="M93" s="292"/>
      <c r="N93" s="292"/>
      <c r="O93" s="292"/>
      <c r="P93" s="292"/>
    </row>
    <row r="94" spans="2:16" x14ac:dyDescent="0.25">
      <c r="B94" s="223">
        <v>491</v>
      </c>
      <c r="C94" s="290"/>
      <c r="D94" s="290">
        <v>125</v>
      </c>
      <c r="E94" s="290">
        <v>50</v>
      </c>
      <c r="F94" s="100">
        <f t="shared" si="2"/>
        <v>175</v>
      </c>
      <c r="G94" s="289">
        <v>598</v>
      </c>
      <c r="I94" s="294">
        <v>0</v>
      </c>
      <c r="J94" s="295">
        <v>19.89</v>
      </c>
      <c r="K94" s="294">
        <v>0</v>
      </c>
      <c r="L94" s="294">
        <f t="shared" si="3"/>
        <v>19.89</v>
      </c>
      <c r="M94" s="292"/>
      <c r="N94" s="292"/>
      <c r="O94" s="292"/>
      <c r="P94" s="292"/>
    </row>
    <row r="95" spans="2:16" x14ac:dyDescent="0.25">
      <c r="B95" s="223">
        <v>496</v>
      </c>
      <c r="C95" s="290"/>
      <c r="D95" s="290">
        <v>300</v>
      </c>
      <c r="E95" s="290"/>
      <c r="F95" s="100">
        <f t="shared" si="2"/>
        <v>300</v>
      </c>
      <c r="G95" s="289">
        <v>598</v>
      </c>
      <c r="I95" s="294"/>
      <c r="J95" s="295"/>
      <c r="K95" s="294"/>
      <c r="L95" s="294">
        <f t="shared" si="3"/>
        <v>0</v>
      </c>
      <c r="M95" s="292"/>
      <c r="N95" s="292"/>
      <c r="O95" s="292"/>
      <c r="P95" s="292"/>
    </row>
    <row r="96" spans="2:16" x14ac:dyDescent="0.25">
      <c r="B96" s="223">
        <v>497</v>
      </c>
      <c r="C96" s="290"/>
      <c r="D96" s="290"/>
      <c r="E96" s="290"/>
      <c r="F96" s="100">
        <f t="shared" si="2"/>
        <v>0</v>
      </c>
      <c r="I96" s="294"/>
      <c r="J96" s="295"/>
      <c r="K96" s="294"/>
      <c r="L96" s="294">
        <f t="shared" si="3"/>
        <v>0</v>
      </c>
      <c r="M96" s="292"/>
      <c r="N96" s="292"/>
      <c r="O96" s="292"/>
      <c r="P96" s="292"/>
    </row>
    <row r="97" spans="2:16" x14ac:dyDescent="0.25">
      <c r="B97" s="223">
        <v>498</v>
      </c>
      <c r="C97" s="290"/>
      <c r="D97" s="290"/>
      <c r="E97" s="290"/>
      <c r="F97" s="100">
        <f t="shared" si="2"/>
        <v>0</v>
      </c>
      <c r="I97" s="294"/>
      <c r="J97" s="295"/>
      <c r="K97" s="294"/>
      <c r="L97" s="294">
        <f t="shared" si="3"/>
        <v>0</v>
      </c>
      <c r="M97" s="292"/>
      <c r="N97" s="292"/>
      <c r="O97" s="292"/>
      <c r="P97" s="292"/>
    </row>
    <row r="98" spans="2:16" x14ac:dyDescent="0.25">
      <c r="B98" s="223">
        <v>509</v>
      </c>
      <c r="C98" s="290"/>
      <c r="D98" s="290"/>
      <c r="E98" s="290"/>
      <c r="F98" s="100">
        <f t="shared" si="2"/>
        <v>0</v>
      </c>
      <c r="I98" s="294"/>
      <c r="J98" s="295"/>
      <c r="K98" s="294"/>
      <c r="L98" s="294">
        <f t="shared" si="3"/>
        <v>0</v>
      </c>
      <c r="M98" s="292"/>
      <c r="N98" s="292"/>
      <c r="O98" s="292"/>
      <c r="P98" s="292"/>
    </row>
    <row r="99" spans="2:16" x14ac:dyDescent="0.25">
      <c r="B99" s="223">
        <v>512</v>
      </c>
      <c r="C99" s="290"/>
      <c r="D99" s="290"/>
      <c r="E99" s="290"/>
      <c r="F99" s="100">
        <f t="shared" si="2"/>
        <v>0</v>
      </c>
      <c r="I99" s="294"/>
      <c r="J99" s="295"/>
      <c r="K99" s="294"/>
      <c r="L99" s="294">
        <f t="shared" si="3"/>
        <v>0</v>
      </c>
      <c r="M99" s="292"/>
      <c r="N99" s="292"/>
      <c r="O99" s="292"/>
      <c r="P99" s="292"/>
    </row>
    <row r="100" spans="2:16" x14ac:dyDescent="0.25">
      <c r="B100" s="223">
        <v>518</v>
      </c>
      <c r="C100" s="290"/>
      <c r="D100" s="290">
        <v>200</v>
      </c>
      <c r="E100" s="290">
        <v>60</v>
      </c>
      <c r="F100" s="100">
        <f t="shared" si="2"/>
        <v>260</v>
      </c>
      <c r="G100" s="289">
        <v>903</v>
      </c>
      <c r="I100" s="294">
        <v>0</v>
      </c>
      <c r="J100" s="295">
        <v>37.46</v>
      </c>
      <c r="K100" s="294">
        <v>0</v>
      </c>
      <c r="L100" s="294">
        <f t="shared" si="3"/>
        <v>37.46</v>
      </c>
      <c r="M100" s="292"/>
      <c r="N100" s="292"/>
      <c r="O100" s="292"/>
      <c r="P100" s="292"/>
    </row>
    <row r="101" spans="2:16" x14ac:dyDescent="0.25">
      <c r="B101" s="223">
        <v>519</v>
      </c>
      <c r="C101" s="290"/>
      <c r="D101" s="290">
        <v>200</v>
      </c>
      <c r="E101" s="290"/>
      <c r="F101" s="100">
        <f t="shared" si="2"/>
        <v>200</v>
      </c>
      <c r="G101" s="289">
        <v>921</v>
      </c>
      <c r="I101" s="294"/>
      <c r="J101" s="295"/>
      <c r="K101" s="294"/>
      <c r="L101" s="294">
        <f t="shared" si="3"/>
        <v>0</v>
      </c>
      <c r="M101" s="292"/>
      <c r="N101" s="292"/>
      <c r="O101" s="292"/>
      <c r="P101" s="292"/>
    </row>
    <row r="102" spans="2:16" x14ac:dyDescent="0.25">
      <c r="B102" s="223">
        <v>534</v>
      </c>
      <c r="C102" s="290"/>
      <c r="D102" s="290"/>
      <c r="E102" s="290"/>
      <c r="F102" s="100">
        <f t="shared" si="2"/>
        <v>0</v>
      </c>
      <c r="I102" s="294"/>
      <c r="J102" s="295"/>
      <c r="K102" s="294"/>
      <c r="L102" s="294">
        <f t="shared" si="3"/>
        <v>0</v>
      </c>
      <c r="M102" s="292"/>
      <c r="N102" s="292"/>
      <c r="O102" s="292"/>
      <c r="P102" s="292"/>
    </row>
    <row r="103" spans="2:16" x14ac:dyDescent="0.25">
      <c r="B103" s="223">
        <v>535</v>
      </c>
      <c r="C103" s="290"/>
      <c r="D103" s="290"/>
      <c r="E103" s="290">
        <v>50</v>
      </c>
      <c r="F103" s="100">
        <f t="shared" si="2"/>
        <v>50</v>
      </c>
      <c r="G103" s="289">
        <v>598</v>
      </c>
      <c r="I103" s="294">
        <v>0</v>
      </c>
      <c r="J103" s="301">
        <v>19.87</v>
      </c>
      <c r="K103" s="294">
        <v>0</v>
      </c>
      <c r="L103" s="294">
        <f t="shared" si="3"/>
        <v>19.87</v>
      </c>
      <c r="M103" s="292"/>
      <c r="N103" s="292"/>
      <c r="O103" s="292"/>
      <c r="P103" s="292"/>
    </row>
    <row r="104" spans="2:16" x14ac:dyDescent="0.25">
      <c r="B104" s="223">
        <v>536</v>
      </c>
      <c r="C104" s="290"/>
      <c r="D104" s="290"/>
      <c r="E104" s="290">
        <v>50</v>
      </c>
      <c r="F104" s="100">
        <f t="shared" si="2"/>
        <v>50</v>
      </c>
      <c r="G104" s="289">
        <v>588</v>
      </c>
      <c r="I104" s="294">
        <v>0</v>
      </c>
      <c r="J104" s="295">
        <v>19.87</v>
      </c>
      <c r="K104" s="294">
        <v>0</v>
      </c>
      <c r="L104" s="294">
        <f t="shared" si="3"/>
        <v>19.87</v>
      </c>
      <c r="M104" s="292"/>
      <c r="N104" s="292"/>
      <c r="O104" s="292"/>
      <c r="P104" s="292"/>
    </row>
    <row r="105" spans="2:16" x14ac:dyDescent="0.25">
      <c r="B105" s="223">
        <v>538</v>
      </c>
      <c r="C105" s="290"/>
      <c r="D105" s="290"/>
      <c r="E105" s="290"/>
      <c r="F105" s="100">
        <f t="shared" si="2"/>
        <v>0</v>
      </c>
      <c r="I105" s="294"/>
      <c r="J105" s="295"/>
      <c r="K105" s="294"/>
      <c r="L105" s="294">
        <f t="shared" si="3"/>
        <v>0</v>
      </c>
      <c r="M105" s="292"/>
      <c r="N105" s="292"/>
      <c r="O105" s="292"/>
      <c r="P105" s="292"/>
    </row>
    <row r="106" spans="2:16" x14ac:dyDescent="0.25">
      <c r="B106" s="223">
        <v>539</v>
      </c>
      <c r="C106" s="290"/>
      <c r="D106" s="290"/>
      <c r="E106" s="290">
        <v>50</v>
      </c>
      <c r="F106" s="100">
        <f t="shared" si="2"/>
        <v>50</v>
      </c>
      <c r="G106" s="289">
        <v>588</v>
      </c>
      <c r="I106" s="294">
        <v>0</v>
      </c>
      <c r="J106" s="295">
        <v>19.89</v>
      </c>
      <c r="K106" s="294">
        <v>0</v>
      </c>
      <c r="L106" s="294">
        <f t="shared" si="3"/>
        <v>19.89</v>
      </c>
      <c r="M106" s="292"/>
      <c r="N106" s="292"/>
      <c r="O106" s="292"/>
      <c r="P106" s="292"/>
    </row>
    <row r="107" spans="2:16" x14ac:dyDescent="0.25">
      <c r="B107" s="223">
        <v>541</v>
      </c>
      <c r="C107" s="290"/>
      <c r="D107" s="290"/>
      <c r="E107" s="290">
        <v>50</v>
      </c>
      <c r="F107" s="100">
        <f t="shared" si="2"/>
        <v>50</v>
      </c>
      <c r="G107" s="289">
        <v>588</v>
      </c>
      <c r="I107" s="294">
        <v>0</v>
      </c>
      <c r="J107" s="295">
        <v>31.24</v>
      </c>
      <c r="K107" s="294">
        <v>0</v>
      </c>
      <c r="L107" s="294">
        <f t="shared" si="3"/>
        <v>31.24</v>
      </c>
      <c r="M107" s="292"/>
      <c r="N107" s="292"/>
      <c r="O107" s="292"/>
      <c r="P107" s="292"/>
    </row>
    <row r="108" spans="2:16" x14ac:dyDescent="0.25">
      <c r="B108" s="223">
        <v>556</v>
      </c>
      <c r="C108" s="290"/>
      <c r="D108" s="290"/>
      <c r="E108" s="290"/>
      <c r="F108" s="100">
        <f t="shared" si="2"/>
        <v>0</v>
      </c>
      <c r="I108" s="294">
        <v>350.38</v>
      </c>
      <c r="J108" s="294">
        <v>0</v>
      </c>
      <c r="K108" s="294">
        <v>451.9</v>
      </c>
      <c r="L108" s="294">
        <f t="shared" si="3"/>
        <v>802.28</v>
      </c>
      <c r="M108" s="292"/>
      <c r="N108" s="292"/>
      <c r="O108" s="292"/>
      <c r="P108" s="292"/>
    </row>
    <row r="109" spans="2:16" x14ac:dyDescent="0.25">
      <c r="B109" s="223">
        <v>578</v>
      </c>
      <c r="C109" s="290"/>
      <c r="D109" s="290"/>
      <c r="E109" s="290">
        <v>50</v>
      </c>
      <c r="F109" s="100">
        <f t="shared" si="2"/>
        <v>50</v>
      </c>
      <c r="G109" s="289">
        <v>588</v>
      </c>
      <c r="I109" s="294">
        <v>0</v>
      </c>
      <c r="J109" s="295">
        <v>28.2</v>
      </c>
      <c r="K109" s="294">
        <v>0</v>
      </c>
      <c r="L109" s="294">
        <f t="shared" si="3"/>
        <v>28.2</v>
      </c>
      <c r="M109" s="292"/>
      <c r="N109" s="292"/>
      <c r="O109" s="292"/>
      <c r="P109" s="292"/>
    </row>
    <row r="110" spans="2:16" x14ac:dyDescent="0.25">
      <c r="B110" s="223">
        <v>580</v>
      </c>
      <c r="C110" s="290"/>
      <c r="D110" s="290"/>
      <c r="E110" s="290">
        <v>50</v>
      </c>
      <c r="F110" s="100">
        <f t="shared" si="2"/>
        <v>50</v>
      </c>
      <c r="G110" s="289">
        <v>921</v>
      </c>
      <c r="I110" s="294">
        <v>350.38</v>
      </c>
      <c r="J110" s="295">
        <v>18.41</v>
      </c>
      <c r="K110" s="294">
        <v>0</v>
      </c>
      <c r="L110" s="294">
        <f t="shared" si="3"/>
        <v>368.79</v>
      </c>
      <c r="M110" s="292"/>
      <c r="N110" s="292"/>
      <c r="O110" s="292"/>
      <c r="P110" s="292"/>
    </row>
    <row r="111" spans="2:16" x14ac:dyDescent="0.25">
      <c r="B111" s="223">
        <v>581</v>
      </c>
      <c r="C111" s="290"/>
      <c r="D111" s="290"/>
      <c r="E111" s="290"/>
      <c r="F111" s="100">
        <f t="shared" si="2"/>
        <v>0</v>
      </c>
      <c r="I111" s="294"/>
      <c r="J111" s="295"/>
      <c r="K111" s="294"/>
      <c r="L111" s="294">
        <f t="shared" si="3"/>
        <v>0</v>
      </c>
      <c r="M111" s="292"/>
      <c r="N111" s="292"/>
      <c r="O111" s="292"/>
      <c r="P111" s="292"/>
    </row>
    <row r="112" spans="2:16" x14ac:dyDescent="0.25">
      <c r="B112" s="223">
        <v>598</v>
      </c>
      <c r="C112" s="290"/>
      <c r="D112" s="290">
        <v>75</v>
      </c>
      <c r="E112" s="290">
        <v>15</v>
      </c>
      <c r="F112" s="100">
        <f t="shared" si="2"/>
        <v>90</v>
      </c>
      <c r="G112" s="289">
        <v>921</v>
      </c>
      <c r="I112" s="294">
        <v>0</v>
      </c>
      <c r="J112" s="301">
        <v>9.3800000000000008</v>
      </c>
      <c r="K112" s="294">
        <v>0</v>
      </c>
      <c r="L112" s="294">
        <f t="shared" si="3"/>
        <v>9.3800000000000008</v>
      </c>
      <c r="M112" s="292"/>
      <c r="N112" s="292"/>
      <c r="O112" s="292"/>
      <c r="P112" s="292"/>
    </row>
    <row r="113" spans="2:16" x14ac:dyDescent="0.25">
      <c r="B113" s="223">
        <v>600</v>
      </c>
      <c r="C113" s="290"/>
      <c r="D113" s="290"/>
      <c r="E113" s="290"/>
      <c r="F113" s="100">
        <f t="shared" si="2"/>
        <v>0</v>
      </c>
      <c r="I113" s="294"/>
      <c r="J113" s="301"/>
      <c r="K113" s="294"/>
      <c r="L113" s="294">
        <f t="shared" si="3"/>
        <v>0</v>
      </c>
      <c r="M113" s="292"/>
      <c r="N113" s="292"/>
      <c r="O113" s="292"/>
      <c r="P113" s="292"/>
    </row>
    <row r="114" spans="2:16" x14ac:dyDescent="0.25">
      <c r="B114" s="223">
        <v>610</v>
      </c>
      <c r="C114" s="290">
        <v>750</v>
      </c>
      <c r="D114" s="290"/>
      <c r="E114" s="290"/>
      <c r="F114" s="100">
        <f t="shared" si="2"/>
        <v>750</v>
      </c>
      <c r="G114" s="289">
        <v>163</v>
      </c>
      <c r="I114" s="294"/>
      <c r="J114" s="301"/>
      <c r="K114" s="294"/>
      <c r="L114" s="294">
        <f t="shared" si="3"/>
        <v>0</v>
      </c>
      <c r="M114" s="292"/>
      <c r="N114" s="292"/>
      <c r="O114" s="292"/>
      <c r="P114" s="292"/>
    </row>
    <row r="115" spans="2:16" x14ac:dyDescent="0.25">
      <c r="B115" s="223">
        <v>612</v>
      </c>
      <c r="C115" s="290"/>
      <c r="D115" s="290"/>
      <c r="E115" s="290"/>
      <c r="F115" s="100">
        <f t="shared" si="2"/>
        <v>0</v>
      </c>
      <c r="I115" s="294">
        <v>0</v>
      </c>
      <c r="J115" s="294">
        <v>0</v>
      </c>
      <c r="K115" s="294">
        <v>407.6</v>
      </c>
      <c r="L115" s="294">
        <f t="shared" si="3"/>
        <v>407.6</v>
      </c>
      <c r="M115" s="292"/>
      <c r="N115" s="292"/>
      <c r="O115" s="292"/>
      <c r="P115" s="292"/>
    </row>
    <row r="116" spans="2:16" x14ac:dyDescent="0.25">
      <c r="B116" s="223">
        <v>616</v>
      </c>
      <c r="C116" s="290"/>
      <c r="D116" s="290"/>
      <c r="E116" s="290">
        <v>70</v>
      </c>
      <c r="F116" s="100">
        <f t="shared" si="2"/>
        <v>70</v>
      </c>
      <c r="G116" s="289">
        <v>903</v>
      </c>
      <c r="I116" s="294">
        <v>0</v>
      </c>
      <c r="J116" s="295">
        <v>27.85</v>
      </c>
      <c r="K116" s="294">
        <v>0</v>
      </c>
      <c r="L116" s="294">
        <f t="shared" si="3"/>
        <v>27.85</v>
      </c>
      <c r="M116" s="292"/>
      <c r="N116" s="292"/>
      <c r="O116" s="292"/>
      <c r="P116" s="292"/>
    </row>
    <row r="117" spans="2:16" x14ac:dyDescent="0.25">
      <c r="B117" s="223">
        <v>617</v>
      </c>
      <c r="C117" s="290"/>
      <c r="D117" s="290">
        <v>300</v>
      </c>
      <c r="E117" s="290">
        <v>50</v>
      </c>
      <c r="F117" s="100">
        <f t="shared" si="2"/>
        <v>350</v>
      </c>
      <c r="G117" s="289">
        <v>921</v>
      </c>
      <c r="I117" s="294">
        <v>0</v>
      </c>
      <c r="J117" s="295">
        <v>31.24</v>
      </c>
      <c r="K117" s="294">
        <v>326.73</v>
      </c>
      <c r="L117" s="294">
        <f t="shared" si="3"/>
        <v>357.97</v>
      </c>
      <c r="M117" s="292"/>
      <c r="N117" s="292"/>
      <c r="O117" s="292"/>
      <c r="P117" s="292"/>
    </row>
    <row r="118" spans="2:16" x14ac:dyDescent="0.25">
      <c r="B118" s="223">
        <v>618</v>
      </c>
      <c r="C118" s="290"/>
      <c r="D118" s="290">
        <v>150</v>
      </c>
      <c r="E118" s="290"/>
      <c r="F118" s="100">
        <f t="shared" si="2"/>
        <v>150</v>
      </c>
      <c r="G118" s="289">
        <v>588</v>
      </c>
      <c r="I118" s="294"/>
      <c r="J118" s="295"/>
      <c r="K118" s="294"/>
      <c r="L118" s="294">
        <f t="shared" si="3"/>
        <v>0</v>
      </c>
      <c r="M118" s="292"/>
      <c r="N118" s="292"/>
      <c r="O118" s="292"/>
      <c r="P118" s="292"/>
    </row>
    <row r="119" spans="2:16" x14ac:dyDescent="0.25">
      <c r="B119" s="223">
        <v>634</v>
      </c>
      <c r="C119" s="290"/>
      <c r="D119" s="290"/>
      <c r="E119" s="290">
        <v>70</v>
      </c>
      <c r="F119" s="100">
        <f t="shared" si="2"/>
        <v>70</v>
      </c>
      <c r="G119" s="289">
        <v>903</v>
      </c>
      <c r="I119" s="294">
        <v>0</v>
      </c>
      <c r="J119" s="295">
        <v>27.84</v>
      </c>
      <c r="K119" s="294">
        <v>0</v>
      </c>
      <c r="L119" s="294">
        <f t="shared" si="3"/>
        <v>27.84</v>
      </c>
      <c r="M119" s="292"/>
      <c r="N119" s="292"/>
      <c r="O119" s="292"/>
      <c r="P119" s="292"/>
    </row>
    <row r="120" spans="2:16" x14ac:dyDescent="0.25">
      <c r="B120" s="223">
        <v>635</v>
      </c>
      <c r="C120" s="290"/>
      <c r="D120" s="290"/>
      <c r="E120" s="290"/>
      <c r="F120" s="100">
        <f t="shared" si="2"/>
        <v>0</v>
      </c>
      <c r="I120" s="294"/>
      <c r="J120" s="295"/>
      <c r="K120" s="294"/>
      <c r="L120" s="294">
        <f t="shared" si="3"/>
        <v>0</v>
      </c>
      <c r="M120" s="292"/>
      <c r="N120" s="292"/>
      <c r="O120" s="292"/>
      <c r="P120" s="292"/>
    </row>
    <row r="121" spans="2:16" x14ac:dyDescent="0.25">
      <c r="B121" s="223">
        <v>637</v>
      </c>
      <c r="C121" s="290"/>
      <c r="D121" s="290"/>
      <c r="E121" s="290"/>
      <c r="F121" s="100">
        <f t="shared" si="2"/>
        <v>0</v>
      </c>
      <c r="I121" s="294"/>
      <c r="J121" s="295"/>
      <c r="K121" s="294"/>
      <c r="L121" s="294">
        <f t="shared" si="3"/>
        <v>0</v>
      </c>
      <c r="M121" s="292"/>
      <c r="N121" s="292"/>
      <c r="O121" s="292"/>
      <c r="P121" s="292"/>
    </row>
    <row r="122" spans="2:16" x14ac:dyDescent="0.25">
      <c r="B122" s="223">
        <v>638</v>
      </c>
      <c r="C122" s="290"/>
      <c r="D122" s="290"/>
      <c r="E122" s="290">
        <v>50</v>
      </c>
      <c r="F122" s="100">
        <f t="shared" si="2"/>
        <v>50</v>
      </c>
      <c r="G122" s="289">
        <v>598</v>
      </c>
      <c r="I122" s="294">
        <v>0</v>
      </c>
      <c r="J122" s="295">
        <v>19.91</v>
      </c>
      <c r="K122" s="294">
        <v>0</v>
      </c>
      <c r="L122" s="294">
        <f t="shared" si="3"/>
        <v>19.91</v>
      </c>
      <c r="M122" s="292"/>
      <c r="N122" s="292"/>
      <c r="O122" s="292"/>
      <c r="P122" s="292"/>
    </row>
    <row r="123" spans="2:16" x14ac:dyDescent="0.25">
      <c r="B123" s="223">
        <v>640</v>
      </c>
      <c r="C123" s="290"/>
      <c r="D123" s="290"/>
      <c r="E123" s="290"/>
      <c r="F123" s="100">
        <f t="shared" si="2"/>
        <v>0</v>
      </c>
      <c r="I123" s="294"/>
      <c r="J123" s="295"/>
      <c r="K123" s="294"/>
      <c r="L123" s="294">
        <f t="shared" si="3"/>
        <v>0</v>
      </c>
      <c r="M123" s="292"/>
      <c r="N123" s="292"/>
      <c r="O123" s="292"/>
      <c r="P123" s="292"/>
    </row>
    <row r="124" spans="2:16" x14ac:dyDescent="0.25">
      <c r="B124" s="223">
        <v>642</v>
      </c>
      <c r="C124" s="290"/>
      <c r="D124" s="290"/>
      <c r="E124" s="290">
        <v>100</v>
      </c>
      <c r="F124" s="100">
        <f t="shared" si="2"/>
        <v>100</v>
      </c>
      <c r="G124" s="289">
        <v>921</v>
      </c>
      <c r="I124" s="294">
        <v>0</v>
      </c>
      <c r="J124" s="294">
        <v>39.75</v>
      </c>
      <c r="K124" s="294">
        <v>0</v>
      </c>
      <c r="L124" s="294">
        <f t="shared" si="3"/>
        <v>39.75</v>
      </c>
      <c r="M124" s="292"/>
      <c r="N124" s="299">
        <v>19.87</v>
      </c>
      <c r="O124" s="300">
        <f>+J124-N124</f>
        <v>19.88</v>
      </c>
      <c r="P124" s="292"/>
    </row>
    <row r="125" spans="2:16" x14ac:dyDescent="0.25">
      <c r="B125" s="223">
        <v>643</v>
      </c>
      <c r="C125" s="290"/>
      <c r="D125" s="290"/>
      <c r="E125" s="290">
        <v>50</v>
      </c>
      <c r="F125" s="100">
        <f t="shared" si="2"/>
        <v>50</v>
      </c>
      <c r="G125" s="289">
        <v>163</v>
      </c>
      <c r="I125" s="294">
        <v>1014.2</v>
      </c>
      <c r="J125" s="295">
        <v>17.61</v>
      </c>
      <c r="K125" s="294">
        <v>0</v>
      </c>
      <c r="L125" s="294">
        <f t="shared" si="3"/>
        <v>1031.81</v>
      </c>
      <c r="M125" s="292"/>
      <c r="N125" s="292"/>
      <c r="O125" s="292"/>
      <c r="P125" s="292"/>
    </row>
    <row r="126" spans="2:16" x14ac:dyDescent="0.25">
      <c r="B126" s="223">
        <v>644</v>
      </c>
      <c r="C126" s="290"/>
      <c r="D126" s="290">
        <v>100</v>
      </c>
      <c r="E126" s="290"/>
      <c r="F126" s="100">
        <f t="shared" si="2"/>
        <v>100</v>
      </c>
      <c r="G126" s="289">
        <v>598</v>
      </c>
      <c r="I126" s="294"/>
      <c r="J126" s="295"/>
      <c r="K126" s="294"/>
      <c r="L126" s="294">
        <f t="shared" si="3"/>
        <v>0</v>
      </c>
      <c r="M126" s="292"/>
      <c r="N126" s="292"/>
      <c r="O126" s="292"/>
      <c r="P126" s="292"/>
    </row>
    <row r="127" spans="2:16" x14ac:dyDescent="0.25">
      <c r="B127" s="223">
        <v>645</v>
      </c>
      <c r="C127" s="290"/>
      <c r="D127" s="290">
        <v>100</v>
      </c>
      <c r="E127" s="290">
        <v>50</v>
      </c>
      <c r="F127" s="100">
        <f t="shared" si="2"/>
        <v>150</v>
      </c>
      <c r="G127" s="289">
        <v>930.2</v>
      </c>
      <c r="I127" s="294">
        <v>0</v>
      </c>
      <c r="J127" s="295">
        <v>31.44</v>
      </c>
      <c r="K127" s="294">
        <v>0</v>
      </c>
      <c r="L127" s="294">
        <f t="shared" si="3"/>
        <v>31.44</v>
      </c>
      <c r="M127" s="292"/>
      <c r="N127" s="292"/>
      <c r="O127" s="292"/>
      <c r="P127" s="292"/>
    </row>
    <row r="128" spans="2:16" x14ac:dyDescent="0.25">
      <c r="B128" s="223">
        <v>646</v>
      </c>
      <c r="C128" s="290"/>
      <c r="D128" s="290">
        <v>100</v>
      </c>
      <c r="E128" s="290">
        <v>50</v>
      </c>
      <c r="F128" s="100">
        <f t="shared" si="2"/>
        <v>150</v>
      </c>
      <c r="G128" s="289">
        <v>903</v>
      </c>
      <c r="I128" s="294">
        <v>700.78</v>
      </c>
      <c r="J128" s="295">
        <v>19.88</v>
      </c>
      <c r="K128" s="294">
        <v>0</v>
      </c>
      <c r="L128" s="294">
        <f t="shared" si="3"/>
        <v>720.66</v>
      </c>
      <c r="M128" s="292"/>
      <c r="N128" s="292"/>
      <c r="O128" s="292"/>
      <c r="P128" s="292"/>
    </row>
    <row r="129" spans="2:16" x14ac:dyDescent="0.25">
      <c r="B129" s="223">
        <v>647</v>
      </c>
      <c r="C129" s="290"/>
      <c r="D129" s="290">
        <v>100</v>
      </c>
      <c r="E129" s="290">
        <v>70</v>
      </c>
      <c r="F129" s="100">
        <f t="shared" si="2"/>
        <v>170</v>
      </c>
      <c r="G129" s="289">
        <v>903</v>
      </c>
      <c r="I129" s="294">
        <v>0</v>
      </c>
      <c r="J129" s="295">
        <v>24.65</v>
      </c>
      <c r="K129" s="294">
        <v>0</v>
      </c>
      <c r="L129" s="294">
        <f t="shared" si="3"/>
        <v>24.65</v>
      </c>
      <c r="M129" s="292"/>
      <c r="N129" s="292"/>
      <c r="O129" s="292"/>
      <c r="P129" s="292"/>
    </row>
    <row r="130" spans="2:16" x14ac:dyDescent="0.25">
      <c r="B130" s="223">
        <v>648</v>
      </c>
      <c r="C130" s="290"/>
      <c r="D130" s="290">
        <v>100</v>
      </c>
      <c r="E130" s="290">
        <v>0</v>
      </c>
      <c r="F130" s="100">
        <f t="shared" si="2"/>
        <v>100</v>
      </c>
      <c r="G130" s="289">
        <v>921</v>
      </c>
      <c r="I130" s="294"/>
      <c r="J130" s="295"/>
      <c r="K130" s="294"/>
      <c r="L130" s="294">
        <f t="shared" si="3"/>
        <v>0</v>
      </c>
      <c r="M130" s="292"/>
      <c r="N130" s="292"/>
      <c r="O130" s="292"/>
      <c r="P130" s="292"/>
    </row>
    <row r="131" spans="2:16" x14ac:dyDescent="0.25">
      <c r="B131" s="223">
        <v>649</v>
      </c>
      <c r="C131" s="290"/>
      <c r="D131" s="290">
        <v>100</v>
      </c>
      <c r="E131" s="290">
        <v>50</v>
      </c>
      <c r="F131" s="100">
        <f t="shared" si="2"/>
        <v>150</v>
      </c>
      <c r="G131" s="289">
        <v>588</v>
      </c>
      <c r="I131" s="294">
        <v>0</v>
      </c>
      <c r="J131" s="295">
        <v>31.23</v>
      </c>
      <c r="K131" s="294">
        <v>0</v>
      </c>
      <c r="L131" s="294">
        <f t="shared" si="3"/>
        <v>31.23</v>
      </c>
      <c r="M131" s="292"/>
      <c r="N131" s="292"/>
      <c r="O131" s="292"/>
      <c r="P131" s="292"/>
    </row>
    <row r="132" spans="2:16" x14ac:dyDescent="0.25">
      <c r="B132" s="223">
        <v>650</v>
      </c>
      <c r="C132" s="290"/>
      <c r="D132" s="290">
        <v>50</v>
      </c>
      <c r="E132" s="290">
        <v>110</v>
      </c>
      <c r="F132" s="100">
        <f t="shared" ref="F132:F161" si="4">SUM(C132:E132)</f>
        <v>160</v>
      </c>
      <c r="G132" s="289">
        <v>903</v>
      </c>
      <c r="I132" s="294">
        <v>0</v>
      </c>
      <c r="J132" s="295">
        <v>23.86</v>
      </c>
      <c r="K132" s="294">
        <v>0</v>
      </c>
      <c r="L132" s="294">
        <f t="shared" ref="L132:L161" si="5">SUM(I132:K132)</f>
        <v>23.86</v>
      </c>
      <c r="M132" s="292"/>
      <c r="N132" s="292"/>
      <c r="O132" s="292"/>
      <c r="P132" s="292"/>
    </row>
    <row r="133" spans="2:16" x14ac:dyDescent="0.25">
      <c r="B133" s="223">
        <v>651</v>
      </c>
      <c r="C133" s="290"/>
      <c r="D133" s="290"/>
      <c r="E133" s="290">
        <v>70</v>
      </c>
      <c r="F133" s="100">
        <f t="shared" si="4"/>
        <v>70</v>
      </c>
      <c r="G133" s="289">
        <v>903</v>
      </c>
      <c r="I133" s="294">
        <v>0</v>
      </c>
      <c r="J133" s="295">
        <v>43.73</v>
      </c>
      <c r="K133" s="294">
        <v>0</v>
      </c>
      <c r="L133" s="294">
        <f t="shared" si="5"/>
        <v>43.73</v>
      </c>
      <c r="M133" s="292"/>
      <c r="N133" s="292"/>
      <c r="O133" s="292"/>
      <c r="P133" s="292"/>
    </row>
    <row r="134" spans="2:16" x14ac:dyDescent="0.25">
      <c r="B134" s="223">
        <v>653</v>
      </c>
      <c r="C134" s="290"/>
      <c r="D134" s="290"/>
      <c r="E134" s="290"/>
      <c r="F134" s="100">
        <f t="shared" si="4"/>
        <v>0</v>
      </c>
      <c r="I134" s="294"/>
      <c r="J134" s="295"/>
      <c r="K134" s="294"/>
      <c r="L134" s="294">
        <f t="shared" si="5"/>
        <v>0</v>
      </c>
      <c r="M134" s="292"/>
      <c r="N134" s="292"/>
      <c r="O134" s="292"/>
      <c r="P134" s="292"/>
    </row>
    <row r="135" spans="2:16" x14ac:dyDescent="0.25">
      <c r="B135" s="223">
        <v>654</v>
      </c>
      <c r="C135" s="290"/>
      <c r="D135" s="290"/>
      <c r="E135" s="290"/>
      <c r="F135" s="100">
        <f t="shared" si="4"/>
        <v>0</v>
      </c>
      <c r="I135" s="294"/>
      <c r="J135" s="295"/>
      <c r="K135" s="294"/>
      <c r="L135" s="294">
        <f t="shared" si="5"/>
        <v>0</v>
      </c>
      <c r="M135" s="292"/>
      <c r="N135" s="292"/>
      <c r="O135" s="292"/>
      <c r="P135" s="292"/>
    </row>
    <row r="136" spans="2:16" x14ac:dyDescent="0.25">
      <c r="B136" s="223">
        <v>655</v>
      </c>
      <c r="C136" s="290"/>
      <c r="D136" s="290"/>
      <c r="E136" s="290"/>
      <c r="F136" s="100">
        <f t="shared" si="4"/>
        <v>0</v>
      </c>
      <c r="I136" s="294"/>
      <c r="J136" s="295"/>
      <c r="K136" s="294"/>
      <c r="L136" s="294">
        <f t="shared" si="5"/>
        <v>0</v>
      </c>
      <c r="M136" s="292"/>
      <c r="N136" s="292"/>
      <c r="O136" s="292"/>
      <c r="P136" s="292"/>
    </row>
    <row r="137" spans="2:16" x14ac:dyDescent="0.25">
      <c r="B137" s="223">
        <v>656</v>
      </c>
      <c r="C137" s="290"/>
      <c r="D137" s="290"/>
      <c r="E137" s="290"/>
      <c r="F137" s="100">
        <f t="shared" si="4"/>
        <v>0</v>
      </c>
      <c r="I137" s="294">
        <v>14171.6</v>
      </c>
      <c r="J137" s="302">
        <v>10454.24</v>
      </c>
      <c r="K137" s="294">
        <v>0</v>
      </c>
      <c r="L137" s="294">
        <f t="shared" si="5"/>
        <v>24625.84</v>
      </c>
      <c r="M137" s="292"/>
      <c r="N137" s="292"/>
      <c r="O137" s="292"/>
      <c r="P137" s="292"/>
    </row>
    <row r="138" spans="2:16" x14ac:dyDescent="0.25">
      <c r="B138" s="223">
        <v>657</v>
      </c>
      <c r="C138" s="290"/>
      <c r="D138" s="290"/>
      <c r="E138" s="290"/>
      <c r="F138" s="100">
        <f t="shared" si="4"/>
        <v>0</v>
      </c>
      <c r="I138" s="298"/>
      <c r="J138" s="298"/>
      <c r="K138" s="298"/>
      <c r="L138" s="294">
        <f t="shared" si="5"/>
        <v>0</v>
      </c>
      <c r="M138" s="292"/>
      <c r="N138" s="292"/>
      <c r="O138" s="292"/>
      <c r="P138" s="292"/>
    </row>
    <row r="139" spans="2:16" x14ac:dyDescent="0.25">
      <c r="B139" s="223">
        <v>658</v>
      </c>
      <c r="C139" s="290"/>
      <c r="D139" s="290"/>
      <c r="E139" s="290"/>
      <c r="F139" s="100">
        <f t="shared" si="4"/>
        <v>0</v>
      </c>
      <c r="I139" s="298"/>
      <c r="J139" s="298"/>
      <c r="K139" s="298"/>
      <c r="L139" s="294">
        <f t="shared" si="5"/>
        <v>0</v>
      </c>
      <c r="M139" s="292"/>
      <c r="N139" s="292"/>
      <c r="O139" s="292"/>
      <c r="P139" s="292"/>
    </row>
    <row r="140" spans="2:16" x14ac:dyDescent="0.25">
      <c r="B140" s="223">
        <v>659</v>
      </c>
      <c r="C140" s="290"/>
      <c r="D140" s="290"/>
      <c r="E140" s="290"/>
      <c r="F140" s="100">
        <f t="shared" si="4"/>
        <v>0</v>
      </c>
      <c r="I140" s="298"/>
      <c r="J140" s="298"/>
      <c r="K140" s="298"/>
      <c r="L140" s="294">
        <f t="shared" si="5"/>
        <v>0</v>
      </c>
      <c r="M140" s="292"/>
      <c r="N140" s="292"/>
      <c r="O140" s="292"/>
      <c r="P140" s="292"/>
    </row>
    <row r="141" spans="2:16" x14ac:dyDescent="0.25">
      <c r="B141" s="223">
        <v>660</v>
      </c>
      <c r="C141" s="290"/>
      <c r="D141" s="290"/>
      <c r="E141" s="290"/>
      <c r="F141" s="100">
        <f t="shared" si="4"/>
        <v>0</v>
      </c>
      <c r="I141" s="298"/>
      <c r="J141" s="298"/>
      <c r="K141" s="298"/>
      <c r="L141" s="294">
        <f t="shared" si="5"/>
        <v>0</v>
      </c>
      <c r="M141" s="292"/>
      <c r="N141" s="292"/>
      <c r="O141" s="292"/>
      <c r="P141" s="292"/>
    </row>
    <row r="142" spans="2:16" x14ac:dyDescent="0.25">
      <c r="B142" s="223">
        <v>661</v>
      </c>
      <c r="C142" s="290"/>
      <c r="D142" s="290"/>
      <c r="E142" s="290"/>
      <c r="F142" s="100">
        <f t="shared" si="4"/>
        <v>0</v>
      </c>
      <c r="I142" s="298"/>
      <c r="J142" s="298"/>
      <c r="K142" s="298"/>
      <c r="L142" s="294">
        <f t="shared" si="5"/>
        <v>0</v>
      </c>
      <c r="M142" s="292"/>
      <c r="N142" s="292"/>
      <c r="O142" s="292"/>
      <c r="P142" s="292"/>
    </row>
    <row r="143" spans="2:16" x14ac:dyDescent="0.25">
      <c r="B143" s="223">
        <v>662</v>
      </c>
      <c r="C143" s="290"/>
      <c r="D143" s="290"/>
      <c r="E143" s="290"/>
      <c r="F143" s="100">
        <f t="shared" si="4"/>
        <v>0</v>
      </c>
      <c r="I143" s="298"/>
      <c r="J143" s="298"/>
      <c r="K143" s="298"/>
      <c r="L143" s="294">
        <f t="shared" si="5"/>
        <v>0</v>
      </c>
      <c r="M143" s="292"/>
      <c r="N143" s="292"/>
      <c r="O143" s="292"/>
      <c r="P143" s="292"/>
    </row>
    <row r="144" spans="2:16" x14ac:dyDescent="0.25">
      <c r="B144" s="223">
        <v>663</v>
      </c>
      <c r="C144" s="290"/>
      <c r="D144" s="290"/>
      <c r="E144" s="290"/>
      <c r="F144" s="100">
        <f t="shared" si="4"/>
        <v>0</v>
      </c>
      <c r="I144" s="298"/>
      <c r="J144" s="298"/>
      <c r="K144" s="298"/>
      <c r="L144" s="294">
        <f t="shared" si="5"/>
        <v>0</v>
      </c>
      <c r="M144" s="292"/>
      <c r="N144" s="292"/>
      <c r="O144" s="292"/>
      <c r="P144" s="292"/>
    </row>
    <row r="145" spans="2:16" x14ac:dyDescent="0.25">
      <c r="B145" s="223">
        <v>664</v>
      </c>
      <c r="C145" s="290"/>
      <c r="D145" s="290"/>
      <c r="E145" s="290"/>
      <c r="F145" s="100">
        <f t="shared" si="4"/>
        <v>0</v>
      </c>
      <c r="I145" s="298"/>
      <c r="J145" s="298"/>
      <c r="K145" s="298"/>
      <c r="L145" s="294">
        <f t="shared" si="5"/>
        <v>0</v>
      </c>
      <c r="M145" s="292"/>
      <c r="N145" s="292"/>
      <c r="O145" s="292"/>
      <c r="P145" s="292"/>
    </row>
    <row r="146" spans="2:16" x14ac:dyDescent="0.25">
      <c r="B146" s="223">
        <v>665</v>
      </c>
      <c r="C146" s="290"/>
      <c r="D146" s="290"/>
      <c r="E146" s="290"/>
      <c r="F146" s="100">
        <f t="shared" si="4"/>
        <v>0</v>
      </c>
      <c r="I146" s="298"/>
      <c r="J146" s="298"/>
      <c r="K146" s="298"/>
      <c r="L146" s="294">
        <f t="shared" si="5"/>
        <v>0</v>
      </c>
      <c r="M146" s="292"/>
      <c r="N146" s="292"/>
      <c r="O146" s="292"/>
      <c r="P146" s="292"/>
    </row>
    <row r="147" spans="2:16" x14ac:dyDescent="0.25">
      <c r="B147" s="223">
        <v>667</v>
      </c>
      <c r="C147" s="290"/>
      <c r="D147" s="290"/>
      <c r="E147" s="290"/>
      <c r="F147" s="100">
        <f t="shared" si="4"/>
        <v>0</v>
      </c>
      <c r="I147" s="298"/>
      <c r="J147" s="298"/>
      <c r="K147" s="298"/>
      <c r="L147" s="294">
        <f t="shared" si="5"/>
        <v>0</v>
      </c>
      <c r="M147" s="292"/>
      <c r="N147" s="292"/>
      <c r="O147" s="292"/>
      <c r="P147" s="292"/>
    </row>
    <row r="148" spans="2:16" x14ac:dyDescent="0.25">
      <c r="B148" s="223">
        <v>668</v>
      </c>
      <c r="C148" s="290"/>
      <c r="D148" s="290"/>
      <c r="E148" s="290"/>
      <c r="F148" s="100">
        <f t="shared" si="4"/>
        <v>0</v>
      </c>
      <c r="I148" s="298"/>
      <c r="J148" s="298"/>
      <c r="K148" s="298"/>
      <c r="L148" s="294">
        <f t="shared" si="5"/>
        <v>0</v>
      </c>
      <c r="M148" s="292"/>
      <c r="N148" s="292"/>
      <c r="O148" s="292"/>
      <c r="P148" s="292"/>
    </row>
    <row r="149" spans="2:16" x14ac:dyDescent="0.25">
      <c r="B149" s="223">
        <v>669</v>
      </c>
      <c r="C149" s="290"/>
      <c r="D149" s="290"/>
      <c r="E149" s="290"/>
      <c r="F149" s="100">
        <f t="shared" si="4"/>
        <v>0</v>
      </c>
      <c r="I149" s="298"/>
      <c r="J149" s="298"/>
      <c r="K149" s="298"/>
      <c r="L149" s="294">
        <f t="shared" si="5"/>
        <v>0</v>
      </c>
      <c r="M149" s="292"/>
      <c r="N149" s="292"/>
      <c r="O149" s="292"/>
      <c r="P149" s="292"/>
    </row>
    <row r="150" spans="2:16" x14ac:dyDescent="0.25">
      <c r="B150" s="223">
        <v>670</v>
      </c>
      <c r="C150" s="290"/>
      <c r="D150" s="290"/>
      <c r="E150" s="290"/>
      <c r="F150" s="100">
        <f t="shared" si="4"/>
        <v>0</v>
      </c>
      <c r="I150" s="298"/>
      <c r="J150" s="298"/>
      <c r="K150" s="298"/>
      <c r="L150" s="294">
        <f t="shared" si="5"/>
        <v>0</v>
      </c>
      <c r="M150" s="292"/>
      <c r="N150" s="292"/>
      <c r="O150" s="292"/>
      <c r="P150" s="292"/>
    </row>
    <row r="151" spans="2:16" x14ac:dyDescent="0.25">
      <c r="B151" s="223">
        <v>672</v>
      </c>
      <c r="C151" s="290"/>
      <c r="D151" s="290"/>
      <c r="E151" s="290">
        <v>50</v>
      </c>
      <c r="F151" s="100">
        <f t="shared" si="4"/>
        <v>50</v>
      </c>
      <c r="G151" s="289">
        <v>588</v>
      </c>
      <c r="I151" s="294">
        <v>0</v>
      </c>
      <c r="J151" s="295">
        <v>31.25</v>
      </c>
      <c r="K151" s="294">
        <v>0</v>
      </c>
      <c r="L151" s="294">
        <f t="shared" si="5"/>
        <v>31.25</v>
      </c>
      <c r="M151" s="292"/>
      <c r="N151" s="292"/>
      <c r="O151" s="292"/>
      <c r="P151" s="292"/>
    </row>
    <row r="152" spans="2:16" x14ac:dyDescent="0.25">
      <c r="B152" s="223">
        <v>675</v>
      </c>
      <c r="C152" s="290"/>
      <c r="D152" s="290"/>
      <c r="E152" s="290">
        <v>50</v>
      </c>
      <c r="F152" s="100">
        <f t="shared" si="4"/>
        <v>50</v>
      </c>
      <c r="G152" s="289">
        <v>903</v>
      </c>
      <c r="I152" s="294">
        <v>0</v>
      </c>
      <c r="J152" s="295">
        <v>19.89</v>
      </c>
      <c r="K152" s="294">
        <v>0</v>
      </c>
      <c r="L152" s="294">
        <f t="shared" si="5"/>
        <v>19.89</v>
      </c>
      <c r="M152" s="292"/>
      <c r="N152" s="292"/>
      <c r="O152" s="292"/>
      <c r="P152" s="292"/>
    </row>
    <row r="153" spans="2:16" x14ac:dyDescent="0.25">
      <c r="B153" s="223">
        <v>676</v>
      </c>
      <c r="C153" s="290"/>
      <c r="D153" s="290"/>
      <c r="E153" s="290"/>
      <c r="F153" s="100">
        <f t="shared" si="4"/>
        <v>0</v>
      </c>
      <c r="I153" s="298"/>
      <c r="J153" s="298"/>
      <c r="K153" s="298"/>
      <c r="L153" s="294">
        <f t="shared" si="5"/>
        <v>0</v>
      </c>
      <c r="M153" s="292"/>
      <c r="N153" s="292"/>
      <c r="O153" s="292"/>
      <c r="P153" s="292"/>
    </row>
    <row r="154" spans="2:16" x14ac:dyDescent="0.25">
      <c r="B154" s="223">
        <v>677</v>
      </c>
      <c r="C154" s="290"/>
      <c r="D154" s="290"/>
      <c r="E154" s="290"/>
      <c r="F154" s="100">
        <f t="shared" si="4"/>
        <v>0</v>
      </c>
      <c r="I154" s="298"/>
      <c r="J154" s="298"/>
      <c r="K154" s="298"/>
      <c r="L154" s="294">
        <f t="shared" si="5"/>
        <v>0</v>
      </c>
      <c r="M154" s="292"/>
      <c r="N154" s="292"/>
      <c r="O154" s="292"/>
      <c r="P154" s="292"/>
    </row>
    <row r="155" spans="2:16" x14ac:dyDescent="0.25">
      <c r="B155" s="223">
        <v>678</v>
      </c>
      <c r="F155" s="100">
        <f t="shared" si="4"/>
        <v>0</v>
      </c>
      <c r="I155" s="298"/>
      <c r="J155" s="298"/>
      <c r="K155" s="298"/>
      <c r="L155" s="294">
        <f t="shared" si="5"/>
        <v>0</v>
      </c>
      <c r="M155" s="292"/>
      <c r="N155" s="292"/>
      <c r="O155" s="292"/>
      <c r="P155" s="292"/>
    </row>
    <row r="156" spans="2:16" x14ac:dyDescent="0.25">
      <c r="B156" s="223">
        <v>679</v>
      </c>
      <c r="F156" s="100">
        <f t="shared" si="4"/>
        <v>0</v>
      </c>
      <c r="I156" s="298"/>
      <c r="J156" s="298"/>
      <c r="K156" s="298"/>
      <c r="L156" s="294">
        <f t="shared" si="5"/>
        <v>0</v>
      </c>
      <c r="M156" s="292"/>
      <c r="N156" s="292"/>
      <c r="O156" s="292"/>
      <c r="P156" s="292"/>
    </row>
    <row r="157" spans="2:16" x14ac:dyDescent="0.25">
      <c r="B157" s="223">
        <v>680</v>
      </c>
      <c r="F157" s="100">
        <f t="shared" si="4"/>
        <v>0</v>
      </c>
      <c r="I157" s="298"/>
      <c r="J157" s="298"/>
      <c r="K157" s="298"/>
      <c r="L157" s="294">
        <f t="shared" si="5"/>
        <v>0</v>
      </c>
      <c r="M157" s="292"/>
      <c r="N157" s="292"/>
      <c r="O157" s="292"/>
      <c r="P157" s="292"/>
    </row>
    <row r="158" spans="2:16" x14ac:dyDescent="0.25">
      <c r="B158" s="223">
        <v>681</v>
      </c>
      <c r="F158" s="100">
        <f t="shared" si="4"/>
        <v>0</v>
      </c>
      <c r="I158" s="298"/>
      <c r="J158" s="298"/>
      <c r="K158" s="298"/>
      <c r="L158" s="294">
        <f t="shared" si="5"/>
        <v>0</v>
      </c>
      <c r="M158" s="292"/>
      <c r="N158" s="292"/>
      <c r="O158" s="292"/>
      <c r="P158" s="292"/>
    </row>
    <row r="159" spans="2:16" x14ac:dyDescent="0.25">
      <c r="B159" s="223">
        <v>682</v>
      </c>
      <c r="F159" s="100">
        <f t="shared" si="4"/>
        <v>0</v>
      </c>
      <c r="I159" s="298"/>
      <c r="J159" s="298"/>
      <c r="K159" s="298"/>
      <c r="L159" s="294">
        <f t="shared" si="5"/>
        <v>0</v>
      </c>
      <c r="M159" s="292"/>
      <c r="N159" s="292"/>
      <c r="O159" s="292"/>
      <c r="P159" s="292"/>
    </row>
    <row r="160" spans="2:16" x14ac:dyDescent="0.25">
      <c r="B160" s="223">
        <v>683</v>
      </c>
      <c r="F160" s="100">
        <f t="shared" si="4"/>
        <v>0</v>
      </c>
      <c r="I160" s="298"/>
      <c r="J160" s="298"/>
      <c r="K160" s="298"/>
      <c r="L160" s="294">
        <f t="shared" si="5"/>
        <v>0</v>
      </c>
      <c r="M160" s="292"/>
      <c r="N160" s="292"/>
      <c r="O160" s="292"/>
      <c r="P160" s="292"/>
    </row>
    <row r="161" spans="2:16" x14ac:dyDescent="0.25">
      <c r="B161" s="223">
        <v>684</v>
      </c>
      <c r="F161" s="100">
        <f t="shared" si="4"/>
        <v>0</v>
      </c>
      <c r="I161" s="298"/>
      <c r="J161" s="298"/>
      <c r="K161" s="298"/>
      <c r="L161" s="294">
        <f t="shared" si="5"/>
        <v>0</v>
      </c>
      <c r="M161" s="292"/>
      <c r="N161" s="292"/>
      <c r="O161" s="292"/>
      <c r="P161" s="292"/>
    </row>
    <row r="162" spans="2:16" x14ac:dyDescent="0.25">
      <c r="I162" s="298"/>
      <c r="J162" s="298"/>
      <c r="K162" s="298"/>
      <c r="L162" s="298"/>
      <c r="M162" s="292"/>
      <c r="N162" s="292"/>
      <c r="O162" s="292"/>
      <c r="P162" s="292"/>
    </row>
    <row r="163" spans="2:16" x14ac:dyDescent="0.25">
      <c r="C163" s="325">
        <f>SUM(C3:C161)</f>
        <v>5680</v>
      </c>
      <c r="D163" s="325">
        <f t="shared" ref="D163:E163" si="6">SUM(D3:D161)</f>
        <v>7075</v>
      </c>
      <c r="E163" s="325">
        <f t="shared" si="6"/>
        <v>3807.2200000000003</v>
      </c>
      <c r="F163" s="326">
        <f>+SUBTOTAL(9,F3:F161)</f>
        <v>16562.22</v>
      </c>
      <c r="I163" s="325">
        <f>SUM(I3:I162)</f>
        <v>19855.05</v>
      </c>
      <c r="J163" s="325">
        <f t="shared" ref="J163:K163" si="7">SUM(J3:J162)</f>
        <v>12203.689999999999</v>
      </c>
      <c r="K163" s="325">
        <f t="shared" si="7"/>
        <v>5605.91</v>
      </c>
      <c r="L163" s="326">
        <f>SUM(L3:L162)</f>
        <v>37664.649999999994</v>
      </c>
      <c r="M163" s="292"/>
      <c r="N163" s="292"/>
      <c r="O163" s="292"/>
      <c r="P163" s="292"/>
    </row>
    <row r="164" spans="2:16" x14ac:dyDescent="0.25">
      <c r="I164" s="292"/>
      <c r="J164" s="292"/>
      <c r="K164" s="292"/>
      <c r="L164" s="292"/>
      <c r="M164" s="292"/>
      <c r="N164" s="292"/>
      <c r="O164" s="292"/>
      <c r="P164" s="292"/>
    </row>
    <row r="165" spans="2:16" x14ac:dyDescent="0.25">
      <c r="F165" s="100">
        <f>+F125+F114+F45+F10+F6</f>
        <v>1900</v>
      </c>
      <c r="G165" s="289">
        <v>163</v>
      </c>
      <c r="I165" s="305">
        <v>5683.45</v>
      </c>
      <c r="J165" s="305"/>
      <c r="K165" s="305"/>
      <c r="L165" s="304"/>
      <c r="M165" s="306" t="s">
        <v>441</v>
      </c>
      <c r="O165" s="292"/>
      <c r="P165" s="292"/>
    </row>
    <row r="166" spans="2:16" x14ac:dyDescent="0.25">
      <c r="F166" s="100">
        <f>+F27+F35+F47+F51+F61+F66+F67+F76+F77+F82+F83+F104+F106+F107+F109+F118+F131+F151</f>
        <v>3192.2200000000003</v>
      </c>
      <c r="G166" s="289">
        <v>588</v>
      </c>
      <c r="I166" s="305">
        <f>+I137</f>
        <v>14171.6</v>
      </c>
      <c r="J166" s="305"/>
      <c r="K166" s="305"/>
      <c r="L166" s="304"/>
      <c r="M166" s="292" t="s">
        <v>448</v>
      </c>
      <c r="O166" s="292"/>
      <c r="P166" s="292"/>
    </row>
    <row r="167" spans="2:16" x14ac:dyDescent="0.25">
      <c r="F167" s="100">
        <f>+F54+F63</f>
        <v>1650</v>
      </c>
      <c r="G167" s="289">
        <v>593.29999999999995</v>
      </c>
      <c r="I167" s="305"/>
      <c r="J167" s="305"/>
      <c r="K167" s="305"/>
      <c r="L167" s="304"/>
      <c r="M167" s="292"/>
      <c r="O167" s="292"/>
      <c r="P167" s="292"/>
    </row>
    <row r="168" spans="2:16" x14ac:dyDescent="0.25">
      <c r="F168" s="100">
        <f>+F41+F49+F50+F68+F69+F78+F84+F94+F95+F103+F122+F126</f>
        <v>2475</v>
      </c>
      <c r="G168" s="289">
        <v>598</v>
      </c>
      <c r="I168" s="305"/>
      <c r="J168" s="308">
        <f>+J4</f>
        <v>0.62</v>
      </c>
      <c r="K168" s="305"/>
      <c r="L168" s="327">
        <v>41852</v>
      </c>
      <c r="M168" s="292" t="s">
        <v>442</v>
      </c>
      <c r="O168" s="292"/>
      <c r="P168" s="292"/>
    </row>
    <row r="169" spans="2:16" x14ac:dyDescent="0.25">
      <c r="F169" s="100">
        <f>+F3+F4+F14+F16+F19+F32+F44+F53+F56+F57+F65+F71+F80+F85+F100+F116+F119+F128+F129+F132+F133+F152</f>
        <v>4555</v>
      </c>
      <c r="G169" s="289">
        <v>903</v>
      </c>
      <c r="I169" s="305"/>
      <c r="J169" s="309">
        <f>+J3+J5+N31+J32+J36+J44+N89+N124+SUM(J151:J152)+SUM(J125:J133)+SUM(J116:J122)+SUM(J109:J110)+SUM(J104:J107)+SUM(J94:J100)+SUM(J84:J85)+SUM(J77:J80)+SUM(J65:J71)+SUM(J53:J57)+SUM(J14:J27)</f>
        <v>1262.56</v>
      </c>
      <c r="K169" s="305"/>
      <c r="L169" s="327">
        <v>41974</v>
      </c>
      <c r="M169" s="292" t="s">
        <v>443</v>
      </c>
      <c r="O169" s="292"/>
      <c r="P169" s="292"/>
    </row>
    <row r="170" spans="2:16" x14ac:dyDescent="0.25">
      <c r="F170" s="100">
        <f>+F86</f>
        <v>250</v>
      </c>
      <c r="G170" s="289">
        <v>908</v>
      </c>
      <c r="I170" s="305"/>
      <c r="J170" s="310">
        <f>+J35+J41+J51+J64+J103+J112</f>
        <v>120.61</v>
      </c>
      <c r="K170" s="305"/>
      <c r="L170" s="327">
        <v>42036</v>
      </c>
      <c r="M170" s="292" t="s">
        <v>443</v>
      </c>
      <c r="O170" s="292"/>
      <c r="P170" s="292"/>
    </row>
    <row r="171" spans="2:16" x14ac:dyDescent="0.25">
      <c r="F171" s="287">
        <f>+F5+F31+F36+F52+F60+F64+F89+F101+F110+F112+F117+F124+F130</f>
        <v>2390</v>
      </c>
      <c r="G171" s="289">
        <v>921</v>
      </c>
      <c r="I171" s="305"/>
      <c r="J171" s="311">
        <f>+J6</f>
        <v>19.87</v>
      </c>
      <c r="K171" s="305"/>
      <c r="L171" s="327">
        <v>42064</v>
      </c>
      <c r="M171" s="292" t="s">
        <v>443</v>
      </c>
      <c r="O171" s="292"/>
      <c r="P171" s="292"/>
    </row>
    <row r="172" spans="2:16" x14ac:dyDescent="0.25">
      <c r="F172" s="101">
        <f>+F127</f>
        <v>150</v>
      </c>
      <c r="G172" s="289">
        <v>930.2</v>
      </c>
      <c r="I172" s="305"/>
      <c r="J172" s="312">
        <f>+J82+J61</f>
        <v>246.44</v>
      </c>
      <c r="K172" s="305"/>
      <c r="L172" s="327">
        <v>42095</v>
      </c>
      <c r="M172" s="292" t="s">
        <v>443</v>
      </c>
      <c r="O172" s="292"/>
      <c r="P172" s="292"/>
    </row>
    <row r="173" spans="2:16" x14ac:dyDescent="0.25">
      <c r="F173" s="100">
        <f>SUM(F165:F172)</f>
        <v>16562.22</v>
      </c>
      <c r="I173" s="305"/>
      <c r="J173" s="313">
        <f>+O124+O89+J60+J45+O31</f>
        <v>99.350000000000009</v>
      </c>
      <c r="K173" s="305"/>
      <c r="L173" s="327">
        <v>42125</v>
      </c>
      <c r="M173" s="292" t="s">
        <v>443</v>
      </c>
      <c r="O173" s="292"/>
      <c r="P173" s="292"/>
    </row>
    <row r="174" spans="2:16" x14ac:dyDescent="0.25">
      <c r="F174" s="100"/>
      <c r="G174" s="288" t="s">
        <v>226</v>
      </c>
      <c r="I174" s="305"/>
      <c r="J174" s="313">
        <f>+J137</f>
        <v>10454.24</v>
      </c>
      <c r="K174" s="305"/>
      <c r="L174" s="327"/>
      <c r="M174" s="292" t="s">
        <v>449</v>
      </c>
      <c r="O174" s="292"/>
      <c r="P174" s="292"/>
    </row>
    <row r="175" spans="2:16" x14ac:dyDescent="0.25">
      <c r="F175" s="100"/>
      <c r="G175" s="288" t="s">
        <v>227</v>
      </c>
      <c r="I175" s="305"/>
      <c r="J175" s="305"/>
      <c r="K175" s="305"/>
      <c r="L175" s="307"/>
      <c r="M175" s="292"/>
      <c r="O175" s="292"/>
      <c r="P175" s="292"/>
    </row>
    <row r="176" spans="2:16" x14ac:dyDescent="0.25">
      <c r="F176" s="100"/>
      <c r="G176" s="288" t="s">
        <v>228</v>
      </c>
      <c r="I176" s="305"/>
      <c r="J176" s="305"/>
      <c r="K176" s="305">
        <f>+K163</f>
        <v>5605.91</v>
      </c>
      <c r="L176" s="327">
        <v>42005</v>
      </c>
      <c r="M176" s="292" t="s">
        <v>444</v>
      </c>
      <c r="O176" s="292"/>
      <c r="P176" s="292"/>
    </row>
    <row r="177" spans="6:16" x14ac:dyDescent="0.25">
      <c r="F177" s="100"/>
      <c r="I177" s="315"/>
      <c r="J177" s="315"/>
      <c r="K177" s="315"/>
      <c r="L177" s="314"/>
      <c r="M177" s="305"/>
      <c r="N177" s="292"/>
      <c r="O177" s="292"/>
      <c r="P177" s="292"/>
    </row>
    <row r="178" spans="6:16" x14ac:dyDescent="0.25">
      <c r="F178" s="291"/>
      <c r="I178" s="305">
        <f>SUM(I165:I177)</f>
        <v>19855.05</v>
      </c>
      <c r="J178" s="305">
        <f t="shared" ref="J178" si="8">SUM(J165:J177)</f>
        <v>12203.689999999999</v>
      </c>
      <c r="K178" s="305">
        <f>SUM(K165:K177)</f>
        <v>5605.91</v>
      </c>
      <c r="L178" s="305"/>
      <c r="M178" s="305"/>
      <c r="N178" s="292"/>
      <c r="O178" s="292"/>
      <c r="P178" s="292"/>
    </row>
    <row r="179" spans="6:16" x14ac:dyDescent="0.25">
      <c r="I179" s="305"/>
      <c r="J179" s="305"/>
      <c r="K179" s="305"/>
      <c r="L179" s="305"/>
      <c r="M179" s="305"/>
      <c r="N179" s="292"/>
      <c r="O179" s="292"/>
      <c r="P179" s="292"/>
    </row>
    <row r="180" spans="6:16" x14ac:dyDescent="0.25">
      <c r="I180" s="305"/>
      <c r="J180" s="305"/>
      <c r="K180" s="305"/>
      <c r="L180" s="305"/>
      <c r="M180" s="305"/>
      <c r="N180" s="292"/>
      <c r="O180" s="292"/>
      <c r="P180" s="292"/>
    </row>
  </sheetData>
  <phoneticPr fontId="8" type="noConversion"/>
  <printOptions gridLines="1"/>
  <pageMargins left="0.26" right="0.14000000000000001" top="0.51" bottom="0.51" header="0.5" footer="0.5"/>
  <pageSetup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labor adj</vt:lpstr>
      <vt:lpstr>OH adj</vt:lpstr>
      <vt:lpstr>labor by acct detail</vt:lpstr>
      <vt:lpstr>labor by acct summ</vt:lpstr>
      <vt:lpstr>OH by acct detail</vt:lpstr>
      <vt:lpstr>OH JE detail</vt:lpstr>
      <vt:lpstr>fulltime</vt:lpstr>
      <vt:lpstr>parttime</vt:lpstr>
      <vt:lpstr>supmntl inc</vt:lpstr>
      <vt:lpstr>healthpension</vt:lpstr>
      <vt:lpstr>fica</vt:lpstr>
      <vt:lpstr>unemp</vt:lpstr>
      <vt:lpstr>wkcp</vt:lpstr>
      <vt:lpstr>EAP</vt:lpstr>
      <vt:lpstr>plpdexcess</vt:lpstr>
      <vt:lpstr>lifeinsNRECA</vt:lpstr>
      <vt:lpstr>ficalifeW2</vt:lpstr>
      <vt:lpstr>ficalifeW2!Print_Area</vt:lpstr>
      <vt:lpstr>'labor adj'!Print_Area</vt:lpstr>
      <vt:lpstr>'labor by acct summ'!Print_Area</vt:lpstr>
      <vt:lpstr>lifeinsNRECA!Print_Area</vt:lpstr>
      <vt:lpstr>'OH adj'!Print_Area</vt:lpstr>
      <vt:lpstr>'OH by acct detail'!Print_Area</vt:lpstr>
      <vt:lpstr>'OH JE detail'!Print_Area</vt:lpstr>
      <vt:lpstr>parttime!Print_Area</vt:lpstr>
      <vt:lpstr>unemp!Print_Area</vt:lpstr>
      <vt:lpstr>fica!Print_Titles</vt:lpstr>
      <vt:lpstr>ficalifeW2!Print_Titles</vt:lpstr>
      <vt:lpstr>fulltime!Print_Titles</vt:lpstr>
      <vt:lpstr>healthpension!Print_Titles</vt:lpstr>
      <vt:lpstr>'OH by acct detail'!Print_Titles</vt:lpstr>
      <vt:lpstr>wkcp!Print_Titles</vt:lpstr>
    </vt:vector>
  </TitlesOfParts>
  <Company>Kenergy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Coffman</dc:creator>
  <cp:lastModifiedBy>Travis Siewert</cp:lastModifiedBy>
  <cp:lastPrinted>2015-12-17T16:44:31Z</cp:lastPrinted>
  <dcterms:created xsi:type="dcterms:W3CDTF">2003-01-23T09:38:41Z</dcterms:created>
  <dcterms:modified xsi:type="dcterms:W3CDTF">2015-12-29T20:40:03Z</dcterms:modified>
</cp:coreProperties>
</file>