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6" yWindow="-72" windowWidth="14472" windowHeight="11700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Allocation Factors - Page 1" sheetId="8" r:id="rId6"/>
    <sheet name="Allocation Factors - Page 2" sheetId="7" r:id="rId7"/>
  </sheets>
  <calcPr calcId="145621"/>
</workbook>
</file>

<file path=xl/calcChain.xml><?xml version="1.0" encoding="utf-8"?>
<calcChain xmlns="http://schemas.openxmlformats.org/spreadsheetml/2006/main">
  <c r="B1" i="2" l="1"/>
  <c r="E11" i="2"/>
  <c r="G11" i="2"/>
  <c r="I11" i="2" s="1"/>
  <c r="H11" i="2"/>
  <c r="K11" i="2" s="1"/>
  <c r="E12" i="2"/>
  <c r="G12" i="2"/>
  <c r="H12" i="2"/>
  <c r="K12" i="2" s="1"/>
  <c r="I12" i="2"/>
  <c r="J12" i="2"/>
  <c r="E13" i="2"/>
  <c r="G13" i="2"/>
  <c r="H13" i="2"/>
  <c r="I13" i="2"/>
  <c r="J13" i="2"/>
  <c r="K13" i="2"/>
  <c r="E14" i="2"/>
  <c r="G14" i="2"/>
  <c r="H14" i="2"/>
  <c r="I14" i="2"/>
  <c r="J14" i="2"/>
  <c r="K14" i="2"/>
  <c r="E15" i="2"/>
  <c r="G15" i="2"/>
  <c r="I15" i="2" s="1"/>
  <c r="J15" i="2" s="1"/>
  <c r="H15" i="2"/>
  <c r="K15" i="2" s="1"/>
  <c r="E16" i="2"/>
  <c r="G16" i="2"/>
  <c r="G19" i="2" s="1"/>
  <c r="I19" i="2" s="1"/>
  <c r="J19" i="2" s="1"/>
  <c r="H16" i="2"/>
  <c r="K16" i="2" s="1"/>
  <c r="I16" i="2"/>
  <c r="J16" i="2"/>
  <c r="E17" i="2"/>
  <c r="G17" i="2"/>
  <c r="H17" i="2"/>
  <c r="I17" i="2"/>
  <c r="J17" i="2"/>
  <c r="K17" i="2"/>
  <c r="E18" i="2"/>
  <c r="G18" i="2"/>
  <c r="H18" i="2"/>
  <c r="I18" i="2"/>
  <c r="J18" i="2"/>
  <c r="K18" i="2"/>
  <c r="E19" i="2"/>
  <c r="C22" i="2"/>
  <c r="C44" i="2" s="1"/>
  <c r="D22" i="2"/>
  <c r="D44" i="2" s="1"/>
  <c r="E20" i="2"/>
  <c r="G20" i="2"/>
  <c r="H20" i="2"/>
  <c r="K20" i="2"/>
  <c r="B22" i="2"/>
  <c r="B44" i="2" s="1"/>
  <c r="B24" i="2"/>
  <c r="J24" i="2"/>
  <c r="K24" i="2"/>
  <c r="I29" i="2"/>
  <c r="E31" i="2"/>
  <c r="G31" i="2"/>
  <c r="I31" i="2"/>
  <c r="J31" i="2"/>
  <c r="E32" i="2"/>
  <c r="G32" i="2"/>
  <c r="I32" i="2" s="1"/>
  <c r="J32" i="2" s="1"/>
  <c r="E33" i="2"/>
  <c r="G33" i="2"/>
  <c r="I33" i="2"/>
  <c r="J33" i="2"/>
  <c r="E34" i="2"/>
  <c r="I34" i="2"/>
  <c r="J34" i="2" s="1"/>
  <c r="E35" i="2"/>
  <c r="I35" i="2"/>
  <c r="J35" i="2"/>
  <c r="E36" i="2"/>
  <c r="I36" i="2"/>
  <c r="J36" i="2"/>
  <c r="E37" i="2"/>
  <c r="I37" i="2"/>
  <c r="J37" i="2"/>
  <c r="E38" i="2"/>
  <c r="I38" i="2"/>
  <c r="J38" i="2"/>
  <c r="E39" i="2"/>
  <c r="I39" i="2"/>
  <c r="J39" i="2"/>
  <c r="D42" i="2"/>
  <c r="E40" i="2"/>
  <c r="I40" i="2"/>
  <c r="J40" i="2"/>
  <c r="B42" i="2"/>
  <c r="C42" i="2"/>
  <c r="I42" i="2" l="1"/>
  <c r="E42" i="2"/>
  <c r="J42" i="2"/>
  <c r="J11" i="2"/>
  <c r="E22" i="2"/>
  <c r="I20" i="2"/>
  <c r="J20" i="2" s="1"/>
  <c r="H19" i="2"/>
  <c r="K19" i="2" s="1"/>
  <c r="K22" i="2" s="1"/>
  <c r="E44" i="2" l="1"/>
  <c r="J22" i="2"/>
  <c r="I22" i="2"/>
  <c r="E17" i="7" l="1"/>
  <c r="C17" i="7"/>
  <c r="E14" i="7"/>
  <c r="E13" i="7"/>
  <c r="H13" i="7" s="1"/>
  <c r="E12" i="7"/>
  <c r="H12" i="7" s="1"/>
  <c r="E11" i="7"/>
  <c r="H11" i="7" s="1"/>
  <c r="E10" i="7"/>
  <c r="H10" i="7" s="1"/>
  <c r="E9" i="7"/>
  <c r="E8" i="7"/>
  <c r="E7" i="7"/>
  <c r="D15" i="7"/>
  <c r="B15" i="7"/>
  <c r="C8" i="7"/>
  <c r="H8" i="7" s="1"/>
  <c r="C9" i="7"/>
  <c r="H9" i="7" s="1"/>
  <c r="C10" i="7"/>
  <c r="C11" i="7"/>
  <c r="C12" i="7"/>
  <c r="C13" i="7"/>
  <c r="G13" i="7" s="1"/>
  <c r="C14" i="7"/>
  <c r="C7" i="7"/>
  <c r="H7" i="7" s="1"/>
  <c r="G7" i="7" l="1"/>
  <c r="G9" i="7"/>
  <c r="E15" i="7"/>
  <c r="G11" i="7"/>
  <c r="C15" i="7"/>
  <c r="G8" i="7"/>
  <c r="G12" i="7"/>
  <c r="G10" i="7"/>
  <c r="G17" i="1" l="1"/>
  <c r="F17" i="1"/>
  <c r="G16" i="1"/>
  <c r="F16" i="1"/>
  <c r="G12" i="1"/>
  <c r="F12" i="1"/>
  <c r="E17" i="8"/>
  <c r="C17" i="8"/>
  <c r="E15" i="8"/>
  <c r="C15" i="8"/>
  <c r="H14" i="8"/>
  <c r="E14" i="8"/>
  <c r="C14" i="8"/>
  <c r="E13" i="8"/>
  <c r="C13" i="8"/>
  <c r="G13" i="8" s="1"/>
  <c r="H13" i="8" s="1"/>
  <c r="E12" i="8"/>
  <c r="C12" i="8"/>
  <c r="G12" i="8" s="1"/>
  <c r="H12" i="8" s="1"/>
  <c r="F15" i="1" s="1"/>
  <c r="E11" i="8"/>
  <c r="C11" i="8"/>
  <c r="E10" i="8"/>
  <c r="C10" i="8"/>
  <c r="E9" i="8"/>
  <c r="C9" i="8"/>
  <c r="G9" i="8" s="1"/>
  <c r="H9" i="8" s="1"/>
  <c r="E8" i="8"/>
  <c r="C8" i="8"/>
  <c r="G8" i="8" s="1"/>
  <c r="H8" i="8" s="1"/>
  <c r="F11" i="1" s="1"/>
  <c r="E7" i="8"/>
  <c r="C7" i="8"/>
  <c r="G7" i="8" l="1"/>
  <c r="G11" i="8"/>
  <c r="G11" i="1"/>
  <c r="G15" i="1"/>
  <c r="G10" i="8"/>
  <c r="H10" i="8" l="1"/>
  <c r="F13" i="1" s="1"/>
  <c r="G13" i="1"/>
  <c r="H11" i="8"/>
  <c r="F14" i="1" s="1"/>
  <c r="G14" i="1"/>
  <c r="H7" i="8"/>
  <c r="F10" i="1" s="1"/>
  <c r="G10" i="1"/>
  <c r="G44" i="1" l="1"/>
  <c r="F44" i="1"/>
  <c r="E44" i="1"/>
  <c r="D44" i="1"/>
  <c r="C44" i="1"/>
  <c r="B44" i="1"/>
  <c r="J44" i="1" l="1"/>
  <c r="M21" i="1" l="1"/>
  <c r="L21" i="1"/>
  <c r="C21" i="1"/>
  <c r="D21" i="1"/>
  <c r="E21" i="1"/>
  <c r="H21" i="1"/>
  <c r="I21" i="1"/>
  <c r="B21" i="1"/>
  <c r="G18" i="1" l="1"/>
  <c r="F21" i="1" l="1"/>
  <c r="J46" i="1" l="1"/>
  <c r="F22" i="3" l="1"/>
  <c r="B1" i="3" l="1"/>
  <c r="B1" i="4"/>
  <c r="B1" i="5"/>
  <c r="I22" i="3"/>
  <c r="I18" i="3"/>
  <c r="I15" i="3"/>
  <c r="A50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1" i="1"/>
  <c r="C9" i="1"/>
  <c r="D9" i="1" s="1"/>
  <c r="H37" i="3"/>
  <c r="H34" i="3"/>
  <c r="I28" i="3"/>
  <c r="G28" i="3" l="1"/>
  <c r="D20" i="5"/>
  <c r="G22" i="3"/>
  <c r="H39" i="3"/>
  <c r="N21" i="1"/>
  <c r="G21" i="1"/>
  <c r="D23" i="5" l="1"/>
  <c r="G15" i="3"/>
  <c r="O21" i="1"/>
  <c r="F15" i="3" s="1"/>
  <c r="F28" i="3"/>
  <c r="H28" i="3" s="1"/>
  <c r="K28" i="3" s="1"/>
  <c r="G18" i="3"/>
  <c r="D17" i="5"/>
  <c r="D14" i="5" l="1"/>
  <c r="H15" i="3"/>
  <c r="K15" i="3" s="1"/>
  <c r="F18" i="3"/>
  <c r="H18" i="3" s="1"/>
  <c r="K18" i="3" l="1"/>
  <c r="H22" i="3"/>
  <c r="K22" i="3" s="1"/>
  <c r="H30" i="3" l="1"/>
  <c r="H41" i="3" s="1"/>
  <c r="K25" i="3"/>
</calcChain>
</file>

<file path=xl/sharedStrings.xml><?xml version="1.0" encoding="utf-8"?>
<sst xmlns="http://schemas.openxmlformats.org/spreadsheetml/2006/main" count="290" uniqueCount="176">
  <si>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</si>
  <si>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</si>
  <si>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</si>
  <si>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</si>
  <si>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</si>
  <si>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</si>
  <si>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</si>
  <si>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</si>
  <si>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</si>
  <si>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</si>
  <si>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</si>
  <si>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</si>
  <si>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</si>
  <si>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</si>
  <si>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</si>
  <si>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</si>
  <si>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</si>
  <si>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</si>
  <si>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</si>
  <si>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</si>
  <si>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</si>
  <si>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</si>
  <si>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</si>
  <si>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</si>
  <si>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</si>
  <si>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</si>
  <si>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</si>
  <si>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</si>
  <si>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</si>
  <si>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</si>
  <si>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</si>
  <si>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</si>
  <si>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</si>
  <si>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</si>
  <si>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</si>
  <si>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</si>
  <si>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</si>
  <si>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</si>
  <si>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</si>
  <si>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</si>
  <si>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</si>
  <si>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</si>
  <si>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</si>
  <si>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</si>
  <si>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</si>
  <si>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</si>
  <si>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</si>
  <si>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</si>
  <si>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</si>
  <si>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</si>
  <si>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</si>
  <si>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</si>
  <si>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</si>
  <si>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</si>
  <si>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</si>
  <si>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</si>
  <si>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</si>
  <si>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</si>
  <si>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</si>
  <si>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</si>
  <si>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</si>
  <si>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</si>
  <si>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</si>
  <si>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</si>
  <si>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</si>
  <si>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</si>
  <si>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</si>
  <si>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</si>
  <si>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</si>
  <si>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</si>
  <si>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</si>
  <si>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</si>
  <si>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</si>
  <si>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</si>
  <si>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</si>
  <si>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</si>
  <si>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</si>
  <si>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</si>
  <si>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</si>
  <si>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</si>
  <si>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</si>
  <si>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</si>
  <si>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</si>
  <si>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</si>
  <si>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</si>
  <si>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</si>
  <si>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</si>
  <si>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</si>
  <si>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</si>
  <si>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</si>
  <si>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</si>
  <si>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</si>
  <si>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</si>
  <si>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</si>
  <si>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</si>
  <si>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</si>
  <si>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</si>
  <si>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</si>
  <si>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</si>
  <si>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</si>
  <si>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</si>
  <si>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</si>
  <si>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</si>
  <si>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</si>
  <si>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</si>
  <si>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</si>
  <si>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</si>
  <si>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</si>
  <si>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</si>
  <si>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</si>
  <si>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</si>
  <si>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</si>
  <si>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</si>
  <si>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</si>
  <si>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</si>
  <si>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</si>
  <si>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</si>
  <si>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</si>
  <si>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</si>
  <si>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</si>
  <si>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(Over)/Under</t>
  </si>
  <si>
    <t>(A) (Over)/Under of Appendix B page 1 multiplied by the average three-month commercial paper rate for 2013 to include interest on over or under-recovery in accordance with the Commission's order in Case No. 95-312. Value is:</t>
  </si>
  <si>
    <t>July 2014 to June 2015</t>
  </si>
  <si>
    <t>(C) Allocation of program expenditures to gas and electric.  Uses 63.5% gas based upon saturation of gas space heating.</t>
  </si>
  <si>
    <t>Personal Energy Report Program (I)</t>
  </si>
  <si>
    <t>Residential Program Summary (A)</t>
  </si>
  <si>
    <t>NonResidential Program Summary (A)</t>
  </si>
  <si>
    <t>Home Energy Assistance Pilot Program</t>
  </si>
  <si>
    <t>(J) Revenues and expenses for the Home Energy Assistance Pilot Program.</t>
  </si>
  <si>
    <t>Home Energy Assistance Pilot Program (J)</t>
  </si>
  <si>
    <t>Revenues collected except for HEA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</si>
  <si>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</si>
  <si>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</si>
  <si>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</si>
  <si>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7/2013 to 6/2014 (A)</t>
  </si>
  <si>
    <t>7/2013 to 6/2014 (B)</t>
  </si>
  <si>
    <t xml:space="preserve">          2013 Reconciliation</t>
  </si>
  <si>
    <t>(B) Actual program expenditures, lost revenues (for this period and from prior period DSM measure installations), and shared savings for the period July 1, 2013 through June 30, 2014.</t>
  </si>
  <si>
    <t>(F) Revenues collected through the DSM Rider between July 1, 2013 and June 30, 2014.</t>
  </si>
  <si>
    <t>(D) Revenues collected through the DSM Rider between July 1, 2013 and June 30, 2014.</t>
  </si>
  <si>
    <t>(C) Recovery allowed in accordance with the Commission's Order in Case No. 2012-00085</t>
  </si>
  <si>
    <t>(I) Personalized Energy Report is a legacy program which continues to collect lost revenues.</t>
  </si>
  <si>
    <t>Smart $aver® Prescriptive - IT</t>
  </si>
  <si>
    <t xml:space="preserve">2015-2016 Projected Program Costs, Lost Revenues, and Shared Savings </t>
  </si>
  <si>
    <t>July 2015 to June 2016</t>
  </si>
  <si>
    <t>(F) Discontinued pilot program does not receive cost recovery</t>
  </si>
  <si>
    <t>Energy Management and Information Services (F)</t>
  </si>
  <si>
    <t>(A) See Appendix B, page 2 of 5.</t>
  </si>
  <si>
    <t>ccf</t>
  </si>
  <si>
    <t>My Home Energy Report**</t>
  </si>
  <si>
    <t>Power Manager***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</si>
  <si>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</si>
  <si>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</si>
  <si>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</si>
  <si>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</si>
  <si>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</si>
  <si>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Factors Based on 2015-2016 Projection</t>
  </si>
  <si>
    <t>Projected</t>
  </si>
  <si>
    <t>Summary of Load Impacts July 2013 Through June 2014*</t>
  </si>
  <si>
    <t>Allocation Factors based on July 2013-June 2014</t>
  </si>
  <si>
    <t>For July 2013 Through June 2014</t>
  </si>
  <si>
    <t>Allocation of Costs (B)</t>
  </si>
  <si>
    <t>(A) Costs, Lost Revenues (for this period and from prior period DSM measure installations), and Shared Savings for Year 4 of portfolio.</t>
  </si>
  <si>
    <t>(C) Net effects of revisions to Residential Smart $aver® program described in application.</t>
  </si>
  <si>
    <t>SBES</t>
  </si>
  <si>
    <t>Smart $aver® Prescriptive - Modifications (E)</t>
  </si>
  <si>
    <t>(D) Net effects of revisions to the Residential Energy Assessments program described in application.</t>
  </si>
  <si>
    <t>(E) Net effects of revisions to the Smart $aver® Prescriptive program described in application.</t>
  </si>
  <si>
    <t>*Load Impacts Net of Free Riders at Meter</t>
  </si>
  <si>
    <t>Summary of Load Impacts July 2015 Through June 2016*</t>
  </si>
  <si>
    <t>Allocation Factors Projected - Revised</t>
  </si>
  <si>
    <t>(B) Allocation of costs calculated as ordered in Case No. 2014-0388.</t>
  </si>
  <si>
    <t>(F) Negative shared savings for program modifications is due to net effects of program modifications. Programs as modified are cost effective as demonstrated in Appendix A and will result in positive shared savings.</t>
  </si>
  <si>
    <t>Residential Energy Assessments - Modifications (D), (F)</t>
  </si>
  <si>
    <t>Residential Smart $aver® - Modifications (C), (F)</t>
  </si>
  <si>
    <t>CURRENT DSM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</si>
</sst>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1" fillId="0" borderId="0" xfId="0" applyFont="1" applyFill="1"/>
    <xf numFmtId="165" fontId="0" fillId="0" borderId="0" xfId="3" applyNumberFormat="1" applyFont="1" applyFill="1"/>
    <xf numFmtId="164" fontId="7" fillId="0" borderId="0" xfId="2" applyNumberFormat="1" applyFont="1" applyFill="1"/>
    <xf numFmtId="167" fontId="0" fillId="0" borderId="0" xfId="2" applyNumberFormat="1" applyFont="1" applyFill="1"/>
    <xf numFmtId="167" fontId="7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164" fontId="7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1" fillId="0" borderId="0" xfId="1" applyNumberFormat="1" applyFont="1" applyFill="1"/>
    <xf numFmtId="0" fontId="0" fillId="0" borderId="0" xfId="0" applyFill="1" applyAlignment="1">
      <alignment horizontal="center"/>
    </xf>
    <xf numFmtId="164" fontId="1" fillId="0" borderId="3" xfId="0" applyNumberFormat="1" applyFont="1" applyFill="1" applyBorder="1"/>
    <xf numFmtId="164" fontId="1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2" applyNumberFormat="1" applyFont="1" applyFill="1" applyBorder="1"/>
    <xf numFmtId="164" fontId="1" fillId="0" borderId="3" xfId="2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5" applyFont="1"/>
    <xf numFmtId="0" fontId="1" fillId="0" borderId="0" xfId="5"/>
    <xf numFmtId="0" fontId="0" fillId="0" borderId="0" xfId="0" applyFill="1" applyAlignment="1">
      <alignment horizontal="center"/>
    </xf>
    <xf numFmtId="0" fontId="0" fillId="2" borderId="0" xfId="0" applyFill="1"/>
    <xf numFmtId="164" fontId="0" fillId="2" borderId="0" xfId="6" applyNumberFormat="1" applyFont="1" applyFill="1"/>
    <xf numFmtId="165" fontId="0" fillId="2" borderId="0" xfId="7" applyNumberFormat="1" applyFont="1" applyFill="1"/>
    <xf numFmtId="164" fontId="0" fillId="2" borderId="0" xfId="0" applyNumberFormat="1" applyFill="1"/>
    <xf numFmtId="164" fontId="4" fillId="0" borderId="0" xfId="6" applyNumberFormat="1" applyFont="1" applyFill="1"/>
    <xf numFmtId="0" fontId="0" fillId="2" borderId="0" xfId="0" applyFill="1" applyAlignment="1">
      <alignment horizontal="center"/>
    </xf>
    <xf numFmtId="0" fontId="11" fillId="0" borderId="0" xfId="0" applyFont="1" applyFill="1"/>
    <xf numFmtId="9" fontId="1" fillId="0" borderId="0" xfId="5" applyNumberFormat="1" applyFont="1"/>
    <xf numFmtId="0" fontId="11" fillId="0" borderId="0" xfId="5" applyFont="1"/>
    <xf numFmtId="166" fontId="1" fillId="0" borderId="4" xfId="4" applyNumberFormat="1" applyFont="1" applyBorder="1"/>
    <xf numFmtId="169" fontId="1" fillId="0" borderId="4" xfId="3" applyNumberFormat="1" applyFont="1" applyBorder="1"/>
    <xf numFmtId="166" fontId="11" fillId="0" borderId="4" xfId="1" applyNumberFormat="1" applyFont="1" applyBorder="1"/>
    <xf numFmtId="0" fontId="1" fillId="0" borderId="0" xfId="5" applyFont="1" applyBorder="1" applyAlignment="1"/>
    <xf numFmtId="0" fontId="11" fillId="0" borderId="2" xfId="5" applyFont="1" applyBorder="1"/>
    <xf numFmtId="166" fontId="11" fillId="0" borderId="7" xfId="5" applyNumberFormat="1" applyFont="1" applyBorder="1"/>
    <xf numFmtId="169" fontId="11" fillId="0" borderId="7" xfId="3" applyNumberFormat="1" applyFont="1" applyBorder="1"/>
    <xf numFmtId="0" fontId="11" fillId="0" borderId="0" xfId="5" applyFont="1" applyBorder="1"/>
    <xf numFmtId="166" fontId="11" fillId="0" borderId="0" xfId="5" applyNumberFormat="1" applyFont="1" applyBorder="1"/>
    <xf numFmtId="9" fontId="11" fillId="0" borderId="0" xfId="3" applyFont="1" applyBorder="1"/>
    <xf numFmtId="0" fontId="3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wrapText="1"/>
    </xf>
    <xf numFmtId="0" fontId="12" fillId="0" borderId="0" xfId="5" applyFont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wrapText="1"/>
    </xf>
    <xf numFmtId="0" fontId="11" fillId="0" borderId="0" xfId="5" applyFont="1" applyAlignment="1">
      <alignment horizontal="left" indent="16"/>
    </xf>
    <xf numFmtId="0" fontId="1" fillId="0" borderId="0" xfId="0" applyFont="1" applyBorder="1"/>
    <xf numFmtId="0" fontId="11" fillId="0" borderId="0" xfId="0" applyFont="1"/>
    <xf numFmtId="0" fontId="11" fillId="0" borderId="8" xfId="0" applyFont="1" applyBorder="1"/>
    <xf numFmtId="166" fontId="1" fillId="0" borderId="4" xfId="8" applyNumberFormat="1" applyFont="1" applyBorder="1"/>
    <xf numFmtId="169" fontId="1" fillId="0" borderId="4" xfId="7" applyNumberFormat="1" applyFont="1" applyBorder="1"/>
    <xf numFmtId="166" fontId="11" fillId="0" borderId="5" xfId="9" applyNumberFormat="1" applyFont="1" applyBorder="1"/>
    <xf numFmtId="0" fontId="11" fillId="0" borderId="0" xfId="0" applyFont="1" applyBorder="1"/>
    <xf numFmtId="0" fontId="1" fillId="0" borderId="5" xfId="0" applyFont="1" applyBorder="1" applyAlignment="1">
      <alignment horizontal="left" indent="5"/>
    </xf>
    <xf numFmtId="0" fontId="1" fillId="0" borderId="0" xfId="0" applyFont="1" applyBorder="1" applyAlignment="1">
      <alignment horizontal="left" indent="5"/>
    </xf>
    <xf numFmtId="0" fontId="11" fillId="0" borderId="8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9" xfId="0" applyFont="1" applyBorder="1"/>
    <xf numFmtId="166" fontId="11" fillId="0" borderId="7" xfId="0" applyNumberFormat="1" applyFont="1" applyBorder="1"/>
    <xf numFmtId="169" fontId="11" fillId="0" borderId="7" xfId="7" applyNumberFormat="1" applyFont="1" applyBorder="1"/>
    <xf numFmtId="166" fontId="11" fillId="0" borderId="10" xfId="0" applyNumberFormat="1" applyFont="1" applyBorder="1"/>
    <xf numFmtId="166" fontId="11" fillId="0" borderId="0" xfId="0" applyNumberFormat="1" applyFont="1" applyBorder="1"/>
    <xf numFmtId="9" fontId="11" fillId="0" borderId="0" xfId="7" applyFont="1" applyBorder="1"/>
    <xf numFmtId="0" fontId="11" fillId="0" borderId="0" xfId="0" applyFont="1" applyAlignment="1">
      <alignment horizontal="left"/>
    </xf>
    <xf numFmtId="0" fontId="11" fillId="0" borderId="0" xfId="0" applyFont="1" applyFill="1" applyBorder="1"/>
    <xf numFmtId="0" fontId="11" fillId="0" borderId="0" xfId="0" applyFont="1" applyAlignment="1">
      <alignment horizontal="left" indent="17"/>
    </xf>
    <xf numFmtId="9" fontId="3" fillId="0" borderId="0" xfId="5" applyNumberFormat="1" applyFont="1" applyAlignment="1">
      <alignment horizontal="center" wrapText="1"/>
    </xf>
    <xf numFmtId="9" fontId="1" fillId="0" borderId="0" xfId="3" applyFont="1"/>
    <xf numFmtId="167" fontId="0" fillId="0" borderId="0" xfId="0" applyNumberFormat="1" applyFill="1"/>
    <xf numFmtId="0" fontId="1" fillId="2" borderId="0" xfId="0" applyFont="1" applyFill="1"/>
    <xf numFmtId="167" fontId="1" fillId="2" borderId="0" xfId="2" applyNumberFormat="1" applyFont="1" applyFill="1"/>
    <xf numFmtId="167" fontId="7" fillId="2" borderId="0" xfId="2" applyNumberFormat="1" applyFont="1" applyFill="1"/>
    <xf numFmtId="167" fontId="0" fillId="2" borderId="0" xfId="2" applyNumberFormat="1" applyFont="1" applyFill="1"/>
    <xf numFmtId="164" fontId="1" fillId="2" borderId="0" xfId="6" applyNumberFormat="1" applyFont="1" applyFill="1"/>
    <xf numFmtId="0" fontId="1" fillId="0" borderId="0" xfId="0" applyFont="1" applyFill="1" applyAlignment="1">
      <alignment horizontal="center" wrapText="1"/>
    </xf>
    <xf numFmtId="0" fontId="1" fillId="0" borderId="0" xfId="5" applyFont="1" applyFill="1" applyBorder="1" applyAlignment="1">
      <alignment horizontal="center" wrapText="1"/>
    </xf>
    <xf numFmtId="0" fontId="1" fillId="0" borderId="0" xfId="5" applyFont="1" applyFill="1" applyBorder="1" applyAlignment="1">
      <alignment horizontal="center" vertical="center" wrapText="1"/>
    </xf>
  </cellXfs>
  <cellStyles count="10">
    <cellStyle name="Comma" xfId="1" builtinId="3"/>
    <cellStyle name="Comma 10" xfId="9"/>
    <cellStyle name="Comma 2" xfId="4"/>
    <cellStyle name="Comma 2 6" xfId="8"/>
    <cellStyle name="Currency" xfId="2" builtinId="4"/>
    <cellStyle name="Currency 2" xfId="6"/>
    <cellStyle name="Normal" xfId="0" builtinId="0"/>
    <cellStyle name="Normal 2" xfId="5"/>
    <cellStyle name="Percent" xfId="3" builtinId="5"/>
    <cellStyle name="Percent 2 2" xfId="7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9" Type="http://schemas.openxmlformats.org/officeDocument/2006/relationships/styles" Target="styles.xml" />
  <Relationship Id="rId1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13" Type="http://schemas.openxmlformats.org/officeDocument/2006/relationships/customXml" Target="../customXml/item2.xml" />
  <Relationship Id="rId12" Type="http://schemas.openxmlformats.org/officeDocument/2006/relationships/customXml" Target="../customXml/item1.xml" />
  <Relationship Id="rId11" Type="http://schemas.openxmlformats.org/officeDocument/2006/relationships/calcChain" Target="calcChain.xml" />
  <Relationship Id="rId15" Type="http://schemas.openxmlformats.org/officeDocument/2006/relationships/customXml" Target="../customXml/item4.xml" />
  <Relationship Id="rId14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Layout" topLeftCell="J1" zoomScale="85" zoomScaleNormal="84" zoomScalePageLayoutView="85" workbookViewId="0">
      <selection activeCell="L1" sqref="L1"/>
    </sheetView>
  </sheetViews>
  <sheetFormatPr defaultColWidth="9.109375" defaultRowHeight="13.2" x14ac:dyDescent="0.25"/>
  <cols>
    <col min="1" max="1" width="47.88671875" style="4" customWidth="1"/>
    <col min="2" max="4" width="22.44140625" style="4" customWidth="1"/>
    <col min="5" max="5" width="18.33203125" style="4" customWidth="1"/>
    <col min="6" max="6" width="17.88671875" style="4" customWidth="1"/>
    <col min="7" max="7" width="17.5546875" style="4" customWidth="1"/>
    <col min="8" max="8" width="18.109375" style="4" customWidth="1"/>
    <col min="9" max="9" width="18.33203125" style="4" customWidth="1"/>
    <col min="10" max="10" width="12.109375" style="4" customWidth="1"/>
    <col min="11" max="11" width="12.44140625" style="4" bestFit="1" customWidth="1"/>
    <col min="12" max="12" width="12.6640625" style="4" customWidth="1"/>
    <col min="13" max="13" width="12.109375" style="4" customWidth="1"/>
    <col min="14" max="14" width="12.33203125" style="4" customWidth="1"/>
    <col min="15" max="15" width="13.33203125" style="4" customWidth="1"/>
    <col min="16" max="16384" width="9.109375" style="4"/>
  </cols>
  <sheetData>
    <row r="1" spans="1:19" x14ac:dyDescent="0.25">
      <c r="S1" s="2"/>
    </row>
    <row r="2" spans="1:19" x14ac:dyDescent="0.25">
      <c r="O2" s="21"/>
    </row>
    <row r="3" spans="1:19" x14ac:dyDescent="0.25">
      <c r="E3" s="4" t="s">
        <v>0</v>
      </c>
    </row>
    <row r="4" spans="1:19" x14ac:dyDescent="0.25">
      <c r="S4" s="2"/>
    </row>
    <row r="5" spans="1:19" x14ac:dyDescent="0.25">
      <c r="E5" s="4" t="s">
        <v>1</v>
      </c>
      <c r="J5" s="21"/>
    </row>
    <row r="6" spans="1:19" x14ac:dyDescent="0.25">
      <c r="S6" s="2"/>
    </row>
    <row r="7" spans="1:19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69</v>
      </c>
      <c r="M7" s="10" t="s">
        <v>70</v>
      </c>
      <c r="N7" s="10" t="s">
        <v>71</v>
      </c>
      <c r="O7" s="10" t="s">
        <v>72</v>
      </c>
    </row>
    <row r="8" spans="1:19" x14ac:dyDescent="0.25">
      <c r="A8" s="4" t="s">
        <v>22</v>
      </c>
      <c r="B8" s="38" t="s">
        <v>12</v>
      </c>
      <c r="C8" s="38" t="s">
        <v>65</v>
      </c>
      <c r="D8" s="38" t="s">
        <v>66</v>
      </c>
      <c r="E8" s="4" t="s">
        <v>13</v>
      </c>
      <c r="F8" s="21" t="s">
        <v>105</v>
      </c>
      <c r="H8" s="62" t="s">
        <v>67</v>
      </c>
      <c r="I8" s="62" t="s">
        <v>68</v>
      </c>
      <c r="J8" s="27" t="s">
        <v>136</v>
      </c>
      <c r="L8" s="4" t="s">
        <v>14</v>
      </c>
      <c r="N8" s="48" t="s">
        <v>15</v>
      </c>
      <c r="O8" s="48"/>
      <c r="S8" s="2"/>
    </row>
    <row r="9" spans="1:19" x14ac:dyDescent="0.25">
      <c r="B9" s="39" t="s">
        <v>134</v>
      </c>
      <c r="C9" s="11" t="str">
        <f>B9</f>
        <v>7/2013 to 6/2014 (A)</v>
      </c>
      <c r="D9" s="11" t="str">
        <f>C9</f>
        <v>7/2013 to 6/2014 (A)</v>
      </c>
      <c r="E9" s="40" t="s">
        <v>135</v>
      </c>
      <c r="F9" s="11" t="s">
        <v>16</v>
      </c>
      <c r="G9" s="11" t="s">
        <v>17</v>
      </c>
      <c r="H9" s="8" t="str">
        <f>E9</f>
        <v>7/2013 to 6/2014 (B)</v>
      </c>
      <c r="I9" s="8" t="str">
        <f>H9</f>
        <v>7/2013 to 6/2014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5">
      <c r="A10" s="4" t="s">
        <v>107</v>
      </c>
      <c r="B10" s="28">
        <v>254905.18419187501</v>
      </c>
      <c r="C10" s="28">
        <v>25382.663242127979</v>
      </c>
      <c r="D10" s="28">
        <v>51900.012501638594</v>
      </c>
      <c r="E10" s="28">
        <v>168563.00329957833</v>
      </c>
      <c r="F10" s="2">
        <f>$E10*VLOOKUP($A10,'Allocation Factors - Page 1'!$A$7:$H$14,8,FALSE)</f>
        <v>0</v>
      </c>
      <c r="G10" s="2">
        <f>$E10*VLOOKUP($A10,'Allocation Factors - Page 1'!$A$7:$H$14,7,FALSE)</f>
        <v>168563.00329957833</v>
      </c>
      <c r="H10" s="28">
        <v>44179.393666597505</v>
      </c>
      <c r="I10" s="28">
        <v>37058.137065666371</v>
      </c>
      <c r="L10" s="51"/>
      <c r="M10" s="51"/>
      <c r="N10" s="51"/>
      <c r="O10" s="51"/>
      <c r="Q10" s="1"/>
      <c r="S10" s="9"/>
    </row>
    <row r="11" spans="1:19" x14ac:dyDescent="0.25">
      <c r="A11" s="4" t="s">
        <v>108</v>
      </c>
      <c r="B11" s="28">
        <v>160841.32970961955</v>
      </c>
      <c r="C11" s="28">
        <v>13197.287597038558</v>
      </c>
      <c r="D11" s="28">
        <v>-7027.9372116110553</v>
      </c>
      <c r="E11" s="28">
        <v>129103.84198799834</v>
      </c>
      <c r="F11" s="2">
        <f>$E11*VLOOKUP($A11,'Allocation Factors - Page 1'!$A$7:$H$14,8,FALSE)</f>
        <v>52765.060282726852</v>
      </c>
      <c r="G11" s="2">
        <f>$E11*VLOOKUP($A11,'Allocation Factors - Page 1'!$A$7:$H$14,7,FALSE)</f>
        <v>76338.781705271482</v>
      </c>
      <c r="H11" s="28">
        <v>11049.544635152501</v>
      </c>
      <c r="I11" s="28">
        <v>-355.47249036737634</v>
      </c>
      <c r="L11" s="51"/>
      <c r="M11" s="51"/>
      <c r="N11" s="51"/>
      <c r="O11" s="51"/>
      <c r="Q11" s="1"/>
      <c r="S11" s="9"/>
    </row>
    <row r="12" spans="1:19" x14ac:dyDescent="0.25">
      <c r="A12" s="4" t="s">
        <v>110</v>
      </c>
      <c r="B12" s="28">
        <v>297422.33647934988</v>
      </c>
      <c r="C12" s="28">
        <v>40037.862793319975</v>
      </c>
      <c r="D12" s="28">
        <v>7460.1303303090453</v>
      </c>
      <c r="E12" s="28">
        <v>138683.55596594172</v>
      </c>
      <c r="F12" s="2">
        <f>$E12*VLOOKUP($A12,'Allocation Factors - Page 1'!$A$7:$H$14,8,FALSE)</f>
        <v>0</v>
      </c>
      <c r="G12" s="2">
        <f>$E12*VLOOKUP($A12,'Allocation Factors - Page 1'!$A$7:$H$14,7,FALSE)</f>
        <v>138683.55596594172</v>
      </c>
      <c r="H12" s="28">
        <v>21019.801068000004</v>
      </c>
      <c r="I12" s="28">
        <v>31661.86111070904</v>
      </c>
      <c r="L12" s="51"/>
      <c r="M12" s="51"/>
      <c r="N12" s="51"/>
      <c r="O12" s="51"/>
    </row>
    <row r="13" spans="1:19" x14ac:dyDescent="0.25">
      <c r="A13" s="1" t="s">
        <v>111</v>
      </c>
      <c r="B13" s="28">
        <v>669888.17379173276</v>
      </c>
      <c r="C13" s="28">
        <v>19931.961872986896</v>
      </c>
      <c r="D13" s="28">
        <v>-29790.166401558476</v>
      </c>
      <c r="E13" s="28">
        <v>520653.02795207273</v>
      </c>
      <c r="F13" s="2">
        <f>$E13*VLOOKUP($A13,'Allocation Factors - Page 1'!$A$7:$H$14,8,FALSE)</f>
        <v>205908.07921986113</v>
      </c>
      <c r="G13" s="2">
        <f>$E13*VLOOKUP($A13,'Allocation Factors - Page 1'!$A$7:$H$14,7,FALSE)</f>
        <v>314744.9487322116</v>
      </c>
      <c r="H13" s="28">
        <v>35226.804297019051</v>
      </c>
      <c r="I13" s="28">
        <v>-4187.9083734062388</v>
      </c>
      <c r="L13" s="51"/>
      <c r="M13" s="51"/>
      <c r="N13" s="51"/>
      <c r="O13" s="51"/>
    </row>
    <row r="14" spans="1:19" x14ac:dyDescent="0.25">
      <c r="A14" s="4" t="s">
        <v>109</v>
      </c>
      <c r="B14" s="28">
        <v>375038.06719892775</v>
      </c>
      <c r="C14" s="28">
        <v>402498.51468776201</v>
      </c>
      <c r="D14" s="28">
        <v>40662.926937464043</v>
      </c>
      <c r="E14" s="28">
        <v>605663.49588213104</v>
      </c>
      <c r="F14" s="2">
        <f>$E14*VLOOKUP($A14,'Allocation Factors - Page 1'!$A$7:$H$14,8,FALSE)</f>
        <v>0</v>
      </c>
      <c r="G14" s="2">
        <f>$E14*VLOOKUP($A14,'Allocation Factors - Page 1'!$A$7:$H$14,7,FALSE)</f>
        <v>605663.49588213104</v>
      </c>
      <c r="H14" s="28">
        <v>512222.46507150005</v>
      </c>
      <c r="I14" s="28">
        <v>46907.187772010569</v>
      </c>
      <c r="L14" s="51"/>
      <c r="M14" s="51"/>
      <c r="N14" s="51"/>
      <c r="O14" s="51"/>
    </row>
    <row r="15" spans="1:19" x14ac:dyDescent="0.25">
      <c r="A15" s="1" t="s">
        <v>112</v>
      </c>
      <c r="B15" s="28">
        <v>167774.29455381492</v>
      </c>
      <c r="C15" s="28">
        <v>14909.337478274407</v>
      </c>
      <c r="D15" s="28">
        <v>12818.983937435927</v>
      </c>
      <c r="E15" s="28">
        <v>223408.79651813681</v>
      </c>
      <c r="F15" s="2">
        <f>$E15*VLOOKUP($A15,'Allocation Factors - Page 1'!$A$7:$H$14,8,FALSE)</f>
        <v>80065.724222550911</v>
      </c>
      <c r="G15" s="2">
        <f>$E15*VLOOKUP($A15,'Allocation Factors - Page 1'!$A$7:$H$14,7,FALSE)</f>
        <v>143343.07229558588</v>
      </c>
      <c r="H15" s="28">
        <v>34079.860574775994</v>
      </c>
      <c r="I15" s="28">
        <v>51062.585771773156</v>
      </c>
      <c r="L15" s="51"/>
      <c r="M15" s="51"/>
      <c r="N15" s="51"/>
      <c r="O15" s="51"/>
    </row>
    <row r="16" spans="1:19" x14ac:dyDescent="0.25">
      <c r="A16" s="4" t="s">
        <v>106</v>
      </c>
      <c r="B16" s="28">
        <v>1170194.4718835654</v>
      </c>
      <c r="C16" s="28">
        <v>1376346.8887159552</v>
      </c>
      <c r="D16" s="28">
        <v>319133.3144186578</v>
      </c>
      <c r="E16" s="28">
        <v>1511813.9100137351</v>
      </c>
      <c r="F16" s="2">
        <f>$E16*VLOOKUP($A16,'Allocation Factors - Page 1'!$A$7:$H$14,8,FALSE)</f>
        <v>94.181043053629296</v>
      </c>
      <c r="G16" s="2">
        <f>$E16*VLOOKUP($A16,'Allocation Factors - Page 1'!$A$7:$H$14,7,FALSE)</f>
        <v>1511719.7289706813</v>
      </c>
      <c r="H16" s="28">
        <v>1685324.2100348107</v>
      </c>
      <c r="I16" s="28">
        <v>511105.46692606015</v>
      </c>
      <c r="L16" s="51"/>
      <c r="M16" s="51"/>
      <c r="N16" s="51"/>
      <c r="O16" s="51"/>
    </row>
    <row r="17" spans="1:15" x14ac:dyDescent="0.25">
      <c r="A17" s="4" t="s">
        <v>21</v>
      </c>
      <c r="B17" s="28">
        <v>308741.90068623837</v>
      </c>
      <c r="C17" s="28">
        <v>0</v>
      </c>
      <c r="D17" s="58">
        <v>138806.9187412418</v>
      </c>
      <c r="E17" s="28">
        <v>776700.01720776397</v>
      </c>
      <c r="F17" s="2">
        <f>$E17*VLOOKUP($A17,'Allocation Factors - Page 1'!$A$7:$H$14,8,FALSE)</f>
        <v>0</v>
      </c>
      <c r="G17" s="2">
        <f>$E17*VLOOKUP($A17,'Allocation Factors - Page 1'!$A$7:$H$14,7,FALSE)</f>
        <v>776700.01720776397</v>
      </c>
      <c r="H17" s="28">
        <v>0</v>
      </c>
      <c r="I17" s="28">
        <v>85820.859177872946</v>
      </c>
      <c r="L17" s="51"/>
      <c r="M17" s="51"/>
      <c r="N17" s="51"/>
      <c r="O17" s="51"/>
    </row>
    <row r="18" spans="1:15" x14ac:dyDescent="0.25">
      <c r="A18" s="4" t="s">
        <v>124</v>
      </c>
      <c r="B18" s="28"/>
      <c r="C18" s="28">
        <v>0</v>
      </c>
      <c r="D18" s="28">
        <v>0</v>
      </c>
      <c r="E18" s="28">
        <v>0</v>
      </c>
      <c r="F18" s="2">
        <v>0</v>
      </c>
      <c r="G18" s="3">
        <f t="shared" ref="G18" si="0">E18-F18</f>
        <v>0</v>
      </c>
      <c r="H18" s="28">
        <v>144534.93639786777</v>
      </c>
      <c r="I18" s="28">
        <v>0</v>
      </c>
      <c r="L18" s="56"/>
      <c r="M18" s="56"/>
      <c r="N18" s="56"/>
      <c r="O18" s="56"/>
    </row>
    <row r="19" spans="1:15" x14ac:dyDescent="0.25">
      <c r="A19" s="4" t="s">
        <v>129</v>
      </c>
      <c r="B19" s="28">
        <v>250556.4</v>
      </c>
      <c r="C19" s="28">
        <v>0</v>
      </c>
      <c r="D19" s="28">
        <v>0</v>
      </c>
      <c r="E19" s="28">
        <v>300151.59000000003</v>
      </c>
      <c r="F19" s="28">
        <v>126223.88787683523</v>
      </c>
      <c r="G19" s="28">
        <v>173927.70212316481</v>
      </c>
      <c r="H19" s="28">
        <v>0</v>
      </c>
      <c r="I19" s="28">
        <v>0</v>
      </c>
      <c r="L19" s="28">
        <v>106252.70000000001</v>
      </c>
      <c r="M19" s="28">
        <v>146408.80000000002</v>
      </c>
      <c r="N19" s="59"/>
      <c r="O19" s="59"/>
    </row>
    <row r="20" spans="1:15" x14ac:dyDescent="0.25">
      <c r="A20" s="4" t="s">
        <v>130</v>
      </c>
      <c r="B20" s="28"/>
      <c r="C20" s="28"/>
      <c r="D20" s="28"/>
      <c r="E20" s="28"/>
      <c r="F20" s="28"/>
      <c r="G20" s="58"/>
      <c r="H20" s="28"/>
      <c r="I20" s="28"/>
      <c r="L20" s="28">
        <v>-2446433.3300000005</v>
      </c>
      <c r="M20" s="28">
        <v>3250988.3800000004</v>
      </c>
      <c r="N20" s="57"/>
      <c r="O20" s="57"/>
    </row>
    <row r="21" spans="1:15" x14ac:dyDescent="0.25">
      <c r="A21" s="41" t="s">
        <v>34</v>
      </c>
      <c r="B21" s="43">
        <f>SUM(B10:B20)</f>
        <v>3655362.1584951235</v>
      </c>
      <c r="C21" s="43">
        <f t="shared" ref="C21:I21" si="1">SUM(C10:C20)</f>
        <v>1892304.5163874649</v>
      </c>
      <c r="D21" s="43">
        <f t="shared" si="1"/>
        <v>533964.18325357768</v>
      </c>
      <c r="E21" s="43">
        <f t="shared" si="1"/>
        <v>4374741.238827358</v>
      </c>
      <c r="F21" s="43">
        <f t="shared" si="1"/>
        <v>465056.93264502776</v>
      </c>
      <c r="G21" s="43">
        <f t="shared" si="1"/>
        <v>3909684.30618233</v>
      </c>
      <c r="H21" s="43">
        <f t="shared" si="1"/>
        <v>2487637.0157457236</v>
      </c>
      <c r="I21" s="43">
        <f t="shared" si="1"/>
        <v>759072.71696031862</v>
      </c>
      <c r="J21" s="52">
        <v>1748956.0850835093</v>
      </c>
      <c r="K21" s="52">
        <v>-813874.17389128823</v>
      </c>
      <c r="L21" s="42">
        <f>L19+L20</f>
        <v>-2340180.6300000004</v>
      </c>
      <c r="M21" s="42">
        <f>M19+M20</f>
        <v>3397397.18</v>
      </c>
      <c r="N21" s="42">
        <f>F21+J21-L21</f>
        <v>4554193.6477285381</v>
      </c>
      <c r="O21" s="42">
        <f>G21+H21+I21+K21-M21</f>
        <v>2945122.6849970841</v>
      </c>
    </row>
    <row r="22" spans="1:15" x14ac:dyDescent="0.25">
      <c r="C22" s="14"/>
      <c r="E22" s="3"/>
      <c r="H22" s="3"/>
      <c r="I22" s="3"/>
    </row>
    <row r="23" spans="1:15" x14ac:dyDescent="0.25">
      <c r="A23" s="21" t="s">
        <v>131</v>
      </c>
      <c r="I23" s="2"/>
    </row>
    <row r="24" spans="1:15" x14ac:dyDescent="0.25">
      <c r="A24" s="21" t="s">
        <v>137</v>
      </c>
      <c r="H24" s="3"/>
      <c r="J24" s="21"/>
    </row>
    <row r="25" spans="1:15" x14ac:dyDescent="0.25">
      <c r="A25" s="21" t="s">
        <v>123</v>
      </c>
      <c r="H25" s="7"/>
      <c r="I25" s="3"/>
      <c r="J25" s="21"/>
    </row>
    <row r="26" spans="1:15" x14ac:dyDescent="0.25">
      <c r="A26" s="21" t="s">
        <v>132</v>
      </c>
      <c r="E26" s="3"/>
      <c r="H26" s="7"/>
    </row>
    <row r="27" spans="1:15" x14ac:dyDescent="0.25">
      <c r="A27" s="21" t="s">
        <v>133</v>
      </c>
      <c r="H27" s="3"/>
    </row>
    <row r="28" spans="1:15" x14ac:dyDescent="0.25">
      <c r="A28" s="21" t="s">
        <v>138</v>
      </c>
      <c r="H28" s="7"/>
    </row>
    <row r="29" spans="1:15" x14ac:dyDescent="0.25">
      <c r="A29" s="4" t="s">
        <v>73</v>
      </c>
      <c r="H29" s="7"/>
    </row>
    <row r="30" spans="1:15" x14ac:dyDescent="0.25">
      <c r="A30" s="4" t="s">
        <v>74</v>
      </c>
      <c r="H30" s="3"/>
    </row>
    <row r="31" spans="1:15" x14ac:dyDescent="0.25">
      <c r="A31" s="21" t="s">
        <v>141</v>
      </c>
      <c r="H31" s="3"/>
    </row>
    <row r="32" spans="1:15" x14ac:dyDescent="0.25">
      <c r="A32" s="21" t="s">
        <v>128</v>
      </c>
      <c r="H32" s="3"/>
    </row>
    <row r="33" spans="1:26" x14ac:dyDescent="0.25">
      <c r="E33" s="15"/>
      <c r="F33" s="15"/>
      <c r="G33" s="15"/>
      <c r="H33" s="15"/>
      <c r="I33" s="15"/>
      <c r="J33" s="15"/>
    </row>
    <row r="34" spans="1:26" x14ac:dyDescent="0.25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5">
      <c r="A35" s="4" t="s">
        <v>25</v>
      </c>
      <c r="B35" s="4" t="s">
        <v>12</v>
      </c>
      <c r="C35" s="38" t="s">
        <v>65</v>
      </c>
      <c r="D35" s="38" t="s">
        <v>66</v>
      </c>
      <c r="E35" s="4" t="s">
        <v>13</v>
      </c>
      <c r="F35" s="62" t="s">
        <v>67</v>
      </c>
      <c r="G35" s="62" t="s">
        <v>68</v>
      </c>
      <c r="H35" s="13">
        <v>2013</v>
      </c>
      <c r="I35" s="38" t="s">
        <v>26</v>
      </c>
      <c r="J35" s="49" t="s">
        <v>120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B36" s="11" t="str">
        <f>B9</f>
        <v>7/2013 to 6/2014 (A)</v>
      </c>
      <c r="C36" s="11" t="str">
        <f>B36</f>
        <v>7/2013 to 6/2014 (A)</v>
      </c>
      <c r="D36" s="11" t="str">
        <f>C36</f>
        <v>7/2013 to 6/2014 (A)</v>
      </c>
      <c r="E36" s="8" t="str">
        <f>E9</f>
        <v>7/2013 to 6/2014 (B)</v>
      </c>
      <c r="F36" s="8" t="str">
        <f>E36</f>
        <v>7/2013 to 6/2014 (B)</v>
      </c>
      <c r="G36" s="8" t="str">
        <f>F36</f>
        <v>7/2013 to 6/2014 (B)</v>
      </c>
      <c r="H36" s="11" t="s">
        <v>27</v>
      </c>
      <c r="I36" s="11" t="s">
        <v>28</v>
      </c>
      <c r="J36" s="17" t="s">
        <v>75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5">
      <c r="A37" s="21" t="s">
        <v>113</v>
      </c>
      <c r="B37" s="28">
        <v>363444.64688304206</v>
      </c>
      <c r="C37" s="28">
        <v>91416.111482848646</v>
      </c>
      <c r="D37" s="28">
        <v>229707.49396349836</v>
      </c>
      <c r="E37" s="28">
        <v>141232.95749721743</v>
      </c>
      <c r="F37" s="28">
        <v>35077.440489888897</v>
      </c>
      <c r="G37" s="28">
        <v>36875.038957318269</v>
      </c>
      <c r="H37" s="18"/>
      <c r="I37" s="18"/>
      <c r="J37" s="1"/>
      <c r="K37" s="19"/>
      <c r="L37" s="19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5">
      <c r="A38" s="4" t="s">
        <v>114</v>
      </c>
      <c r="B38" s="28">
        <v>14705.965348837692</v>
      </c>
      <c r="C38" s="28">
        <v>8866.1529332685022</v>
      </c>
      <c r="D38" s="28">
        <v>14459.279907959028</v>
      </c>
      <c r="E38" s="28">
        <v>69719.598285919972</v>
      </c>
      <c r="F38" s="28">
        <v>7854.0463872907148</v>
      </c>
      <c r="G38" s="28">
        <v>64098.504320631531</v>
      </c>
      <c r="H38" s="18"/>
      <c r="I38" s="18"/>
      <c r="J38" s="1"/>
      <c r="K38" s="19"/>
      <c r="L38" s="20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5">
      <c r="A39" s="4" t="s">
        <v>115</v>
      </c>
      <c r="B39" s="28">
        <v>177988.53530500349</v>
      </c>
      <c r="C39" s="28">
        <v>66300.002610163385</v>
      </c>
      <c r="D39" s="28">
        <v>137729.31775713098</v>
      </c>
      <c r="E39" s="28">
        <v>90262.380281831138</v>
      </c>
      <c r="F39" s="28">
        <v>3689.6961236745096</v>
      </c>
      <c r="G39" s="28">
        <v>11467.332316176431</v>
      </c>
      <c r="H39" s="18"/>
      <c r="I39" s="18"/>
      <c r="J39" s="1"/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5">
      <c r="A40" s="4" t="s">
        <v>116</v>
      </c>
      <c r="B40" s="28">
        <v>587515.85258571059</v>
      </c>
      <c r="C40" s="28">
        <v>311187.23894661985</v>
      </c>
      <c r="D40" s="28">
        <v>390588.06741356949</v>
      </c>
      <c r="E40" s="28">
        <v>568419.41938008484</v>
      </c>
      <c r="F40" s="28">
        <v>233009.12955557916</v>
      </c>
      <c r="G40" s="28">
        <v>267504.12209855375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5">
      <c r="A41" s="1" t="s">
        <v>117</v>
      </c>
      <c r="B41" s="63">
        <v>68636.03062735351</v>
      </c>
      <c r="C41" s="63">
        <v>59009.437362912649</v>
      </c>
      <c r="D41" s="63">
        <v>70546.14090474401</v>
      </c>
      <c r="E41" s="28">
        <v>81742.838629452206</v>
      </c>
      <c r="F41" s="28">
        <v>19466.657107965992</v>
      </c>
      <c r="G41" s="28">
        <v>41258.713058434172</v>
      </c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5">
      <c r="A42" s="27" t="s">
        <v>118</v>
      </c>
      <c r="B42" s="63">
        <v>55.907615035437665</v>
      </c>
      <c r="C42" s="63">
        <v>119.33812426825438</v>
      </c>
      <c r="D42" s="63">
        <v>75.468691255455482</v>
      </c>
      <c r="E42" s="28">
        <v>21657.196395805528</v>
      </c>
      <c r="F42" s="28">
        <v>1876.4187153985981</v>
      </c>
      <c r="G42" s="28">
        <v>9455.8823214544263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s="1" customFormat="1" x14ac:dyDescent="0.25">
      <c r="A43" s="27" t="s">
        <v>142</v>
      </c>
      <c r="B43" s="63"/>
      <c r="C43" s="63"/>
      <c r="D43" s="63"/>
      <c r="E43" s="28">
        <v>94.827992126034232</v>
      </c>
      <c r="F43" s="28">
        <v>0</v>
      </c>
      <c r="G43" s="28">
        <v>-9.4827992126034228</v>
      </c>
      <c r="H43" s="20"/>
      <c r="I43" s="20"/>
      <c r="K43" s="19"/>
      <c r="L43" s="20"/>
      <c r="M43" s="9"/>
      <c r="Q43" s="9"/>
      <c r="R43" s="5"/>
      <c r="T43" s="13"/>
      <c r="U43" s="13"/>
      <c r="W43" s="13"/>
      <c r="X43" s="13"/>
    </row>
    <row r="44" spans="1:26" x14ac:dyDescent="0.25">
      <c r="A44" s="45" t="s">
        <v>34</v>
      </c>
      <c r="B44" s="42">
        <f>SUM(B37:B43)</f>
        <v>1212346.9383649828</v>
      </c>
      <c r="C44" s="42">
        <f t="shared" ref="C44:G44" si="2">SUM(C37:C43)</f>
        <v>536898.28146008123</v>
      </c>
      <c r="D44" s="42">
        <f t="shared" si="2"/>
        <v>843105.7686381574</v>
      </c>
      <c r="E44" s="42">
        <f t="shared" si="2"/>
        <v>973129.21846243716</v>
      </c>
      <c r="F44" s="42">
        <f t="shared" si="2"/>
        <v>300973.38837979786</v>
      </c>
      <c r="G44" s="42">
        <f t="shared" si="2"/>
        <v>430650.11027335597</v>
      </c>
      <c r="H44" s="53">
        <v>-1669696.6792324432</v>
      </c>
      <c r="I44" s="42">
        <v>195330.33769999997</v>
      </c>
      <c r="J44" s="46">
        <f>E44+F44+G44+H44-I44</f>
        <v>-160274.29981685238</v>
      </c>
    </row>
    <row r="45" spans="1:26" x14ac:dyDescent="0.25">
      <c r="B45" s="3"/>
      <c r="F45" s="3"/>
      <c r="G45" s="3"/>
      <c r="H45" s="40"/>
    </row>
    <row r="46" spans="1:26" x14ac:dyDescent="0.25">
      <c r="A46" s="45" t="s">
        <v>119</v>
      </c>
      <c r="B46" s="64">
        <v>815415.30890204734</v>
      </c>
      <c r="C46" s="64">
        <v>0</v>
      </c>
      <c r="D46" s="64">
        <v>261321.94612839344</v>
      </c>
      <c r="E46" s="64">
        <v>890644.55743073509</v>
      </c>
      <c r="F46" s="64">
        <v>0</v>
      </c>
      <c r="G46" s="64">
        <v>294543.33838054881</v>
      </c>
      <c r="H46" s="53">
        <v>801314.27966311597</v>
      </c>
      <c r="I46" s="42">
        <v>2650631.3031819998</v>
      </c>
      <c r="J46" s="46">
        <f>E46+F46+G46+H46-I46</f>
        <v>-664129.1277075999</v>
      </c>
      <c r="K46" s="19"/>
      <c r="L46" s="20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5">
      <c r="A47" s="27"/>
      <c r="B47" s="44"/>
      <c r="C47" s="44"/>
      <c r="D47" s="44"/>
      <c r="E47" s="9"/>
      <c r="F47" s="9"/>
      <c r="G47" s="9"/>
      <c r="H47" s="20"/>
      <c r="I47" s="20"/>
      <c r="J47" s="1"/>
      <c r="K47" s="19"/>
      <c r="L47" s="20"/>
      <c r="M47" s="9"/>
      <c r="N47" s="1"/>
      <c r="O47" s="1"/>
      <c r="P47" s="1"/>
      <c r="Q47" s="9"/>
      <c r="R47" s="5"/>
      <c r="S47" s="1"/>
      <c r="T47" s="13"/>
      <c r="U47" s="13"/>
      <c r="V47" s="1"/>
      <c r="W47" s="13"/>
      <c r="X47" s="13"/>
      <c r="Y47" s="1"/>
      <c r="Z47" s="1"/>
    </row>
    <row r="48" spans="1:26" x14ac:dyDescent="0.25">
      <c r="A48" s="45" t="s">
        <v>146</v>
      </c>
      <c r="B48" s="47"/>
      <c r="C48" s="47"/>
      <c r="D48" s="47"/>
      <c r="E48" s="64">
        <v>1883.3185044739998</v>
      </c>
      <c r="F48" s="47"/>
      <c r="G48" s="47"/>
      <c r="H48" s="53"/>
      <c r="I48" s="42"/>
      <c r="J48" s="46"/>
      <c r="K48" s="19"/>
      <c r="L48" s="20"/>
      <c r="M48" s="9"/>
      <c r="N48" s="1"/>
      <c r="O48" s="1"/>
      <c r="P48" s="1"/>
      <c r="Q48" s="9"/>
      <c r="R48" s="5"/>
      <c r="S48" s="1"/>
      <c r="T48" s="13"/>
      <c r="U48" s="13"/>
      <c r="V48" s="1"/>
      <c r="W48" s="13"/>
      <c r="X48" s="13"/>
      <c r="Y48" s="1"/>
      <c r="Z48" s="1"/>
    </row>
    <row r="49" spans="1:26" x14ac:dyDescent="0.25">
      <c r="A49" s="27"/>
      <c r="B49" s="44"/>
      <c r="C49" s="44"/>
      <c r="D49" s="44"/>
      <c r="E49" s="9"/>
      <c r="F49" s="9"/>
      <c r="G49" s="9"/>
      <c r="H49" s="20"/>
      <c r="I49" s="20"/>
      <c r="J49" s="1"/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5">
      <c r="A50" s="21" t="str">
        <f>A23</f>
        <v>(A) Amounts identified in report filed in Case No. 2012-00085.</v>
      </c>
      <c r="F50" s="3"/>
      <c r="G50" s="3"/>
    </row>
    <row r="51" spans="1:26" x14ac:dyDescent="0.25">
      <c r="A51" s="4" t="str">
        <f>A24</f>
        <v>(B) Actual program expenditures, lost revenues (for this period and from prior period DSM measure installations), and shared savings for the period July 1, 2013 through June 30, 2014.</v>
      </c>
      <c r="F51" s="3"/>
      <c r="G51" s="3"/>
    </row>
    <row r="52" spans="1:26" x14ac:dyDescent="0.25">
      <c r="A52" s="21" t="s">
        <v>140</v>
      </c>
      <c r="F52" s="3"/>
      <c r="G52" s="3"/>
    </row>
    <row r="53" spans="1:26" x14ac:dyDescent="0.25">
      <c r="A53" s="21" t="s">
        <v>139</v>
      </c>
      <c r="F53" s="3"/>
      <c r="G53" s="3"/>
    </row>
    <row r="54" spans="1:26" x14ac:dyDescent="0.25">
      <c r="A54" s="21" t="s">
        <v>76</v>
      </c>
    </row>
    <row r="55" spans="1:26" x14ac:dyDescent="0.25">
      <c r="A55" s="21" t="s">
        <v>145</v>
      </c>
    </row>
    <row r="56" spans="1:26" x14ac:dyDescent="0.25">
      <c r="E56" s="2"/>
      <c r="F56" s="2"/>
      <c r="G56" s="3"/>
      <c r="H56" s="3"/>
      <c r="I56" s="3"/>
    </row>
  </sheetData>
  <phoneticPr fontId="2" type="noConversion"/>
  <pageMargins left="0.43" right="0.23" top="1" bottom="1" header="0.7" footer="0.5"/>
  <pageSetup scale="48" orientation="landscape" r:id="rId1"/>
  <headerFooter alignWithMargins="0"/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Layout" zoomScaleNormal="85" workbookViewId="0">
      <selection activeCell="L1" sqref="L1"/>
    </sheetView>
  </sheetViews>
  <sheetFormatPr defaultColWidth="9.109375" defaultRowHeight="13.2" x14ac:dyDescent="0.25"/>
  <cols>
    <col min="1" max="1" width="56.5546875" style="4" customWidth="1"/>
    <col min="2" max="2" width="14" style="4" bestFit="1" customWidth="1"/>
    <col min="3" max="4" width="12.33203125" style="4" bestFit="1" customWidth="1"/>
    <col min="5" max="5" width="14" style="4" bestFit="1" customWidth="1"/>
    <col min="6" max="7" width="9.109375" style="4"/>
    <col min="8" max="8" width="14.5546875" style="4" bestFit="1" customWidth="1"/>
    <col min="9" max="9" width="13" style="4" customWidth="1"/>
    <col min="10" max="10" width="13.109375" style="4" customWidth="1"/>
    <col min="11" max="11" width="13.88671875" style="4" customWidth="1"/>
    <col min="12" max="14" width="9.109375" style="4"/>
    <col min="15" max="15" width="14.5546875" style="36" customWidth="1"/>
    <col min="16" max="16" width="9.109375" style="4"/>
    <col min="17" max="17" width="13" style="4" bestFit="1" customWidth="1"/>
    <col min="18" max="16384" width="9.109375" style="4"/>
  </cols>
  <sheetData>
    <row r="1" spans="1:15" x14ac:dyDescent="0.25">
      <c r="B1" s="4" t="str">
        <f>'Page 1'!E3</f>
        <v xml:space="preserve">                      Kentucky DSM Rider</v>
      </c>
      <c r="K1" s="37"/>
    </row>
    <row r="3" spans="1:15" x14ac:dyDescent="0.25">
      <c r="B3" s="21" t="s">
        <v>143</v>
      </c>
    </row>
    <row r="6" spans="1:15" x14ac:dyDescent="0.25">
      <c r="B6" s="21" t="s">
        <v>125</v>
      </c>
    </row>
    <row r="8" spans="1:15" s="38" customFormat="1" ht="26.25" customHeight="1" x14ac:dyDescent="0.25">
      <c r="A8" s="69"/>
      <c r="C8" s="38" t="s">
        <v>29</v>
      </c>
      <c r="D8" s="38" t="s">
        <v>30</v>
      </c>
      <c r="G8" s="35" t="s">
        <v>161</v>
      </c>
      <c r="H8" s="35"/>
      <c r="I8" s="69"/>
      <c r="J8" s="125" t="s">
        <v>79</v>
      </c>
      <c r="K8" s="125"/>
    </row>
    <row r="9" spans="1:15" s="38" customFormat="1" ht="15" x14ac:dyDescent="0.4">
      <c r="A9" s="69"/>
      <c r="B9" s="30" t="s">
        <v>31</v>
      </c>
      <c r="C9" s="30" t="s">
        <v>32</v>
      </c>
      <c r="D9" s="30" t="s">
        <v>33</v>
      </c>
      <c r="E9" s="30" t="s">
        <v>34</v>
      </c>
      <c r="G9" s="31" t="s">
        <v>17</v>
      </c>
      <c r="H9" s="31" t="s">
        <v>16</v>
      </c>
      <c r="I9" s="31" t="s">
        <v>63</v>
      </c>
      <c r="J9" s="31" t="s">
        <v>17</v>
      </c>
      <c r="K9" s="31" t="s">
        <v>64</v>
      </c>
    </row>
    <row r="10" spans="1:15" x14ac:dyDescent="0.25">
      <c r="B10" s="28"/>
      <c r="C10" s="28"/>
      <c r="D10" s="28"/>
      <c r="E10" s="28"/>
      <c r="O10" s="4"/>
    </row>
    <row r="11" spans="1:15" x14ac:dyDescent="0.25">
      <c r="A11" s="4" t="s">
        <v>107</v>
      </c>
      <c r="B11" s="28">
        <v>109613.13257509821</v>
      </c>
      <c r="C11" s="28">
        <v>177379.41377767292</v>
      </c>
      <c r="D11" s="28">
        <v>-203.64741769543909</v>
      </c>
      <c r="E11" s="28">
        <f>SUM(B11:D11)</f>
        <v>286788.89893507567</v>
      </c>
      <c r="F11" s="3"/>
      <c r="G11" s="72">
        <f>'Allocation Factors - Page 2'!G7</f>
        <v>1</v>
      </c>
      <c r="H11" s="72">
        <f>'Allocation Factors - Page 2'!H7</f>
        <v>0</v>
      </c>
      <c r="I11" s="2">
        <f>G11*B11</f>
        <v>109613.13257509821</v>
      </c>
      <c r="J11" s="3">
        <f t="shared" ref="J11:J20" si="0">I11+D11+C11</f>
        <v>286788.89893507567</v>
      </c>
      <c r="K11" s="2">
        <f>H11*B11</f>
        <v>0</v>
      </c>
      <c r="M11" s="21"/>
      <c r="O11" s="4"/>
    </row>
    <row r="12" spans="1:15" x14ac:dyDescent="0.25">
      <c r="A12" s="4" t="s">
        <v>108</v>
      </c>
      <c r="B12" s="28">
        <v>196960.90361186946</v>
      </c>
      <c r="C12" s="28">
        <v>40056.902426342524</v>
      </c>
      <c r="D12" s="28">
        <v>6449.7757251748153</v>
      </c>
      <c r="E12" s="28">
        <f t="shared" ref="E12:E20" si="1">SUM(B12:D12)</f>
        <v>243467.58176338678</v>
      </c>
      <c r="F12" s="3"/>
      <c r="G12" s="72">
        <f>'Allocation Factors - Page 2'!G8</f>
        <v>0.54758648919302833</v>
      </c>
      <c r="H12" s="72">
        <f>'Allocation Factors - Page 2'!H8</f>
        <v>0.45241351080697167</v>
      </c>
      <c r="I12" s="2">
        <f t="shared" ref="I12:I20" si="2">G12*B12</f>
        <v>107853.12971711005</v>
      </c>
      <c r="J12" s="3">
        <f t="shared" si="0"/>
        <v>154359.80786862737</v>
      </c>
      <c r="K12" s="2">
        <f t="shared" ref="K12:K20" si="3">H12*B12</f>
        <v>89107.773894759419</v>
      </c>
      <c r="M12" s="21"/>
      <c r="N12" s="21"/>
      <c r="O12" s="4"/>
    </row>
    <row r="13" spans="1:15" x14ac:dyDescent="0.25">
      <c r="A13" s="4" t="s">
        <v>110</v>
      </c>
      <c r="B13" s="28">
        <v>276950.26534919662</v>
      </c>
      <c r="C13" s="28">
        <v>101283.86759399998</v>
      </c>
      <c r="D13" s="28">
        <v>14463.61644060188</v>
      </c>
      <c r="E13" s="28">
        <f t="shared" si="1"/>
        <v>392697.74938379845</v>
      </c>
      <c r="F13" s="3"/>
      <c r="G13" s="72">
        <f>'Allocation Factors - Page 2'!G9</f>
        <v>1</v>
      </c>
      <c r="H13" s="72">
        <f>'Allocation Factors - Page 2'!H9</f>
        <v>0</v>
      </c>
      <c r="I13" s="2">
        <f t="shared" si="2"/>
        <v>276950.26534919662</v>
      </c>
      <c r="J13" s="3">
        <f t="shared" si="0"/>
        <v>392697.74938379845</v>
      </c>
      <c r="K13" s="2">
        <f t="shared" si="3"/>
        <v>0</v>
      </c>
      <c r="M13" s="21"/>
      <c r="O13" s="4"/>
    </row>
    <row r="14" spans="1:15" x14ac:dyDescent="0.25">
      <c r="A14" s="4" t="s">
        <v>111</v>
      </c>
      <c r="B14" s="28">
        <v>700409.65539380093</v>
      </c>
      <c r="C14" s="28">
        <v>54818.847232966757</v>
      </c>
      <c r="D14" s="28">
        <v>-8454.636398802797</v>
      </c>
      <c r="E14" s="28">
        <f t="shared" si="1"/>
        <v>746773.86622796499</v>
      </c>
      <c r="F14" s="3"/>
      <c r="G14" s="72">
        <f>'Allocation Factors - Page 2'!G10</f>
        <v>0.43459409036928359</v>
      </c>
      <c r="H14" s="72">
        <f>'Allocation Factors - Page 2'!H10</f>
        <v>0.56540590963071646</v>
      </c>
      <c r="I14" s="2">
        <f t="shared" si="2"/>
        <v>304393.89707173232</v>
      </c>
      <c r="J14" s="3">
        <f t="shared" si="0"/>
        <v>350758.10790589626</v>
      </c>
      <c r="K14" s="2">
        <f t="shared" si="3"/>
        <v>396015.75832206866</v>
      </c>
      <c r="M14" s="21"/>
      <c r="N14" s="21"/>
      <c r="O14" s="4"/>
    </row>
    <row r="15" spans="1:15" x14ac:dyDescent="0.25">
      <c r="A15" s="4" t="s">
        <v>109</v>
      </c>
      <c r="B15" s="28">
        <v>625156.48750989907</v>
      </c>
      <c r="C15" s="28">
        <v>542633.16600000078</v>
      </c>
      <c r="D15" s="28">
        <v>84254.060702647374</v>
      </c>
      <c r="E15" s="28">
        <f>SUM(B15:D15)</f>
        <v>1252043.7142125473</v>
      </c>
      <c r="F15" s="3"/>
      <c r="G15" s="72">
        <f>'Allocation Factors - Page 2'!G11</f>
        <v>1</v>
      </c>
      <c r="H15" s="72">
        <f>'Allocation Factors - Page 2'!H11</f>
        <v>0</v>
      </c>
      <c r="I15" s="2">
        <f>G15*B15</f>
        <v>625156.48750989907</v>
      </c>
      <c r="J15" s="3">
        <f>I15+D15+C15</f>
        <v>1252043.7142125471</v>
      </c>
      <c r="K15" s="2">
        <f>H15*B15</f>
        <v>0</v>
      </c>
      <c r="M15" s="21"/>
      <c r="O15" s="4"/>
    </row>
    <row r="16" spans="1:15" x14ac:dyDescent="0.25">
      <c r="A16" s="4" t="s">
        <v>112</v>
      </c>
      <c r="B16" s="28">
        <v>193881.38604940393</v>
      </c>
      <c r="C16" s="28">
        <v>55486.305357504025</v>
      </c>
      <c r="D16" s="28">
        <v>66796.222893475482</v>
      </c>
      <c r="E16" s="28">
        <f t="shared" si="1"/>
        <v>316163.91430038342</v>
      </c>
      <c r="F16" s="3"/>
      <c r="G16" s="72">
        <f>'Allocation Factors - Page 2'!G12</f>
        <v>0.45627606331781584</v>
      </c>
      <c r="H16" s="72">
        <f>'Allocation Factors - Page 2'!H12</f>
        <v>0.54372393668218422</v>
      </c>
      <c r="I16" s="2">
        <f t="shared" si="2"/>
        <v>88463.435577223718</v>
      </c>
      <c r="J16" s="3">
        <f t="shared" si="0"/>
        <v>210745.96382820324</v>
      </c>
      <c r="K16" s="2">
        <f t="shared" si="3"/>
        <v>105417.95047218021</v>
      </c>
      <c r="M16" s="21"/>
      <c r="N16" s="21"/>
      <c r="O16" s="4"/>
    </row>
    <row r="17" spans="1:15" x14ac:dyDescent="0.25">
      <c r="A17" s="4" t="s">
        <v>106</v>
      </c>
      <c r="B17" s="28">
        <v>1085885.7314008148</v>
      </c>
      <c r="C17" s="28">
        <v>1567646.1002974361</v>
      </c>
      <c r="D17" s="28">
        <v>110953.39183417184</v>
      </c>
      <c r="E17" s="28">
        <f t="shared" si="1"/>
        <v>2764485.2235324229</v>
      </c>
      <c r="F17" s="3"/>
      <c r="G17" s="72">
        <f>'Allocation Factors - Page 2'!G13</f>
        <v>0.96742470739366715</v>
      </c>
      <c r="H17" s="72">
        <f>'Allocation Factors - Page 2'!H13</f>
        <v>3.2575292606332865E-2</v>
      </c>
      <c r="I17" s="2">
        <f t="shared" si="2"/>
        <v>1050512.6859633916</v>
      </c>
      <c r="J17" s="3">
        <f t="shared" si="0"/>
        <v>2729112.1780949994</v>
      </c>
      <c r="K17" s="2">
        <f t="shared" si="3"/>
        <v>35373.045437423316</v>
      </c>
      <c r="M17" s="21"/>
      <c r="N17" s="21"/>
      <c r="O17" s="4"/>
    </row>
    <row r="18" spans="1:15" x14ac:dyDescent="0.25">
      <c r="A18" s="4" t="s">
        <v>21</v>
      </c>
      <c r="B18" s="28">
        <v>437796.41707661131</v>
      </c>
      <c r="C18" s="28">
        <v>0</v>
      </c>
      <c r="D18" s="28">
        <v>149596.76155425614</v>
      </c>
      <c r="E18" s="28">
        <f t="shared" si="1"/>
        <v>587393.17863086751</v>
      </c>
      <c r="G18" s="72">
        <f>'Allocation Factors - Page 2'!G14</f>
        <v>1</v>
      </c>
      <c r="H18" s="72">
        <f>'Allocation Factors - Page 2'!H14</f>
        <v>0</v>
      </c>
      <c r="I18" s="2">
        <f t="shared" si="2"/>
        <v>437796.41707661131</v>
      </c>
      <c r="J18" s="3">
        <f t="shared" si="0"/>
        <v>587393.17863086751</v>
      </c>
      <c r="K18" s="2">
        <f t="shared" si="3"/>
        <v>0</v>
      </c>
      <c r="M18" s="21"/>
      <c r="O18" s="4"/>
    </row>
    <row r="19" spans="1:15" x14ac:dyDescent="0.25">
      <c r="A19" s="120" t="s">
        <v>173</v>
      </c>
      <c r="B19" s="124">
        <v>37402.283172164811</v>
      </c>
      <c r="C19" s="124">
        <v>5998.5826441849449</v>
      </c>
      <c r="D19" s="124">
        <v>-17981.12344871313</v>
      </c>
      <c r="E19" s="71">
        <f t="shared" si="1"/>
        <v>25419.742367636623</v>
      </c>
      <c r="F19" s="70"/>
      <c r="G19" s="72">
        <f>G16</f>
        <v>0.45627606331781584</v>
      </c>
      <c r="H19" s="72">
        <f>H16</f>
        <v>0.54372393668218422</v>
      </c>
      <c r="I19" s="71">
        <f t="shared" si="2"/>
        <v>17065.766524893548</v>
      </c>
      <c r="J19" s="73">
        <f t="shared" si="0"/>
        <v>5083.2257203653635</v>
      </c>
      <c r="K19" s="71">
        <f t="shared" si="3"/>
        <v>20336.516647271263</v>
      </c>
      <c r="M19" s="21"/>
      <c r="O19" s="4"/>
    </row>
    <row r="20" spans="1:15" x14ac:dyDescent="0.25">
      <c r="A20" s="120" t="s">
        <v>174</v>
      </c>
      <c r="B20" s="124">
        <v>-189033.25719782259</v>
      </c>
      <c r="C20" s="124">
        <v>661.62193836513416</v>
      </c>
      <c r="D20" s="124">
        <v>-5942.7208479087276</v>
      </c>
      <c r="E20" s="71">
        <f t="shared" si="1"/>
        <v>-194314.35610736618</v>
      </c>
      <c r="F20" s="70"/>
      <c r="G20" s="72">
        <f>G17</f>
        <v>0.96742470739366715</v>
      </c>
      <c r="H20" s="72">
        <f>H17</f>
        <v>3.2575292606332865E-2</v>
      </c>
      <c r="I20" s="71">
        <f t="shared" si="2"/>
        <v>-182875.44353227536</v>
      </c>
      <c r="J20" s="73">
        <f t="shared" si="0"/>
        <v>-188156.54244181895</v>
      </c>
      <c r="K20" s="71">
        <f t="shared" si="3"/>
        <v>-6157.813665547249</v>
      </c>
      <c r="M20" s="21"/>
      <c r="O20" s="4"/>
    </row>
    <row r="21" spans="1:15" x14ac:dyDescent="0.25">
      <c r="B21" s="28"/>
      <c r="C21" s="28"/>
      <c r="D21" s="58"/>
      <c r="E21" s="28"/>
      <c r="F21" s="3"/>
      <c r="G21" s="22"/>
      <c r="H21" s="22"/>
      <c r="I21" s="2"/>
      <c r="J21" s="3"/>
      <c r="K21" s="2"/>
      <c r="O21" s="4"/>
    </row>
    <row r="22" spans="1:15" x14ac:dyDescent="0.25">
      <c r="A22" s="4" t="s">
        <v>35</v>
      </c>
      <c r="B22" s="28">
        <f>SUM(B11:B20)</f>
        <v>3475023.0049410369</v>
      </c>
      <c r="C22" s="28">
        <f>SUM(C11:C20)</f>
        <v>2545964.8072684733</v>
      </c>
      <c r="D22" s="28">
        <f>SUM(D11:D20)</f>
        <v>399931.70103720739</v>
      </c>
      <c r="E22" s="28">
        <f>SUM(E11:E20)</f>
        <v>6420919.5132467179</v>
      </c>
      <c r="I22" s="28">
        <f>SUM(I11:I20)</f>
        <v>2834929.7738328814</v>
      </c>
      <c r="J22" s="28">
        <f>SUM(J11:J20)</f>
        <v>5780826.2821385628</v>
      </c>
      <c r="K22" s="28">
        <f>SUM(K11:K20)</f>
        <v>640093.23110815557</v>
      </c>
      <c r="O22" s="4"/>
    </row>
    <row r="23" spans="1:15" x14ac:dyDescent="0.25">
      <c r="B23" s="28"/>
      <c r="C23" s="28"/>
      <c r="D23" s="28"/>
      <c r="E23" s="28"/>
      <c r="I23" s="2"/>
      <c r="J23" s="3"/>
      <c r="K23" s="3"/>
      <c r="O23" s="4"/>
    </row>
    <row r="24" spans="1:15" x14ac:dyDescent="0.25">
      <c r="A24" s="4" t="s">
        <v>127</v>
      </c>
      <c r="B24" s="28">
        <f>'Page 5'!H39</f>
        <v>252236.40000000002</v>
      </c>
      <c r="C24" s="28"/>
      <c r="D24" s="28"/>
      <c r="E24" s="28"/>
      <c r="I24" s="2"/>
      <c r="J24" s="3">
        <f>'Page 5'!H34</f>
        <v>146416.80000000002</v>
      </c>
      <c r="K24" s="3">
        <f>'Page 5'!H37</f>
        <v>105819.6</v>
      </c>
      <c r="O24" s="4"/>
    </row>
    <row r="25" spans="1:15" x14ac:dyDescent="0.25">
      <c r="B25" s="28"/>
      <c r="C25" s="28"/>
      <c r="D25" s="28"/>
      <c r="E25" s="28"/>
      <c r="I25" s="2"/>
      <c r="J25" s="3"/>
      <c r="K25" s="3"/>
      <c r="O25" s="4"/>
    </row>
    <row r="26" spans="1:15" x14ac:dyDescent="0.25">
      <c r="B26" s="21" t="s">
        <v>126</v>
      </c>
      <c r="C26" s="21"/>
      <c r="D26" s="21"/>
      <c r="E26" s="21"/>
      <c r="I26" s="2"/>
      <c r="O26" s="4"/>
    </row>
    <row r="27" spans="1:15" x14ac:dyDescent="0.25">
      <c r="B27" s="21"/>
      <c r="C27" s="21"/>
      <c r="D27" s="21"/>
      <c r="E27" s="21"/>
      <c r="I27" s="2"/>
      <c r="O27" s="4"/>
    </row>
    <row r="28" spans="1:15" ht="29.25" customHeight="1" x14ac:dyDescent="0.25">
      <c r="B28" s="21"/>
      <c r="C28" s="65" t="s">
        <v>29</v>
      </c>
      <c r="D28" s="65" t="s">
        <v>30</v>
      </c>
      <c r="E28" s="21"/>
      <c r="G28" s="35" t="s">
        <v>161</v>
      </c>
      <c r="H28" s="35"/>
      <c r="I28" s="69"/>
      <c r="J28" s="125" t="s">
        <v>79</v>
      </c>
      <c r="K28" s="125"/>
      <c r="O28" s="4"/>
    </row>
    <row r="29" spans="1:15" ht="15" x14ac:dyDescent="0.4">
      <c r="B29" s="31" t="s">
        <v>31</v>
      </c>
      <c r="C29" s="31" t="s">
        <v>32</v>
      </c>
      <c r="D29" s="31" t="s">
        <v>33</v>
      </c>
      <c r="E29" s="31" t="s">
        <v>34</v>
      </c>
      <c r="G29" s="31" t="s">
        <v>17</v>
      </c>
      <c r="H29" s="31" t="s">
        <v>16</v>
      </c>
      <c r="I29" s="74" t="str">
        <f>I9</f>
        <v>Electric Costs</v>
      </c>
      <c r="J29" s="31" t="s">
        <v>17</v>
      </c>
      <c r="K29" s="31" t="s">
        <v>16</v>
      </c>
      <c r="O29" s="4"/>
    </row>
    <row r="30" spans="1:15" x14ac:dyDescent="0.25">
      <c r="B30" s="28"/>
      <c r="C30" s="28"/>
      <c r="D30" s="28"/>
      <c r="E30" s="28"/>
      <c r="G30" s="22"/>
      <c r="H30" s="22"/>
      <c r="I30" s="2"/>
      <c r="J30" s="3"/>
      <c r="K30" s="38"/>
    </row>
    <row r="31" spans="1:15" x14ac:dyDescent="0.25">
      <c r="A31" s="4" t="s">
        <v>113</v>
      </c>
      <c r="B31" s="28">
        <v>512159.83251510642</v>
      </c>
      <c r="C31" s="28">
        <v>97430.343761233293</v>
      </c>
      <c r="D31" s="28">
        <v>91979.453872129438</v>
      </c>
      <c r="E31" s="28">
        <f>SUM(B31:D31)</f>
        <v>701569.63014846912</v>
      </c>
      <c r="G31" s="22">
        <f>1-H31</f>
        <v>1</v>
      </c>
      <c r="H31" s="22">
        <v>0</v>
      </c>
      <c r="I31" s="2">
        <f>G31*B31</f>
        <v>512159.83251510642</v>
      </c>
      <c r="J31" s="3">
        <f t="shared" ref="J31:J40" si="4">I31+D31+C31</f>
        <v>701569.63014846912</v>
      </c>
      <c r="K31" s="38" t="s">
        <v>20</v>
      </c>
    </row>
    <row r="32" spans="1:15" x14ac:dyDescent="0.25">
      <c r="A32" s="21" t="s">
        <v>114</v>
      </c>
      <c r="B32" s="28">
        <v>19997.497608192149</v>
      </c>
      <c r="C32" s="28">
        <v>21798.40397682078</v>
      </c>
      <c r="D32" s="28">
        <v>15832.146658058831</v>
      </c>
      <c r="E32" s="28">
        <f t="shared" ref="E32:E39" si="5">SUM(B32:D32)</f>
        <v>57628.04824307176</v>
      </c>
      <c r="G32" s="22">
        <f>1-H32</f>
        <v>1</v>
      </c>
      <c r="H32" s="22">
        <v>0</v>
      </c>
      <c r="I32" s="2">
        <f t="shared" ref="I32:I40" si="6">G32*B32</f>
        <v>19997.497608192149</v>
      </c>
      <c r="J32" s="3">
        <f t="shared" si="4"/>
        <v>57628.04824307176</v>
      </c>
      <c r="K32" s="38" t="s">
        <v>20</v>
      </c>
    </row>
    <row r="33" spans="1:15" x14ac:dyDescent="0.25">
      <c r="A33" s="21" t="s">
        <v>115</v>
      </c>
      <c r="B33" s="28">
        <v>137089.49498182675</v>
      </c>
      <c r="C33" s="28">
        <v>30552.133465854677</v>
      </c>
      <c r="D33" s="28">
        <v>79234.295219901323</v>
      </c>
      <c r="E33" s="28">
        <f t="shared" si="5"/>
        <v>246875.92366758274</v>
      </c>
      <c r="G33" s="22">
        <f>1-H33</f>
        <v>1</v>
      </c>
      <c r="H33" s="22">
        <v>0</v>
      </c>
      <c r="I33" s="2">
        <f t="shared" si="6"/>
        <v>137089.49498182675</v>
      </c>
      <c r="J33" s="3">
        <f t="shared" si="4"/>
        <v>246875.92366758274</v>
      </c>
      <c r="K33" s="38" t="s">
        <v>20</v>
      </c>
    </row>
    <row r="34" spans="1:15" x14ac:dyDescent="0.25">
      <c r="A34" s="21" t="s">
        <v>116</v>
      </c>
      <c r="B34" s="28">
        <v>889001.05456782936</v>
      </c>
      <c r="C34" s="28">
        <v>302730.2372629217</v>
      </c>
      <c r="D34" s="28">
        <v>470352.45893909386</v>
      </c>
      <c r="E34" s="28">
        <f t="shared" si="5"/>
        <v>1662083.750769845</v>
      </c>
      <c r="G34" s="22">
        <v>1</v>
      </c>
      <c r="H34" s="22">
        <v>0</v>
      </c>
      <c r="I34" s="2">
        <f t="shared" si="6"/>
        <v>889001.05456782936</v>
      </c>
      <c r="J34" s="3">
        <f t="shared" si="4"/>
        <v>1662083.750769845</v>
      </c>
      <c r="K34" s="38" t="s">
        <v>20</v>
      </c>
    </row>
    <row r="35" spans="1:15" x14ac:dyDescent="0.25">
      <c r="A35" s="4" t="s">
        <v>117</v>
      </c>
      <c r="B35" s="28">
        <v>56721.809166087565</v>
      </c>
      <c r="C35" s="28">
        <v>23435.127336648035</v>
      </c>
      <c r="D35" s="28">
        <v>20323.827404685198</v>
      </c>
      <c r="E35" s="28">
        <f t="shared" si="5"/>
        <v>100480.7639074208</v>
      </c>
      <c r="G35" s="22">
        <v>1</v>
      </c>
      <c r="H35" s="22">
        <v>0</v>
      </c>
      <c r="I35" s="2">
        <f t="shared" si="6"/>
        <v>56721.809166087565</v>
      </c>
      <c r="J35" s="3">
        <f t="shared" si="4"/>
        <v>100480.7639074208</v>
      </c>
      <c r="K35" s="38" t="s">
        <v>20</v>
      </c>
    </row>
    <row r="36" spans="1:15" x14ac:dyDescent="0.25">
      <c r="A36" s="4" t="s">
        <v>118</v>
      </c>
      <c r="B36" s="28">
        <v>2030.786719330466</v>
      </c>
      <c r="C36" s="28">
        <v>2200.6175857063868</v>
      </c>
      <c r="D36" s="28">
        <v>1467.7249105451504</v>
      </c>
      <c r="E36" s="28">
        <f t="shared" si="5"/>
        <v>5699.1292155820029</v>
      </c>
      <c r="G36" s="22">
        <v>1</v>
      </c>
      <c r="H36" s="22">
        <v>0</v>
      </c>
      <c r="I36" s="2">
        <f t="shared" si="6"/>
        <v>2030.786719330466</v>
      </c>
      <c r="J36" s="3">
        <f t="shared" si="4"/>
        <v>5699.1292155820029</v>
      </c>
      <c r="K36" s="38" t="s">
        <v>20</v>
      </c>
    </row>
    <row r="37" spans="1:15" x14ac:dyDescent="0.25">
      <c r="A37" s="21" t="s">
        <v>142</v>
      </c>
      <c r="B37" s="28">
        <v>16252.581835933252</v>
      </c>
      <c r="C37" s="28">
        <v>4056.0042730713931</v>
      </c>
      <c r="D37" s="28">
        <v>6035.0657385371742</v>
      </c>
      <c r="E37" s="28">
        <f t="shared" si="5"/>
        <v>26343.65184754182</v>
      </c>
      <c r="G37" s="22">
        <v>1</v>
      </c>
      <c r="H37" s="22">
        <v>0</v>
      </c>
      <c r="I37" s="2">
        <f t="shared" ref="I37" si="7">G37*B37</f>
        <v>16252.581835933252</v>
      </c>
      <c r="J37" s="3">
        <f t="shared" si="4"/>
        <v>26343.65184754182</v>
      </c>
      <c r="K37" s="54" t="s">
        <v>20</v>
      </c>
    </row>
    <row r="38" spans="1:15" x14ac:dyDescent="0.25">
      <c r="A38" s="21" t="s">
        <v>164</v>
      </c>
      <c r="B38" s="28">
        <v>757668.32020196947</v>
      </c>
      <c r="C38" s="28">
        <v>27556.013457314384</v>
      </c>
      <c r="D38" s="28">
        <v>161763.57364319279</v>
      </c>
      <c r="E38" s="28">
        <f t="shared" ref="E38" si="8">SUM(B38:D38)</f>
        <v>946987.90730247658</v>
      </c>
      <c r="G38" s="22">
        <v>1</v>
      </c>
      <c r="H38" s="22">
        <v>0</v>
      </c>
      <c r="I38" s="2">
        <f t="shared" ref="I38" si="9">G38*B38</f>
        <v>757668.32020196947</v>
      </c>
      <c r="J38" s="3">
        <f t="shared" si="4"/>
        <v>946987.90730247658</v>
      </c>
      <c r="K38" s="61" t="s">
        <v>20</v>
      </c>
    </row>
    <row r="39" spans="1:15" x14ac:dyDescent="0.25">
      <c r="A39" s="4" t="s">
        <v>119</v>
      </c>
      <c r="B39" s="28">
        <v>924747.12394456775</v>
      </c>
      <c r="C39" s="28">
        <v>0</v>
      </c>
      <c r="D39" s="28">
        <v>166873.63792998515</v>
      </c>
      <c r="E39" s="28">
        <f t="shared" si="5"/>
        <v>1091620.7618745528</v>
      </c>
      <c r="G39" s="22">
        <v>1</v>
      </c>
      <c r="H39" s="22">
        <v>0</v>
      </c>
      <c r="I39" s="2">
        <f t="shared" si="6"/>
        <v>924747.12394456775</v>
      </c>
      <c r="J39" s="3">
        <f t="shared" si="4"/>
        <v>1091620.7618745528</v>
      </c>
      <c r="K39" s="38" t="s">
        <v>20</v>
      </c>
    </row>
    <row r="40" spans="1:15" x14ac:dyDescent="0.25">
      <c r="A40" s="70" t="s">
        <v>165</v>
      </c>
      <c r="B40" s="124">
        <v>419386.85479869496</v>
      </c>
      <c r="C40" s="124">
        <v>4361.4161281913548</v>
      </c>
      <c r="D40" s="124">
        <v>82364.966059810817</v>
      </c>
      <c r="E40" s="71">
        <f t="shared" ref="E40" si="10">SUM(B40:D40)</f>
        <v>506113.23698669713</v>
      </c>
      <c r="F40" s="70"/>
      <c r="G40" s="72">
        <v>1</v>
      </c>
      <c r="H40" s="72">
        <v>0</v>
      </c>
      <c r="I40" s="71">
        <f t="shared" si="6"/>
        <v>419386.85479869496</v>
      </c>
      <c r="J40" s="73">
        <f t="shared" si="4"/>
        <v>506113.23698669713</v>
      </c>
      <c r="K40" s="75" t="s">
        <v>20</v>
      </c>
      <c r="O40" s="4"/>
    </row>
    <row r="41" spans="1:15" x14ac:dyDescent="0.25">
      <c r="B41" s="28"/>
      <c r="C41" s="28"/>
      <c r="D41" s="28"/>
      <c r="E41" s="28"/>
      <c r="I41" s="3"/>
    </row>
    <row r="42" spans="1:15" x14ac:dyDescent="0.25">
      <c r="B42" s="28">
        <f>SUM(B31:B40)</f>
        <v>3735055.3563395385</v>
      </c>
      <c r="C42" s="28">
        <f>SUM(C31:C40)</f>
        <v>514120.29724776209</v>
      </c>
      <c r="D42" s="28">
        <f>SUM(D31:D40)</f>
        <v>1096227.1503759397</v>
      </c>
      <c r="E42" s="28">
        <f>SUM(E31:E40)</f>
        <v>5345402.8039632384</v>
      </c>
      <c r="I42" s="28">
        <f>SUM(I31:I40)</f>
        <v>3735055.3563395385</v>
      </c>
      <c r="J42" s="28">
        <f>SUM(J31:J40)</f>
        <v>5345402.8039632384</v>
      </c>
      <c r="K42" s="55" t="s">
        <v>20</v>
      </c>
    </row>
    <row r="43" spans="1:15" x14ac:dyDescent="0.25">
      <c r="A43" s="21" t="s">
        <v>35</v>
      </c>
      <c r="B43" s="28"/>
      <c r="C43" s="28"/>
      <c r="D43" s="28"/>
      <c r="E43" s="28"/>
      <c r="I43" s="3"/>
      <c r="J43" s="3"/>
    </row>
    <row r="44" spans="1:15" x14ac:dyDescent="0.25">
      <c r="B44" s="58">
        <f>SUM(B22,B42)</f>
        <v>7210078.3612805754</v>
      </c>
      <c r="C44" s="58">
        <f>SUM(C22,C42)</f>
        <v>3060085.1045162352</v>
      </c>
      <c r="D44" s="58">
        <f>SUM(D22,D42)</f>
        <v>1496158.8514131471</v>
      </c>
      <c r="E44" s="58">
        <f>SUM(E22,E42)</f>
        <v>11766322.317209955</v>
      </c>
    </row>
    <row r="45" spans="1:15" x14ac:dyDescent="0.25">
      <c r="A45" s="76" t="s">
        <v>95</v>
      </c>
      <c r="C45" s="3"/>
      <c r="D45" s="3"/>
    </row>
    <row r="47" spans="1:15" x14ac:dyDescent="0.25">
      <c r="B47" s="21"/>
      <c r="C47" s="21"/>
      <c r="D47" s="21"/>
      <c r="E47" s="21"/>
    </row>
    <row r="48" spans="1:15" x14ac:dyDescent="0.25">
      <c r="A48" s="21" t="s">
        <v>162</v>
      </c>
    </row>
    <row r="49" spans="1:1" x14ac:dyDescent="0.25">
      <c r="A49" s="21" t="s">
        <v>171</v>
      </c>
    </row>
    <row r="50" spans="1:1" x14ac:dyDescent="0.25">
      <c r="A50" s="21" t="s">
        <v>163</v>
      </c>
    </row>
    <row r="51" spans="1:1" x14ac:dyDescent="0.25">
      <c r="A51" s="21" t="s">
        <v>166</v>
      </c>
    </row>
    <row r="52" spans="1:1" x14ac:dyDescent="0.25">
      <c r="A52" s="21" t="s">
        <v>167</v>
      </c>
    </row>
    <row r="53" spans="1:1" x14ac:dyDescent="0.25">
      <c r="A53" s="21" t="s">
        <v>172</v>
      </c>
    </row>
  </sheetData>
  <mergeCells count="2">
    <mergeCell ref="J8:K8"/>
    <mergeCell ref="J28:K28"/>
  </mergeCells>
  <phoneticPr fontId="2" type="noConversion"/>
  <pageMargins left="0.43" right="0.23" top="1" bottom="1" header="0.7" footer="0.5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zoomScaleNormal="80" workbookViewId="0">
      <selection activeCell="L1" sqref="L1"/>
    </sheetView>
  </sheetViews>
  <sheetFormatPr defaultColWidth="9.109375" defaultRowHeight="13.2" x14ac:dyDescent="0.25"/>
  <cols>
    <col min="1" max="1" width="9.109375" style="4"/>
    <col min="2" max="2" width="28.5546875" style="4" customWidth="1"/>
    <col min="3" max="3" width="17.5546875" style="4" customWidth="1"/>
    <col min="4" max="5" width="14.109375" style="4" customWidth="1"/>
    <col min="6" max="7" width="9.109375" style="4"/>
    <col min="8" max="8" width="10.33203125" style="4" customWidth="1"/>
    <col min="9" max="11" width="9.109375" style="4"/>
    <col min="12" max="12" width="10.6640625" style="4" customWidth="1"/>
    <col min="13" max="13" width="9.109375" style="4"/>
    <col min="14" max="14" width="11.33203125" style="4" bestFit="1" customWidth="1"/>
    <col min="15" max="16384" width="9.109375" style="4"/>
  </cols>
  <sheetData>
    <row r="1" spans="2:14" x14ac:dyDescent="0.25">
      <c r="B1" s="4" t="str">
        <f>'Page 1'!E3</f>
        <v xml:space="preserve">                      Kentucky DSM Rider</v>
      </c>
      <c r="D1" s="37"/>
    </row>
    <row r="3" spans="2:14" x14ac:dyDescent="0.25">
      <c r="B3" s="4" t="s">
        <v>88</v>
      </c>
    </row>
    <row r="4" spans="2:14" x14ac:dyDescent="0.25">
      <c r="B4" s="21" t="s">
        <v>77</v>
      </c>
    </row>
    <row r="5" spans="2:14" x14ac:dyDescent="0.25">
      <c r="B5" s="4" t="s">
        <v>102</v>
      </c>
    </row>
    <row r="7" spans="2:14" x14ac:dyDescent="0.25">
      <c r="B7" s="21" t="s">
        <v>144</v>
      </c>
    </row>
    <row r="10" spans="2:14" x14ac:dyDescent="0.25">
      <c r="D10" s="4" t="s">
        <v>36</v>
      </c>
    </row>
    <row r="11" spans="2:14" x14ac:dyDescent="0.25">
      <c r="D11" s="4" t="s">
        <v>37</v>
      </c>
    </row>
    <row r="12" spans="2:14" x14ac:dyDescent="0.25">
      <c r="B12" s="32" t="s">
        <v>38</v>
      </c>
    </row>
    <row r="14" spans="2:14" x14ac:dyDescent="0.25">
      <c r="B14" s="4" t="s">
        <v>39</v>
      </c>
      <c r="D14" s="23">
        <f>'Page 2'!J22</f>
        <v>5780826.2821385628</v>
      </c>
    </row>
    <row r="15" spans="2:14" x14ac:dyDescent="0.25">
      <c r="D15" s="2"/>
    </row>
    <row r="16" spans="2:14" x14ac:dyDescent="0.25">
      <c r="B16" s="4" t="s">
        <v>91</v>
      </c>
      <c r="D16" s="2"/>
      <c r="H16" s="6"/>
      <c r="I16" s="6"/>
      <c r="J16" s="6"/>
      <c r="K16" s="6"/>
      <c r="L16" s="7"/>
      <c r="N16" s="6"/>
    </row>
    <row r="17" spans="2:14" x14ac:dyDescent="0.25">
      <c r="B17" s="4" t="s">
        <v>40</v>
      </c>
      <c r="D17" s="2">
        <f>'Page 2'!J42-'Page 2'!J39</f>
        <v>4253782.0420886856</v>
      </c>
      <c r="N17" s="7"/>
    </row>
    <row r="18" spans="2:14" x14ac:dyDescent="0.25">
      <c r="D18" s="2"/>
    </row>
    <row r="19" spans="2:14" x14ac:dyDescent="0.25">
      <c r="B19" s="4" t="s">
        <v>93</v>
      </c>
      <c r="D19" s="2"/>
      <c r="H19" s="6"/>
    </row>
    <row r="20" spans="2:14" x14ac:dyDescent="0.25">
      <c r="B20" s="4" t="s">
        <v>92</v>
      </c>
      <c r="D20" s="2">
        <f>'Page 2'!J39</f>
        <v>1091620.7618745528</v>
      </c>
    </row>
    <row r="21" spans="2:14" x14ac:dyDescent="0.25">
      <c r="D21" s="2"/>
    </row>
    <row r="22" spans="2:14" x14ac:dyDescent="0.25">
      <c r="B22" s="32" t="s">
        <v>41</v>
      </c>
      <c r="D22" s="2"/>
    </row>
    <row r="23" spans="2:14" x14ac:dyDescent="0.25">
      <c r="B23" s="4" t="s">
        <v>39</v>
      </c>
      <c r="D23" s="2">
        <f>'Page 2'!K22</f>
        <v>640093.23110815557</v>
      </c>
    </row>
    <row r="26" spans="2:14" x14ac:dyDescent="0.25">
      <c r="B26" s="21" t="s">
        <v>147</v>
      </c>
    </row>
  </sheetData>
  <phoneticPr fontId="2" type="noConversion"/>
  <pageMargins left="0.43" right="0.23" top="1" bottom="1" header="0.7" footer="0.5"/>
  <pageSetup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zoomScaleNormal="80" workbookViewId="0">
      <selection activeCell="L1" sqref="L1"/>
    </sheetView>
  </sheetViews>
  <sheetFormatPr defaultColWidth="9.109375" defaultRowHeight="13.2" x14ac:dyDescent="0.25"/>
  <cols>
    <col min="1" max="1" width="9.109375" style="4"/>
    <col min="2" max="2" width="30.88671875" style="4" customWidth="1"/>
    <col min="3" max="3" width="16.33203125" style="4" customWidth="1"/>
    <col min="4" max="5" width="12.88671875" style="4" bestFit="1" customWidth="1"/>
    <col min="6" max="6" width="10.44140625" style="4" customWidth="1"/>
    <col min="7" max="7" width="11.44140625" style="4" customWidth="1"/>
    <col min="8" max="10" width="9.109375" style="4"/>
    <col min="11" max="11" width="11.33203125" style="4" customWidth="1"/>
    <col min="12" max="16384" width="9.109375" style="4"/>
  </cols>
  <sheetData>
    <row r="1" spans="2:13" x14ac:dyDescent="0.25">
      <c r="B1" s="4" t="str">
        <f>'Page 1'!E3</f>
        <v xml:space="preserve">                      Kentucky DSM Rider</v>
      </c>
      <c r="C1" s="37"/>
    </row>
    <row r="3" spans="2:13" x14ac:dyDescent="0.25">
      <c r="B3" s="4" t="str">
        <f>'Page 3'!B3</f>
        <v>Duke Energy Kentucky</v>
      </c>
    </row>
    <row r="4" spans="2:13" x14ac:dyDescent="0.25">
      <c r="B4" s="21" t="s">
        <v>77</v>
      </c>
    </row>
    <row r="5" spans="2:13" x14ac:dyDescent="0.25">
      <c r="B5" s="4" t="s">
        <v>42</v>
      </c>
    </row>
    <row r="8" spans="2:13" x14ac:dyDescent="0.25">
      <c r="B8" s="4" t="s">
        <v>43</v>
      </c>
      <c r="C8" s="4">
        <v>2015</v>
      </c>
      <c r="E8" s="21"/>
    </row>
    <row r="9" spans="2:13" x14ac:dyDescent="0.25">
      <c r="E9" s="21"/>
    </row>
    <row r="10" spans="2:13" x14ac:dyDescent="0.25">
      <c r="B10" s="4" t="s">
        <v>97</v>
      </c>
    </row>
    <row r="12" spans="2:13" x14ac:dyDescent="0.25">
      <c r="B12" s="4" t="s">
        <v>44</v>
      </c>
      <c r="C12" s="6">
        <v>1500287137.4865263</v>
      </c>
      <c r="E12" s="6"/>
      <c r="F12" s="21"/>
      <c r="G12" s="6"/>
      <c r="H12" s="6"/>
      <c r="I12" s="6"/>
      <c r="J12" s="6"/>
      <c r="K12" s="7"/>
      <c r="M12" s="6"/>
    </row>
    <row r="13" spans="2:13" x14ac:dyDescent="0.25">
      <c r="C13" s="6"/>
      <c r="M13" s="7"/>
    </row>
    <row r="14" spans="2:13" x14ac:dyDescent="0.25">
      <c r="B14" s="4" t="s">
        <v>45</v>
      </c>
      <c r="C14" s="6"/>
    </row>
    <row r="15" spans="2:13" x14ac:dyDescent="0.25">
      <c r="B15" s="4" t="s">
        <v>46</v>
      </c>
      <c r="C15" s="7">
        <v>2403218076.8822436</v>
      </c>
      <c r="F15" s="21"/>
      <c r="G15" s="6"/>
    </row>
    <row r="16" spans="2:13" x14ac:dyDescent="0.25">
      <c r="C16" s="7"/>
    </row>
    <row r="17" spans="2:6" x14ac:dyDescent="0.25">
      <c r="B17" s="4" t="s">
        <v>45</v>
      </c>
      <c r="C17" s="7"/>
      <c r="F17" s="7"/>
    </row>
    <row r="18" spans="2:6" x14ac:dyDescent="0.25">
      <c r="B18" s="4" t="s">
        <v>89</v>
      </c>
      <c r="C18" s="7">
        <v>2643552076.8822436</v>
      </c>
      <c r="F18" s="7"/>
    </row>
    <row r="19" spans="2:6" x14ac:dyDescent="0.25">
      <c r="C19" s="6"/>
      <c r="D19" s="33"/>
    </row>
    <row r="20" spans="2:6" x14ac:dyDescent="0.25">
      <c r="B20" s="4" t="s">
        <v>98</v>
      </c>
      <c r="C20" s="6"/>
    </row>
    <row r="21" spans="2:6" x14ac:dyDescent="0.25">
      <c r="C21" s="6"/>
    </row>
    <row r="22" spans="2:6" x14ac:dyDescent="0.25">
      <c r="B22" s="4" t="s">
        <v>47</v>
      </c>
      <c r="C22" s="6">
        <v>63667722.58170259</v>
      </c>
      <c r="E22" s="6"/>
      <c r="F22" s="21"/>
    </row>
  </sheetData>
  <phoneticPr fontId="2" type="noConversion"/>
  <pageMargins left="0.43" right="0.23" top="1" bottom="1" header="0.7" footer="0.5"/>
  <pageSetup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Layout" zoomScaleNormal="80" workbookViewId="0">
      <selection activeCell="L1" sqref="L1"/>
    </sheetView>
  </sheetViews>
  <sheetFormatPr defaultColWidth="9.109375" defaultRowHeight="13.2" x14ac:dyDescent="0.25"/>
  <cols>
    <col min="1" max="1" width="13.5546875" style="4" customWidth="1"/>
    <col min="2" max="2" width="11.6640625" style="4" customWidth="1"/>
    <col min="3" max="3" width="16.6640625" style="4" customWidth="1"/>
    <col min="4" max="4" width="15.88671875" style="4" customWidth="1"/>
    <col min="5" max="5" width="1.33203125" style="4" customWidth="1"/>
    <col min="6" max="6" width="13.5546875" style="4" customWidth="1"/>
    <col min="7" max="7" width="13.109375" style="4" customWidth="1"/>
    <col min="8" max="8" width="18.33203125" style="4" customWidth="1"/>
    <col min="9" max="9" width="14.5546875" style="4" customWidth="1"/>
    <col min="10" max="10" width="6.109375" style="4" customWidth="1"/>
    <col min="11" max="11" width="22" style="4" customWidth="1"/>
    <col min="12" max="12" width="8.5546875" style="4" bestFit="1" customWidth="1"/>
    <col min="13" max="13" width="12.109375" style="4" customWidth="1"/>
    <col min="14" max="14" width="15" style="4" customWidth="1"/>
    <col min="15" max="15" width="9.109375" style="4"/>
    <col min="16" max="16" width="25" style="4" customWidth="1"/>
    <col min="17" max="17" width="9.33203125" style="4" bestFit="1" customWidth="1"/>
    <col min="18" max="16384" width="9.109375" style="4"/>
  </cols>
  <sheetData>
    <row r="1" spans="2:16" x14ac:dyDescent="0.25">
      <c r="B1" s="4" t="str">
        <f>'Page 1'!E3</f>
        <v xml:space="preserve">                      Kentucky DSM Rider</v>
      </c>
      <c r="M1" s="29"/>
    </row>
    <row r="3" spans="2:16" x14ac:dyDescent="0.25">
      <c r="B3" s="4" t="str">
        <f>'Page 4'!B3</f>
        <v>Duke Energy Kentucky</v>
      </c>
    </row>
    <row r="4" spans="2:16" x14ac:dyDescent="0.25">
      <c r="B4" s="21" t="s">
        <v>77</v>
      </c>
    </row>
    <row r="5" spans="2:16" x14ac:dyDescent="0.25">
      <c r="B5" s="4" t="s">
        <v>48</v>
      </c>
    </row>
    <row r="7" spans="2:16" x14ac:dyDescent="0.25">
      <c r="B7" s="21" t="s">
        <v>122</v>
      </c>
    </row>
    <row r="9" spans="2:16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6" x14ac:dyDescent="0.25">
      <c r="G11" s="38" t="s">
        <v>49</v>
      </c>
      <c r="H11" s="38" t="s">
        <v>50</v>
      </c>
      <c r="I11" s="38" t="s">
        <v>51</v>
      </c>
    </row>
    <row r="12" spans="2:16" x14ac:dyDescent="0.25">
      <c r="B12" s="4" t="s">
        <v>52</v>
      </c>
      <c r="F12" s="38" t="s">
        <v>53</v>
      </c>
      <c r="G12" s="38" t="s">
        <v>36</v>
      </c>
      <c r="H12" s="38" t="s">
        <v>54</v>
      </c>
      <c r="I12" s="38" t="s">
        <v>55</v>
      </c>
      <c r="K12" s="70" t="s">
        <v>56</v>
      </c>
      <c r="L12" s="70"/>
      <c r="N12" s="21" t="s">
        <v>175</v>
      </c>
    </row>
    <row r="13" spans="2:16" x14ac:dyDescent="0.25">
      <c r="B13" s="4" t="s">
        <v>85</v>
      </c>
      <c r="F13" s="38" t="s">
        <v>60</v>
      </c>
      <c r="G13" s="38" t="s">
        <v>61</v>
      </c>
      <c r="H13" s="38" t="s">
        <v>57</v>
      </c>
      <c r="I13" s="38" t="s">
        <v>62</v>
      </c>
      <c r="K13" s="70" t="s">
        <v>78</v>
      </c>
      <c r="L13" s="70"/>
      <c r="N13" s="4" t="s">
        <v>78</v>
      </c>
    </row>
    <row r="14" spans="2:16" x14ac:dyDescent="0.25">
      <c r="B14" s="32" t="s">
        <v>38</v>
      </c>
      <c r="C14" s="32"/>
      <c r="K14" s="70"/>
      <c r="L14" s="70"/>
    </row>
    <row r="15" spans="2:16" x14ac:dyDescent="0.25">
      <c r="B15" s="4" t="s">
        <v>39</v>
      </c>
      <c r="D15" s="24"/>
      <c r="F15" s="2">
        <f>'Page 1'!O21*Q43</f>
        <v>2948067.8076820807</v>
      </c>
      <c r="G15" s="23">
        <f>'Page 2'!J22</f>
        <v>5780826.2821385628</v>
      </c>
      <c r="H15" s="3">
        <f>SUM(D15:G15)</f>
        <v>8728894.0898206439</v>
      </c>
      <c r="I15" s="6">
        <f>'Page 4'!C12</f>
        <v>1500287137.4865263</v>
      </c>
      <c r="J15" s="24" t="s">
        <v>99</v>
      </c>
      <c r="K15" s="121">
        <f>H15/(I15)</f>
        <v>5.818148987429439E-3</v>
      </c>
      <c r="L15" s="70" t="s">
        <v>58</v>
      </c>
      <c r="N15" s="25">
        <v>5.9436211801756952E-3</v>
      </c>
      <c r="O15" s="4" t="s">
        <v>58</v>
      </c>
      <c r="P15" s="119"/>
    </row>
    <row r="16" spans="2:16" x14ac:dyDescent="0.25">
      <c r="F16" s="6"/>
      <c r="J16" s="24"/>
      <c r="K16" s="70"/>
      <c r="L16" s="70"/>
      <c r="N16" s="24"/>
    </row>
    <row r="17" spans="2:16" x14ac:dyDescent="0.25">
      <c r="B17" s="4" t="s">
        <v>91</v>
      </c>
      <c r="F17" s="6"/>
      <c r="J17" s="24"/>
      <c r="K17" s="70"/>
      <c r="L17" s="70"/>
      <c r="N17" s="24"/>
    </row>
    <row r="18" spans="2:16" x14ac:dyDescent="0.25">
      <c r="B18" s="4" t="s">
        <v>40</v>
      </c>
      <c r="D18" s="2"/>
      <c r="F18" s="23">
        <f>'Page 1'!J44*Q43</f>
        <v>-160434.57411666922</v>
      </c>
      <c r="G18" s="2">
        <f>'Page 2'!J42-'Page 2'!J39</f>
        <v>4253782.0420886856</v>
      </c>
      <c r="H18" s="3">
        <f>SUM(D18:G18)</f>
        <v>4093347.4679720164</v>
      </c>
      <c r="I18" s="6">
        <f>'Page 4'!C15</f>
        <v>2403218076.8822436</v>
      </c>
      <c r="J18" s="24" t="s">
        <v>99</v>
      </c>
      <c r="K18" s="122">
        <f>H18/(I18)</f>
        <v>1.7032775790711515E-3</v>
      </c>
      <c r="L18" s="70" t="s">
        <v>58</v>
      </c>
      <c r="N18" s="24">
        <v>1.4926794474012656E-3</v>
      </c>
      <c r="O18" s="4" t="s">
        <v>58</v>
      </c>
      <c r="P18" s="119"/>
    </row>
    <row r="19" spans="2:16" x14ac:dyDescent="0.25">
      <c r="D19" s="2"/>
      <c r="F19" s="2"/>
      <c r="G19" s="2"/>
      <c r="H19" s="3"/>
      <c r="I19" s="6"/>
      <c r="J19" s="24"/>
      <c r="K19" s="123"/>
      <c r="L19" s="70"/>
      <c r="N19" s="24"/>
    </row>
    <row r="20" spans="2:16" x14ac:dyDescent="0.25">
      <c r="B20" s="4" t="s">
        <v>93</v>
      </c>
      <c r="G20" s="2"/>
      <c r="H20" s="3"/>
      <c r="I20" s="6"/>
      <c r="J20" s="24"/>
      <c r="K20" s="123"/>
      <c r="L20" s="70"/>
      <c r="N20" s="24"/>
    </row>
    <row r="21" spans="2:16" x14ac:dyDescent="0.25">
      <c r="B21" s="4" t="s">
        <v>92</v>
      </c>
      <c r="F21" s="2"/>
      <c r="G21" s="2"/>
      <c r="H21" s="3"/>
      <c r="I21" s="6"/>
      <c r="J21" s="24"/>
      <c r="K21" s="123"/>
      <c r="L21" s="70"/>
      <c r="N21" s="24"/>
    </row>
    <row r="22" spans="2:16" x14ac:dyDescent="0.25">
      <c r="B22" s="4" t="s">
        <v>90</v>
      </c>
      <c r="D22" s="2"/>
      <c r="F22" s="23">
        <f>'Page 1'!J46*Q43</f>
        <v>-664793.25683530746</v>
      </c>
      <c r="G22" s="2">
        <f>'Page 2'!J39</f>
        <v>1091620.7618745528</v>
      </c>
      <c r="H22" s="3">
        <f>SUM(D22:G22)</f>
        <v>426827.50503924536</v>
      </c>
      <c r="I22" s="6">
        <f>'Page 4'!C18</f>
        <v>2643552076.8822436</v>
      </c>
      <c r="J22" s="24" t="s">
        <v>99</v>
      </c>
      <c r="K22" s="122">
        <f>H22/(I22)</f>
        <v>1.6145984365953473E-4</v>
      </c>
      <c r="L22" s="70" t="s">
        <v>58</v>
      </c>
      <c r="N22" s="24">
        <v>1.6145984365953473E-4</v>
      </c>
      <c r="O22" s="4" t="s">
        <v>58</v>
      </c>
      <c r="P22" s="119"/>
    </row>
    <row r="23" spans="2:16" x14ac:dyDescent="0.25">
      <c r="D23" s="2"/>
      <c r="F23" s="2"/>
      <c r="G23" s="2"/>
      <c r="H23" s="3"/>
      <c r="I23" s="6"/>
      <c r="J23" s="24"/>
      <c r="K23" s="123"/>
      <c r="L23" s="70"/>
      <c r="N23" s="24"/>
    </row>
    <row r="24" spans="2:16" x14ac:dyDescent="0.25">
      <c r="B24" s="4" t="s">
        <v>94</v>
      </c>
      <c r="D24" s="2"/>
      <c r="F24" s="2"/>
      <c r="G24" s="2"/>
      <c r="H24" s="3"/>
      <c r="I24" s="6"/>
      <c r="J24" s="24"/>
      <c r="K24" s="123"/>
      <c r="L24" s="70"/>
      <c r="N24" s="24"/>
    </row>
    <row r="25" spans="2:16" x14ac:dyDescent="0.25">
      <c r="B25" s="4" t="s">
        <v>40</v>
      </c>
      <c r="D25" s="2"/>
      <c r="F25" s="2"/>
      <c r="G25" s="2"/>
      <c r="H25" s="3"/>
      <c r="I25" s="6"/>
      <c r="J25" s="24"/>
      <c r="K25" s="122">
        <f>K18+K22</f>
        <v>1.8647374227306862E-3</v>
      </c>
      <c r="L25" s="70" t="str">
        <f>L22</f>
        <v>$/kWh</v>
      </c>
      <c r="N25" s="24">
        <v>1.6541392910608002E-3</v>
      </c>
      <c r="O25" s="4" t="s">
        <v>58</v>
      </c>
      <c r="P25" s="119"/>
    </row>
    <row r="26" spans="2:16" x14ac:dyDescent="0.25">
      <c r="F26" s="6"/>
      <c r="K26" s="70"/>
      <c r="L26" s="70"/>
      <c r="N26" s="24"/>
    </row>
    <row r="27" spans="2:16" x14ac:dyDescent="0.25">
      <c r="B27" s="32" t="s">
        <v>41</v>
      </c>
      <c r="F27" s="6"/>
      <c r="K27" s="70"/>
      <c r="L27" s="70"/>
      <c r="N27" s="24"/>
    </row>
    <row r="28" spans="2:16" x14ac:dyDescent="0.25">
      <c r="B28" s="4" t="s">
        <v>39</v>
      </c>
      <c r="D28" s="24"/>
      <c r="F28" s="2">
        <f>'Page 1'!N21*Q43</f>
        <v>4558747.8413762664</v>
      </c>
      <c r="G28" s="2">
        <f>'Page 2'!K22</f>
        <v>640093.23110815557</v>
      </c>
      <c r="H28" s="3">
        <f>SUM(D28:G28)</f>
        <v>5198841.0724844225</v>
      </c>
      <c r="I28" s="6">
        <f>'Page 4'!C22</f>
        <v>63667722.58170259</v>
      </c>
      <c r="J28" s="24" t="s">
        <v>100</v>
      </c>
      <c r="K28" s="123">
        <f>H28/(I28)</f>
        <v>8.1655835353823578E-2</v>
      </c>
      <c r="L28" s="70" t="s">
        <v>101</v>
      </c>
      <c r="N28" s="24">
        <v>8.135191835530238E-2</v>
      </c>
      <c r="O28" s="4" t="s">
        <v>101</v>
      </c>
      <c r="P28" s="119"/>
    </row>
    <row r="30" spans="2:16" x14ac:dyDescent="0.25">
      <c r="C30" s="4" t="s">
        <v>80</v>
      </c>
      <c r="H30" s="3">
        <f>SUM(H15:H29)</f>
        <v>18447910.135316327</v>
      </c>
    </row>
    <row r="31" spans="2:16" x14ac:dyDescent="0.25">
      <c r="H31" s="3"/>
    </row>
    <row r="32" spans="2:16" x14ac:dyDescent="0.25">
      <c r="B32" s="4" t="s">
        <v>96</v>
      </c>
      <c r="H32" s="3"/>
    </row>
    <row r="33" spans="2:17" x14ac:dyDescent="0.25">
      <c r="B33" s="34" t="s">
        <v>81</v>
      </c>
      <c r="H33" s="3" t="s">
        <v>84</v>
      </c>
      <c r="I33" s="4" t="s">
        <v>83</v>
      </c>
      <c r="K33" s="4" t="s">
        <v>87</v>
      </c>
    </row>
    <row r="34" spans="2:17" x14ac:dyDescent="0.25">
      <c r="B34" s="4" t="s">
        <v>39</v>
      </c>
      <c r="G34" s="2"/>
      <c r="H34" s="3">
        <f>I34*K34*12</f>
        <v>146416.80000000002</v>
      </c>
      <c r="I34" s="50">
        <v>122014</v>
      </c>
      <c r="K34" s="26">
        <v>0.1</v>
      </c>
    </row>
    <row r="35" spans="2:17" x14ac:dyDescent="0.25">
      <c r="H35" s="3"/>
      <c r="I35" s="50"/>
    </row>
    <row r="36" spans="2:17" x14ac:dyDescent="0.25">
      <c r="B36" s="34" t="s">
        <v>82</v>
      </c>
      <c r="C36" s="34"/>
      <c r="H36" s="3"/>
      <c r="I36" s="50"/>
    </row>
    <row r="37" spans="2:17" x14ac:dyDescent="0.25">
      <c r="B37" s="4" t="s">
        <v>39</v>
      </c>
      <c r="G37" s="2"/>
      <c r="H37" s="3">
        <f>I37*K37*12</f>
        <v>105819.6</v>
      </c>
      <c r="I37" s="50">
        <v>88183</v>
      </c>
      <c r="K37" s="26">
        <v>0.1</v>
      </c>
    </row>
    <row r="39" spans="2:17" x14ac:dyDescent="0.25">
      <c r="C39" s="4" t="s">
        <v>86</v>
      </c>
      <c r="H39" s="3">
        <f>H34+H37</f>
        <v>252236.40000000002</v>
      </c>
    </row>
    <row r="41" spans="2:17" x14ac:dyDescent="0.25">
      <c r="B41" s="4" t="s">
        <v>59</v>
      </c>
      <c r="H41" s="3">
        <f>H30+H39</f>
        <v>18700146.535316326</v>
      </c>
    </row>
    <row r="43" spans="2:17" x14ac:dyDescent="0.25">
      <c r="B43" s="35" t="s">
        <v>121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Q43" s="60">
        <v>1.0009999999999999</v>
      </c>
    </row>
    <row r="44" spans="2:17" x14ac:dyDescent="0.25">
      <c r="B44" s="21" t="s">
        <v>103</v>
      </c>
    </row>
    <row r="45" spans="2:17" x14ac:dyDescent="0.25">
      <c r="B45" s="21" t="s">
        <v>104</v>
      </c>
    </row>
  </sheetData>
  <phoneticPr fontId="2" type="noConversion"/>
  <pageMargins left="0.43" right="0.23" top="1" bottom="1" header="0.7" footer="0.5"/>
  <pageSetup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80" workbookViewId="0">
      <selection activeCell="L1" sqref="L1"/>
    </sheetView>
  </sheetViews>
  <sheetFormatPr defaultColWidth="9.109375" defaultRowHeight="13.2" x14ac:dyDescent="0.25"/>
  <cols>
    <col min="1" max="1" width="44.33203125" style="68" bestFit="1" customWidth="1"/>
    <col min="2" max="2" width="18.44140625" style="68" customWidth="1"/>
    <col min="3" max="3" width="14.6640625" style="68" customWidth="1"/>
    <col min="4" max="4" width="12.33203125" style="68" customWidth="1"/>
    <col min="5" max="5" width="13" style="68" customWidth="1"/>
    <col min="6" max="6" width="1.33203125" style="68" customWidth="1"/>
    <col min="7" max="8" width="17.109375" style="68" customWidth="1"/>
    <col min="9" max="9" width="9.44140625" style="68" customWidth="1"/>
    <col min="10" max="16384" width="9.109375" style="68"/>
  </cols>
  <sheetData>
    <row r="1" spans="1:8" x14ac:dyDescent="0.25">
      <c r="A1" s="67"/>
    </row>
    <row r="3" spans="1:8" x14ac:dyDescent="0.25">
      <c r="A3" s="78"/>
      <c r="B3" s="67"/>
      <c r="C3" s="67"/>
      <c r="D3" s="67"/>
      <c r="E3" s="67"/>
      <c r="F3" s="78"/>
      <c r="G3" s="67"/>
      <c r="H3" s="67"/>
    </row>
    <row r="4" spans="1:8" ht="30" customHeight="1" x14ac:dyDescent="0.25">
      <c r="A4" s="94" t="s">
        <v>158</v>
      </c>
      <c r="B4" s="82"/>
      <c r="C4" s="82"/>
      <c r="D4" s="82"/>
      <c r="E4" s="82"/>
      <c r="F4" s="67"/>
      <c r="G4" s="126" t="s">
        <v>159</v>
      </c>
      <c r="H4" s="126"/>
    </row>
    <row r="5" spans="1:8" x14ac:dyDescent="0.25">
      <c r="A5" s="86"/>
      <c r="B5" s="82"/>
      <c r="C5" s="82"/>
      <c r="D5" s="82"/>
      <c r="E5" s="82"/>
      <c r="F5" s="67"/>
      <c r="G5" s="92"/>
      <c r="H5" s="92"/>
    </row>
    <row r="6" spans="1:8" ht="26.4" x14ac:dyDescent="0.25">
      <c r="A6" s="86" t="s">
        <v>22</v>
      </c>
      <c r="B6" s="89" t="s">
        <v>99</v>
      </c>
      <c r="C6" s="90" t="s">
        <v>152</v>
      </c>
      <c r="D6" s="91" t="s">
        <v>148</v>
      </c>
      <c r="E6" s="90" t="s">
        <v>152</v>
      </c>
      <c r="F6" s="67"/>
      <c r="G6" s="93" t="s">
        <v>154</v>
      </c>
      <c r="H6" s="93" t="s">
        <v>155</v>
      </c>
    </row>
    <row r="7" spans="1:8" x14ac:dyDescent="0.25">
      <c r="A7" s="78" t="s">
        <v>107</v>
      </c>
      <c r="B7" s="79">
        <v>657793.23</v>
      </c>
      <c r="C7" s="80">
        <f>B7/B$17</f>
        <v>4.3262271639659457E-4</v>
      </c>
      <c r="D7" s="81">
        <v>0</v>
      </c>
      <c r="E7" s="80">
        <f t="shared" ref="E7:E15" si="0">D7/D$17</f>
        <v>0</v>
      </c>
      <c r="F7" s="67"/>
      <c r="G7" s="77">
        <f t="shared" ref="G7:G13" si="1">C7/SUM($C7,$E7)</f>
        <v>1</v>
      </c>
      <c r="H7" s="77">
        <f>1-G7</f>
        <v>0</v>
      </c>
    </row>
    <row r="8" spans="1:8" x14ac:dyDescent="0.25">
      <c r="A8" s="78" t="s">
        <v>108</v>
      </c>
      <c r="B8" s="79">
        <v>225486.31</v>
      </c>
      <c r="C8" s="80">
        <f t="shared" ref="C8:C17" si="2">B8/B$17</f>
        <v>1.482996411234646E-4</v>
      </c>
      <c r="D8" s="81">
        <v>7368.1999999999389</v>
      </c>
      <c r="E8" s="80">
        <f t="shared" si="0"/>
        <v>1.025041182081901E-4</v>
      </c>
      <c r="F8" s="67"/>
      <c r="G8" s="77">
        <f t="shared" si="1"/>
        <v>0.5912975208930501</v>
      </c>
      <c r="H8" s="77">
        <f t="shared" ref="H8:H14" si="3">1-G8</f>
        <v>0.4087024791069499</v>
      </c>
    </row>
    <row r="9" spans="1:8" x14ac:dyDescent="0.25">
      <c r="A9" s="78" t="s">
        <v>110</v>
      </c>
      <c r="B9" s="79">
        <v>634158</v>
      </c>
      <c r="C9" s="80">
        <f t="shared" si="2"/>
        <v>4.1707810915693315E-4</v>
      </c>
      <c r="D9" s="81">
        <v>0</v>
      </c>
      <c r="E9" s="80">
        <f t="shared" si="0"/>
        <v>0</v>
      </c>
      <c r="F9" s="67"/>
      <c r="G9" s="77">
        <f t="shared" si="1"/>
        <v>1</v>
      </c>
      <c r="H9" s="77">
        <f t="shared" si="3"/>
        <v>0</v>
      </c>
    </row>
    <row r="10" spans="1:8" x14ac:dyDescent="0.25">
      <c r="A10" s="78" t="s">
        <v>111</v>
      </c>
      <c r="B10" s="79">
        <v>251243.25348331593</v>
      </c>
      <c r="C10" s="80">
        <f t="shared" si="2"/>
        <v>1.6523967386874793E-4</v>
      </c>
      <c r="D10" s="81">
        <v>7770.5013333333281</v>
      </c>
      <c r="E10" s="80">
        <f t="shared" si="0"/>
        <v>1.0810080985979003E-4</v>
      </c>
      <c r="F10" s="67"/>
      <c r="G10" s="77">
        <f t="shared" si="1"/>
        <v>0.60451957798118205</v>
      </c>
      <c r="H10" s="77">
        <f t="shared" si="3"/>
        <v>0.39548042201881795</v>
      </c>
    </row>
    <row r="11" spans="1:8" x14ac:dyDescent="0.25">
      <c r="A11" s="78" t="s">
        <v>109</v>
      </c>
      <c r="B11" s="79">
        <v>11325468</v>
      </c>
      <c r="C11" s="80">
        <f t="shared" si="2"/>
        <v>7.4486244417910881E-3</v>
      </c>
      <c r="D11" s="81">
        <v>0</v>
      </c>
      <c r="E11" s="80">
        <f t="shared" si="0"/>
        <v>0</v>
      </c>
      <c r="F11" s="67"/>
      <c r="G11" s="77">
        <f t="shared" si="1"/>
        <v>1</v>
      </c>
      <c r="H11" s="77">
        <f t="shared" si="3"/>
        <v>0</v>
      </c>
    </row>
    <row r="12" spans="1:8" x14ac:dyDescent="0.25">
      <c r="A12" s="78" t="s">
        <v>112</v>
      </c>
      <c r="B12" s="79">
        <v>411488.78399999993</v>
      </c>
      <c r="C12" s="80">
        <f t="shared" si="2"/>
        <v>2.7063123696303705E-4</v>
      </c>
      <c r="D12" s="81">
        <v>10865.955999999975</v>
      </c>
      <c r="E12" s="80">
        <f t="shared" si="0"/>
        <v>1.5116381725102456E-4</v>
      </c>
      <c r="F12" s="67"/>
      <c r="G12" s="77">
        <f t="shared" si="1"/>
        <v>0.64161785269699079</v>
      </c>
      <c r="H12" s="77">
        <f t="shared" si="3"/>
        <v>0.35838214730300921</v>
      </c>
    </row>
    <row r="13" spans="1:8" x14ac:dyDescent="0.25">
      <c r="A13" s="78" t="s">
        <v>106</v>
      </c>
      <c r="B13" s="79">
        <v>13428090.533929106</v>
      </c>
      <c r="C13" s="80">
        <f t="shared" si="2"/>
        <v>8.831494059018832E-3</v>
      </c>
      <c r="D13" s="81">
        <v>39.549999999999976</v>
      </c>
      <c r="E13" s="80">
        <f t="shared" si="0"/>
        <v>5.5020736070328569E-7</v>
      </c>
      <c r="F13" s="67"/>
      <c r="G13" s="77">
        <f t="shared" si="1"/>
        <v>0.99993770328316878</v>
      </c>
      <c r="H13" s="77">
        <f t="shared" si="3"/>
        <v>6.2296716831222732E-5</v>
      </c>
    </row>
    <row r="14" spans="1:8" x14ac:dyDescent="0.25">
      <c r="A14" s="78" t="s">
        <v>21</v>
      </c>
      <c r="B14" s="79">
        <v>0</v>
      </c>
      <c r="C14" s="80">
        <f t="shared" si="2"/>
        <v>0</v>
      </c>
      <c r="D14" s="81">
        <v>0</v>
      </c>
      <c r="E14" s="80">
        <f t="shared" si="0"/>
        <v>0</v>
      </c>
      <c r="F14" s="67"/>
      <c r="G14" s="77">
        <v>1</v>
      </c>
      <c r="H14" s="77">
        <f t="shared" si="3"/>
        <v>0</v>
      </c>
    </row>
    <row r="15" spans="1:8" x14ac:dyDescent="0.25">
      <c r="A15" s="83" t="s">
        <v>151</v>
      </c>
      <c r="B15" s="84">
        <v>26933728.111412421</v>
      </c>
      <c r="C15" s="85">
        <f t="shared" si="2"/>
        <v>1.7713989878318695E-2</v>
      </c>
      <c r="D15" s="84">
        <v>26044.207333333241</v>
      </c>
      <c r="E15" s="85">
        <f t="shared" si="0"/>
        <v>3.6231895267970794E-4</v>
      </c>
      <c r="F15" s="67"/>
      <c r="G15" s="67"/>
      <c r="H15" s="67"/>
    </row>
    <row r="16" spans="1:8" x14ac:dyDescent="0.25">
      <c r="A16" s="86"/>
      <c r="B16" s="87"/>
      <c r="C16" s="88"/>
      <c r="D16" s="87"/>
      <c r="E16" s="67"/>
      <c r="F16" s="67"/>
      <c r="G16" s="67"/>
      <c r="H16" s="67"/>
    </row>
    <row r="17" spans="1:8" x14ac:dyDescent="0.25">
      <c r="A17" s="86" t="s">
        <v>153</v>
      </c>
      <c r="B17" s="87">
        <v>1520477786</v>
      </c>
      <c r="C17" s="88">
        <f t="shared" si="2"/>
        <v>1</v>
      </c>
      <c r="D17" s="87">
        <v>71881990</v>
      </c>
      <c r="E17" s="88">
        <f t="shared" ref="E17" si="4">D17/D$17</f>
        <v>1</v>
      </c>
      <c r="F17" s="67"/>
      <c r="G17" s="67"/>
      <c r="H17" s="67"/>
    </row>
    <row r="18" spans="1:8" x14ac:dyDescent="0.25">
      <c r="A18" s="78" t="s">
        <v>160</v>
      </c>
      <c r="B18" s="67"/>
      <c r="C18" s="67"/>
      <c r="D18" s="67"/>
      <c r="E18" s="78"/>
      <c r="F18" s="67"/>
      <c r="G18" s="67"/>
      <c r="H18" s="67"/>
    </row>
    <row r="20" spans="1:8" x14ac:dyDescent="0.25">
      <c r="A20" s="68" t="s">
        <v>168</v>
      </c>
    </row>
    <row r="21" spans="1:8" x14ac:dyDescent="0.25">
      <c r="A21" s="67"/>
    </row>
  </sheetData>
  <mergeCells count="1">
    <mergeCell ref="G4:H4"/>
  </mergeCells>
  <pageMargins left="0.43" right="0.23" top="1" bottom="1" header="0.7" footer="0.5"/>
  <pageSetup scale="4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zoomScaleNormal="100" workbookViewId="0">
      <selection activeCell="L1" sqref="L1"/>
    </sheetView>
  </sheetViews>
  <sheetFormatPr defaultColWidth="9.109375" defaultRowHeight="13.2" x14ac:dyDescent="0.25"/>
  <cols>
    <col min="1" max="1" width="44.33203125" style="66" bestFit="1" customWidth="1"/>
    <col min="2" max="2" width="18.44140625" style="66" customWidth="1"/>
    <col min="3" max="3" width="14.6640625" style="66" customWidth="1"/>
    <col min="4" max="4" width="12.33203125" style="66" customWidth="1"/>
    <col min="5" max="5" width="13" style="66" customWidth="1"/>
    <col min="6" max="6" width="1.33203125" style="68" customWidth="1"/>
    <col min="7" max="8" width="17.109375" style="68" customWidth="1"/>
    <col min="9" max="9" width="9.44140625" style="66" customWidth="1"/>
    <col min="10" max="16384" width="9.109375" style="66"/>
  </cols>
  <sheetData>
    <row r="1" spans="1:8" x14ac:dyDescent="0.25">
      <c r="A1" s="66" t="s">
        <v>156</v>
      </c>
    </row>
    <row r="3" spans="1:8" x14ac:dyDescent="0.25">
      <c r="B3" s="114"/>
      <c r="C3" s="114"/>
      <c r="D3" s="114"/>
      <c r="E3" s="114"/>
      <c r="F3" s="67"/>
      <c r="G3" s="126"/>
      <c r="H3" s="126"/>
    </row>
    <row r="4" spans="1:8" ht="33.75" customHeight="1" x14ac:dyDescent="0.25">
      <c r="A4" s="116" t="s">
        <v>169</v>
      </c>
      <c r="E4" s="96"/>
      <c r="F4" s="67"/>
      <c r="G4" s="127" t="s">
        <v>170</v>
      </c>
      <c r="H4" s="127"/>
    </row>
    <row r="5" spans="1:8" x14ac:dyDescent="0.25">
      <c r="A5" s="96"/>
      <c r="B5" s="102"/>
      <c r="C5" s="103"/>
      <c r="D5" s="103"/>
      <c r="E5" s="103"/>
      <c r="F5" s="67"/>
      <c r="G5" s="93"/>
      <c r="H5" s="93"/>
    </row>
    <row r="6" spans="1:8" ht="26.4" x14ac:dyDescent="0.25">
      <c r="A6" s="104" t="s">
        <v>22</v>
      </c>
      <c r="B6" s="105" t="s">
        <v>99</v>
      </c>
      <c r="C6" s="106" t="s">
        <v>152</v>
      </c>
      <c r="D6" s="107" t="s">
        <v>148</v>
      </c>
      <c r="E6" s="105" t="s">
        <v>152</v>
      </c>
      <c r="F6" s="67"/>
      <c r="G6" s="117" t="s">
        <v>154</v>
      </c>
      <c r="H6" s="117" t="s">
        <v>155</v>
      </c>
    </row>
    <row r="7" spans="1:8" x14ac:dyDescent="0.25">
      <c r="A7" s="97" t="s">
        <v>107</v>
      </c>
      <c r="B7" s="98">
        <v>225425.51121838993</v>
      </c>
      <c r="C7" s="99">
        <f>B7/$B$17</f>
        <v>1.5025491160048984E-4</v>
      </c>
      <c r="D7" s="100">
        <v>0</v>
      </c>
      <c r="E7" s="99">
        <f>D7/$D$17</f>
        <v>0</v>
      </c>
      <c r="F7" s="67"/>
      <c r="G7" s="77">
        <f>C7/SUM($C7,$E7)</f>
        <v>1</v>
      </c>
      <c r="H7" s="77">
        <f t="shared" ref="H7:H13" si="0">E7/SUM($C7,$E7)</f>
        <v>0</v>
      </c>
    </row>
    <row r="8" spans="1:8" x14ac:dyDescent="0.25">
      <c r="A8" s="97" t="s">
        <v>108</v>
      </c>
      <c r="B8" s="98">
        <v>325144.99999999965</v>
      </c>
      <c r="C8" s="99">
        <f t="shared" ref="C8:C14" si="1">B8/$B$17</f>
        <v>2.1672184735564975E-4</v>
      </c>
      <c r="D8" s="100">
        <v>11399.999999999907</v>
      </c>
      <c r="E8" s="99">
        <f t="shared" ref="E8:E14" si="2">D8/$D$17</f>
        <v>1.7905462199265383E-4</v>
      </c>
      <c r="F8" s="67"/>
      <c r="G8" s="77">
        <f t="shared" ref="G8:G13" si="3">C8/SUM($C8,$E8)</f>
        <v>0.54758648919302833</v>
      </c>
      <c r="H8" s="77">
        <f t="shared" si="0"/>
        <v>0.45241351080697167</v>
      </c>
    </row>
    <row r="9" spans="1:8" x14ac:dyDescent="0.25">
      <c r="A9" s="97" t="s">
        <v>110</v>
      </c>
      <c r="B9" s="98">
        <v>529199.99999999977</v>
      </c>
      <c r="C9" s="99">
        <f t="shared" si="1"/>
        <v>3.5273247818853101E-4</v>
      </c>
      <c r="D9" s="100">
        <v>0</v>
      </c>
      <c r="E9" s="99">
        <f t="shared" si="2"/>
        <v>0</v>
      </c>
      <c r="F9" s="67"/>
      <c r="G9" s="77">
        <f t="shared" si="3"/>
        <v>1</v>
      </c>
      <c r="H9" s="77">
        <f t="shared" si="0"/>
        <v>0</v>
      </c>
    </row>
    <row r="10" spans="1:8" x14ac:dyDescent="0.25">
      <c r="A10" s="97" t="s">
        <v>111</v>
      </c>
      <c r="B10" s="98">
        <v>346183.00000000006</v>
      </c>
      <c r="C10" s="99">
        <f t="shared" si="1"/>
        <v>2.3074449640351534E-4</v>
      </c>
      <c r="D10" s="100">
        <v>19112.926666666655</v>
      </c>
      <c r="E10" s="99">
        <f t="shared" si="2"/>
        <v>3.0019805784853851E-4</v>
      </c>
      <c r="F10" s="67"/>
      <c r="G10" s="77">
        <f t="shared" si="3"/>
        <v>0.43459409036928359</v>
      </c>
      <c r="H10" s="77">
        <f t="shared" si="0"/>
        <v>0.56540590963071646</v>
      </c>
    </row>
    <row r="11" spans="1:8" x14ac:dyDescent="0.25">
      <c r="A11" s="97" t="s">
        <v>149</v>
      </c>
      <c r="B11" s="98">
        <v>10914000.000000017</v>
      </c>
      <c r="C11" s="99">
        <f t="shared" si="1"/>
        <v>7.2746074583326442E-3</v>
      </c>
      <c r="D11" s="100">
        <v>0</v>
      </c>
      <c r="E11" s="99">
        <f t="shared" si="2"/>
        <v>0</v>
      </c>
      <c r="F11" s="67"/>
      <c r="G11" s="77">
        <f t="shared" si="3"/>
        <v>1</v>
      </c>
      <c r="H11" s="77">
        <f t="shared" si="0"/>
        <v>0</v>
      </c>
    </row>
    <row r="12" spans="1:8" x14ac:dyDescent="0.25">
      <c r="A12" s="97" t="s">
        <v>112</v>
      </c>
      <c r="B12" s="98">
        <v>442852.33497142314</v>
      </c>
      <c r="C12" s="99">
        <f t="shared" si="1"/>
        <v>2.9517838546116331E-4</v>
      </c>
      <c r="D12" s="100">
        <v>22395.183999999947</v>
      </c>
      <c r="E12" s="99">
        <f t="shared" si="2"/>
        <v>3.5175098294525894E-4</v>
      </c>
      <c r="F12" s="67"/>
      <c r="G12" s="77">
        <f t="shared" si="3"/>
        <v>0.45627606331781584</v>
      </c>
      <c r="H12" s="77">
        <f t="shared" si="0"/>
        <v>0.54372393668218422</v>
      </c>
    </row>
    <row r="13" spans="1:8" x14ac:dyDescent="0.25">
      <c r="A13" s="27" t="s">
        <v>106</v>
      </c>
      <c r="B13" s="98">
        <v>2040557.3301966481</v>
      </c>
      <c r="C13" s="99">
        <f t="shared" si="1"/>
        <v>1.3601111941913013E-3</v>
      </c>
      <c r="D13" s="100">
        <v>2915.8479999999981</v>
      </c>
      <c r="E13" s="99">
        <f t="shared" si="2"/>
        <v>4.5797900125266629E-5</v>
      </c>
      <c r="F13" s="67"/>
      <c r="G13" s="77">
        <f t="shared" si="3"/>
        <v>0.96742470739366715</v>
      </c>
      <c r="H13" s="77">
        <f t="shared" si="0"/>
        <v>3.2575292606332865E-2</v>
      </c>
    </row>
    <row r="14" spans="1:8" x14ac:dyDescent="0.25">
      <c r="A14" s="97" t="s">
        <v>150</v>
      </c>
      <c r="B14" s="98">
        <v>0</v>
      </c>
      <c r="C14" s="99">
        <f t="shared" si="1"/>
        <v>0</v>
      </c>
      <c r="D14" s="100">
        <v>0</v>
      </c>
      <c r="E14" s="99">
        <f t="shared" si="2"/>
        <v>0</v>
      </c>
      <c r="F14" s="67"/>
      <c r="G14" s="118">
        <v>1</v>
      </c>
      <c r="H14" s="118">
        <v>0</v>
      </c>
    </row>
    <row r="15" spans="1:8" x14ac:dyDescent="0.25">
      <c r="A15" s="108" t="s">
        <v>151</v>
      </c>
      <c r="B15" s="109">
        <f>SUM(B7:B14)</f>
        <v>14823363.176386477</v>
      </c>
      <c r="C15" s="110">
        <f>SUM(C7:C14)</f>
        <v>9.8803507715332934E-3</v>
      </c>
      <c r="D15" s="111">
        <f>SUM(D7:D14)</f>
        <v>55823.958666666513</v>
      </c>
      <c r="E15" s="110">
        <f>SUM(E7:E14)</f>
        <v>8.7680156291171786E-4</v>
      </c>
      <c r="F15" s="67"/>
      <c r="G15" s="67"/>
      <c r="H15" s="67"/>
    </row>
    <row r="16" spans="1:8" x14ac:dyDescent="0.25">
      <c r="A16" s="97"/>
      <c r="B16" s="112"/>
      <c r="C16" s="113"/>
      <c r="D16" s="112"/>
      <c r="E16" s="95"/>
      <c r="F16" s="67"/>
      <c r="G16" s="67"/>
      <c r="H16" s="67"/>
    </row>
    <row r="17" spans="1:8" x14ac:dyDescent="0.25">
      <c r="A17" s="97" t="s">
        <v>153</v>
      </c>
      <c r="B17" s="112">
        <v>1500287137.4865263</v>
      </c>
      <c r="C17" s="113">
        <f>B17/$B$17</f>
        <v>1</v>
      </c>
      <c r="D17" s="112">
        <v>63667722.58170259</v>
      </c>
      <c r="E17" s="113">
        <f>D17/$D$17</f>
        <v>1</v>
      </c>
      <c r="F17" s="67"/>
      <c r="G17" s="67"/>
      <c r="H17" s="67"/>
    </row>
    <row r="18" spans="1:8" x14ac:dyDescent="0.25">
      <c r="A18" s="101" t="s">
        <v>157</v>
      </c>
      <c r="B18" s="95"/>
      <c r="C18" s="95"/>
      <c r="D18" s="101"/>
      <c r="E18" s="95"/>
    </row>
    <row r="20" spans="1:8" x14ac:dyDescent="0.25">
      <c r="A20" s="115" t="s">
        <v>168</v>
      </c>
    </row>
  </sheetData>
  <mergeCells count="2">
    <mergeCell ref="G3:H3"/>
    <mergeCell ref="G4:H4"/>
  </mergeCells>
  <pageMargins left="0.43" right="0.23" top="1" bottom="1" header="0.7" footer="0.5"/>
  <pageSetup scale="48" fitToHeight="0" orientation="landscape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4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70524FA90C14595725572C4AFFCA3" ma:contentTypeVersion="3" ma:contentTypeDescription="Create a new document." ma:contentTypeScope="" ma:versionID="553a7ca116b046630ca1bd115854c9f9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561FF7-B48A-4EED-992B-6ABF9003439B}">
  <ds:schemaRefs>
    <ds:schemaRef ds:uri="http://purl.org/dc/elements/1.1/"/>
    <ds:schemaRef ds:uri="2612a682-5ffb-4b9c-9555-017618935178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E08B7B5-6DDD-4E3C-A08C-D6D5BAB9C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Allocation Factors - Page 1</vt:lpstr>
      <vt:lpstr>Allocation Factors - Page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