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35" windowWidth="23040" windowHeight="10800" tabRatio="946" firstSheet="32" activeTab="43"/>
  </bookViews>
  <sheets>
    <sheet name="Y1" sheetId="23" r:id="rId1"/>
    <sheet name="Y2a" sheetId="22" r:id="rId2"/>
    <sheet name="Y2b" sheetId="21" r:id="rId3"/>
    <sheet name="Y2c" sheetId="20" r:id="rId4"/>
    <sheet name="Y3a" sheetId="19" r:id="rId5"/>
    <sheet name="Y3b" sheetId="18" r:id="rId6"/>
    <sheet name="Y4a" sheetId="17" r:id="rId7"/>
    <sheet name="Y4b" sheetId="16" r:id="rId8"/>
    <sheet name="Y5a" sheetId="15" r:id="rId9"/>
    <sheet name="Y5b" sheetId="14" r:id="rId10"/>
    <sheet name="Y6a" sheetId="13" r:id="rId11"/>
    <sheet name="Y6b" sheetId="12" r:id="rId12"/>
    <sheet name="Y7a" sheetId="26" r:id="rId13"/>
    <sheet name="Y7b" sheetId="27" r:id="rId14"/>
    <sheet name="Y8a" sheetId="29" r:id="rId15"/>
    <sheet name="Y8b" sheetId="31" r:id="rId16"/>
    <sheet name="Y9a" sheetId="32" r:id="rId17"/>
    <sheet name="Y9b" sheetId="33" r:id="rId18"/>
    <sheet name="Y10a" sheetId="34" r:id="rId19"/>
    <sheet name="Y10b" sheetId="35" r:id="rId20"/>
    <sheet name="Y11a" sheetId="36" r:id="rId21"/>
    <sheet name="Y11b" sheetId="37" r:id="rId22"/>
    <sheet name="Y12a" sheetId="41" r:id="rId23"/>
    <sheet name="Y12b" sheetId="40" r:id="rId24"/>
    <sheet name="Y13a" sheetId="42" r:id="rId25"/>
    <sheet name="Y13b" sheetId="44" r:id="rId26"/>
    <sheet name="Y14a" sheetId="45" r:id="rId27"/>
    <sheet name="Y14b" sheetId="47" r:id="rId28"/>
    <sheet name="Y15a" sheetId="49" r:id="rId29"/>
    <sheet name="Y15b" sheetId="48" r:id="rId30"/>
    <sheet name="Y16a" sheetId="50" r:id="rId31"/>
    <sheet name="Y16b" sheetId="51" r:id="rId32"/>
    <sheet name="Y17a" sheetId="52" r:id="rId33"/>
    <sheet name="Y17b" sheetId="53" r:id="rId34"/>
    <sheet name="Y18a" sheetId="54" r:id="rId35"/>
    <sheet name="Y18b" sheetId="55" r:id="rId36"/>
    <sheet name="Y19a" sheetId="56" r:id="rId37"/>
    <sheet name="Y19b" sheetId="58" r:id="rId38"/>
    <sheet name="Y20a" sheetId="57" r:id="rId39"/>
    <sheet name="Y20b" sheetId="59" r:id="rId40"/>
    <sheet name="Y21a" sheetId="61" r:id="rId41"/>
    <sheet name="22a&amp;b" sheetId="11" r:id="rId42"/>
    <sheet name="c23" sheetId="10" r:id="rId43"/>
    <sheet name="Exh C" sheetId="25" r:id="rId44"/>
  </sheets>
  <externalReferences>
    <externalReference r:id="rId45"/>
  </externalReferences>
  <definedNames>
    <definedName name="_xlnm.Print_Area" localSheetId="41">'22a&amp;b'!$C$10:$CR$124</definedName>
    <definedName name="_xlnm.Print_Area" localSheetId="42">'c23'!$A$10:$E$60</definedName>
    <definedName name="_xlnm.Print_Area" localSheetId="43">'Exh C'!$A$8:$H$82</definedName>
    <definedName name="_xlnm.Print_Area" localSheetId="0">'Y1'!$A$16:$M$60</definedName>
    <definedName name="_xlnm.Print_Area" localSheetId="34">Y18a!$A$1:$Q$103</definedName>
    <definedName name="_xlnm.Print_Area" localSheetId="37">Y19b!$A$1:$O$107</definedName>
    <definedName name="_xlnm.Print_Area" localSheetId="38">Y20a!$A$1:$O$114</definedName>
    <definedName name="_xlnm.Print_Area" localSheetId="1">Y2a!$A$16:$M$60</definedName>
    <definedName name="_xlnm.Print_Area" localSheetId="2">Y2b!$A$16:$M$60</definedName>
    <definedName name="_xlnm.Print_Area" localSheetId="3">Y2c!$A$16:$M$60</definedName>
    <definedName name="_xlnm.Print_Area" localSheetId="4">Y3a!$A$16:$M$60</definedName>
    <definedName name="_xlnm.Print_Area" localSheetId="5">Y3b!$A$16:$M$60</definedName>
    <definedName name="_xlnm.Print_Area" localSheetId="6">Y4a!$A$16:$M$60</definedName>
    <definedName name="_xlnm.Print_Area" localSheetId="7">Y4b!$A$16:$M$60</definedName>
    <definedName name="_xlnm.Print_Area" localSheetId="8">Y5a!$A$16:$M$60</definedName>
    <definedName name="_xlnm.Print_Area" localSheetId="9">Y5b!$A$17:$M$60</definedName>
    <definedName name="_xlnm.Print_Area" localSheetId="10">Y6a!$A$16:$N$60</definedName>
    <definedName name="_xlnm.Print_Area" localSheetId="11">Y6b!$A$16:$N$60</definedName>
    <definedName name="_xlnm.Print_Titles" localSheetId="41">'22a&amp;b'!$A:$B,'22a&amp;b'!$1:$9</definedName>
    <definedName name="_xlnm.Print_Titles" localSheetId="42">'c23'!$1:$9</definedName>
    <definedName name="_xlnm.Print_Titles" localSheetId="43">'Exh C'!$1:$7</definedName>
    <definedName name="_xlnm.Print_Titles" localSheetId="0">'Y1'!$1:$15</definedName>
    <definedName name="_xlnm.Print_Titles" localSheetId="1">Y2a!$1:$15</definedName>
    <definedName name="_xlnm.Print_Titles" localSheetId="2">Y2b!$1:$15</definedName>
    <definedName name="_xlnm.Print_Titles" localSheetId="3">Y2c!$1:$15</definedName>
    <definedName name="_xlnm.Print_Titles" localSheetId="4">Y3a!$1:$15</definedName>
    <definedName name="_xlnm.Print_Titles" localSheetId="5">Y3b!$1:$15</definedName>
    <definedName name="_xlnm.Print_Titles" localSheetId="6">Y4a!$1:$15</definedName>
    <definedName name="_xlnm.Print_Titles" localSheetId="7">Y4b!$1:$15</definedName>
    <definedName name="_xlnm.Print_Titles" localSheetId="8">Y5a!$1:$15</definedName>
    <definedName name="_xlnm.Print_Titles" localSheetId="9">Y5b!$1:$16</definedName>
    <definedName name="_xlnm.Print_Titles" localSheetId="10">Y6a!$1:$15</definedName>
    <definedName name="_xlnm.Print_Titles" localSheetId="11">Y6b!$1:$15</definedName>
    <definedName name="_xlnm.Print_Titles" localSheetId="12">Y7a!$1:$15</definedName>
  </definedNames>
  <calcPr calcId="145621"/>
</workbook>
</file>

<file path=xl/calcChain.xml><?xml version="1.0" encoding="utf-8"?>
<calcChain xmlns="http://schemas.openxmlformats.org/spreadsheetml/2006/main">
  <c r="G88" i="25" l="1"/>
  <c r="T13" i="10"/>
  <c r="S13" i="10"/>
  <c r="K58" i="57" l="1"/>
  <c r="K108" i="57" s="1"/>
  <c r="I24" i="57"/>
  <c r="K24" i="57"/>
  <c r="K56" i="57"/>
  <c r="BE107" i="11" l="1"/>
  <c r="M83" i="61"/>
  <c r="M40" i="58" l="1"/>
  <c r="I22" i="61"/>
  <c r="K22" i="61" s="1"/>
  <c r="O22" i="61" s="1"/>
  <c r="BD34" i="11"/>
  <c r="I24" i="59"/>
  <c r="K24" i="59" s="1"/>
  <c r="F24" i="59"/>
  <c r="O58" i="57"/>
  <c r="BC34" i="11"/>
  <c r="F24" i="57"/>
  <c r="M73" i="56" l="1"/>
  <c r="M78" i="56"/>
  <c r="H18" i="57" l="1"/>
  <c r="C9" i="25" l="1"/>
  <c r="O87" i="58" l="1"/>
  <c r="C31" i="59" l="1"/>
  <c r="M77" i="61" l="1"/>
  <c r="N77" i="61" s="1"/>
  <c r="I77" i="61"/>
  <c r="K77" i="61" s="1"/>
  <c r="O77" i="61" s="1"/>
  <c r="M76" i="61"/>
  <c r="N76" i="61" s="1"/>
  <c r="I76" i="61"/>
  <c r="K76" i="61" s="1"/>
  <c r="M38" i="61"/>
  <c r="N38" i="61" s="1"/>
  <c r="I38" i="61"/>
  <c r="K38" i="61" s="1"/>
  <c r="M37" i="61"/>
  <c r="N37" i="61" s="1"/>
  <c r="I37" i="61"/>
  <c r="K37" i="61" s="1"/>
  <c r="C42" i="10"/>
  <c r="O38" i="61" l="1"/>
  <c r="O37" i="61"/>
  <c r="O76" i="61"/>
  <c r="M87" i="61" l="1"/>
  <c r="BD105" i="11"/>
  <c r="CU105" i="11" s="1"/>
  <c r="L91" i="59" s="1"/>
  <c r="N91" i="59" s="1"/>
  <c r="I91" i="59"/>
  <c r="K91" i="59" s="1"/>
  <c r="F91" i="59"/>
  <c r="I83" i="61"/>
  <c r="H41" i="25" l="1"/>
  <c r="H38" i="25"/>
  <c r="D14" i="25"/>
  <c r="C14" i="25"/>
  <c r="H11" i="25"/>
  <c r="H14" i="25"/>
  <c r="I48" i="61"/>
  <c r="K48" i="61" s="1"/>
  <c r="I50" i="61"/>
  <c r="I87" i="61"/>
  <c r="K87" i="61" s="1"/>
  <c r="I85" i="61"/>
  <c r="K85" i="61" s="1"/>
  <c r="I73" i="61"/>
  <c r="I81" i="61"/>
  <c r="I42" i="57" l="1"/>
  <c r="I47" i="56"/>
  <c r="L20" i="61"/>
  <c r="R126" i="11"/>
  <c r="CV107" i="11"/>
  <c r="BE105" i="11"/>
  <c r="CV105" i="11" s="1"/>
  <c r="L87" i="61" s="1"/>
  <c r="BE103" i="11"/>
  <c r="CV103" i="11" s="1"/>
  <c r="L83" i="61" s="1"/>
  <c r="N83" i="61" s="1"/>
  <c r="BE101" i="11"/>
  <c r="CV101" i="11" s="1"/>
  <c r="L81" i="61" s="1"/>
  <c r="N81" i="61" s="1"/>
  <c r="BE99" i="11"/>
  <c r="CV99" i="11" s="1"/>
  <c r="L73" i="61" s="1"/>
  <c r="BE97" i="11"/>
  <c r="CV97" i="11" s="1"/>
  <c r="L67" i="61" s="1"/>
  <c r="BE91" i="11"/>
  <c r="BE85" i="11"/>
  <c r="CV85" i="11" s="1"/>
  <c r="L71" i="61" s="1"/>
  <c r="BE84" i="11"/>
  <c r="CV84" i="11" s="1"/>
  <c r="L70" i="61" s="1"/>
  <c r="CV78" i="11"/>
  <c r="BE69" i="11"/>
  <c r="BE67" i="11"/>
  <c r="CV67" i="11" s="1"/>
  <c r="L40" i="61" s="1"/>
  <c r="BE65" i="11"/>
  <c r="BE63" i="11"/>
  <c r="BE52" i="11"/>
  <c r="CV52" i="11" s="1"/>
  <c r="L34" i="61" s="1"/>
  <c r="BE48" i="11"/>
  <c r="CV48" i="11" s="1"/>
  <c r="L33" i="61" s="1"/>
  <c r="BE47" i="11"/>
  <c r="CV47" i="11" s="1"/>
  <c r="BE46" i="11"/>
  <c r="CV46" i="11" s="1"/>
  <c r="L31" i="61" s="1"/>
  <c r="BE45" i="11"/>
  <c r="BE43" i="11"/>
  <c r="BE40" i="11"/>
  <c r="BE38" i="11"/>
  <c r="BE32" i="11"/>
  <c r="CV32" i="11" s="1"/>
  <c r="L12" i="61" s="1"/>
  <c r="BE30" i="11"/>
  <c r="BE29" i="11"/>
  <c r="CV29" i="11" s="1"/>
  <c r="L19" i="61" s="1"/>
  <c r="BE26" i="11"/>
  <c r="CV26" i="11" s="1"/>
  <c r="L16" i="61" s="1"/>
  <c r="BE16" i="11"/>
  <c r="CV95" i="11"/>
  <c r="CV94" i="11"/>
  <c r="CV81" i="11"/>
  <c r="CV80" i="11"/>
  <c r="CV79" i="11"/>
  <c r="CV65" i="11"/>
  <c r="L50" i="61" s="1"/>
  <c r="CV61" i="11"/>
  <c r="CV60" i="11"/>
  <c r="CV51" i="11"/>
  <c r="CV50" i="11"/>
  <c r="CV49" i="11"/>
  <c r="CV44" i="11"/>
  <c r="CV17" i="11"/>
  <c r="CV38" i="11" l="1"/>
  <c r="L24" i="61" s="1"/>
  <c r="N24" i="61" s="1"/>
  <c r="CV16" i="11"/>
  <c r="L14" i="61" s="1"/>
  <c r="CV45" i="11"/>
  <c r="L30" i="61" s="1"/>
  <c r="L43" i="61"/>
  <c r="CV69" i="11"/>
  <c r="CV63" i="11"/>
  <c r="L48" i="61" s="1"/>
  <c r="CV40" i="11"/>
  <c r="L26" i="61" s="1"/>
  <c r="L22" i="61"/>
  <c r="L29" i="61"/>
  <c r="CV43" i="11"/>
  <c r="L85" i="61"/>
  <c r="N85" i="61" s="1"/>
  <c r="BE73" i="11"/>
  <c r="CV121" i="11"/>
  <c r="CV73" i="11" l="1"/>
  <c r="L52" i="61"/>
  <c r="I79" i="61"/>
  <c r="K79" i="61" s="1"/>
  <c r="C52" i="61"/>
  <c r="F50" i="61"/>
  <c r="F48" i="61"/>
  <c r="F43" i="61"/>
  <c r="F40" i="61"/>
  <c r="F85" i="61"/>
  <c r="F81" i="61"/>
  <c r="CV91" i="11" l="1"/>
  <c r="F73" i="61"/>
  <c r="K81" i="61"/>
  <c r="K83" i="61"/>
  <c r="O83" i="61" s="1"/>
  <c r="L79" i="61" l="1"/>
  <c r="CV110" i="11"/>
  <c r="CV123" i="11" s="1"/>
  <c r="G91" i="61"/>
  <c r="N50" i="61" l="1"/>
  <c r="K50" i="61"/>
  <c r="O85" i="61"/>
  <c r="I26" i="59"/>
  <c r="I56" i="59"/>
  <c r="K56" i="59" s="1"/>
  <c r="I85" i="59"/>
  <c r="K85" i="59" s="1"/>
  <c r="I15" i="59"/>
  <c r="I12" i="59"/>
  <c r="K12" i="59" s="1"/>
  <c r="G79" i="59"/>
  <c r="G78" i="59"/>
  <c r="F78" i="59" s="1"/>
  <c r="I78" i="59"/>
  <c r="K78" i="59" s="1"/>
  <c r="O50" i="61" l="1"/>
  <c r="M32" i="59"/>
  <c r="M33" i="59"/>
  <c r="L22" i="59"/>
  <c r="CU121" i="11"/>
  <c r="CU95" i="11"/>
  <c r="CU94" i="11"/>
  <c r="CU89" i="11"/>
  <c r="CU64" i="11"/>
  <c r="CU61" i="11"/>
  <c r="CU60" i="11"/>
  <c r="BD91" i="11"/>
  <c r="CU91" i="11" s="1"/>
  <c r="L85" i="59" s="1"/>
  <c r="BD85" i="11"/>
  <c r="CU85" i="11" s="1"/>
  <c r="BD84" i="11"/>
  <c r="CU84" i="11" s="1"/>
  <c r="BD65" i="11"/>
  <c r="BD63" i="11"/>
  <c r="BD57" i="11"/>
  <c r="BD56" i="11"/>
  <c r="BD51" i="11"/>
  <c r="BD50" i="11"/>
  <c r="CU50" i="11" s="1"/>
  <c r="BD49" i="11"/>
  <c r="CU49" i="11" s="1"/>
  <c r="BD48" i="11"/>
  <c r="BD47" i="11"/>
  <c r="CU47" i="11" s="1"/>
  <c r="BD46" i="11"/>
  <c r="BD45" i="11"/>
  <c r="CU45" i="11" s="1"/>
  <c r="BD44" i="11"/>
  <c r="BD43" i="11"/>
  <c r="BD40" i="11"/>
  <c r="BD38" i="11"/>
  <c r="BD32" i="11"/>
  <c r="BD29" i="11"/>
  <c r="BD26" i="11"/>
  <c r="BD16" i="11"/>
  <c r="BD17" i="11"/>
  <c r="BD119" i="11"/>
  <c r="BD118" i="11"/>
  <c r="BD117" i="11"/>
  <c r="BD116" i="11"/>
  <c r="BD88" i="11"/>
  <c r="CU88" i="11" s="1"/>
  <c r="BD81" i="11"/>
  <c r="CU81" i="11" s="1"/>
  <c r="BD80" i="11"/>
  <c r="CU80" i="11" s="1"/>
  <c r="BD79" i="11"/>
  <c r="CU79" i="11" s="1"/>
  <c r="BD78" i="11"/>
  <c r="CU78" i="11" s="1"/>
  <c r="BD74" i="11"/>
  <c r="BD30" i="11"/>
  <c r="CU63" i="11" l="1"/>
  <c r="L53" i="59" s="1"/>
  <c r="CU65" i="11"/>
  <c r="L56" i="59" s="1"/>
  <c r="CU17" i="11"/>
  <c r="L16" i="59" s="1"/>
  <c r="CU16" i="11"/>
  <c r="L15" i="59" s="1"/>
  <c r="CU32" i="11"/>
  <c r="L12" i="59" s="1"/>
  <c r="CU40" i="11"/>
  <c r="L28" i="59" s="1"/>
  <c r="CU46" i="11"/>
  <c r="L34" i="59" s="1"/>
  <c r="CU26" i="11"/>
  <c r="L18" i="59" s="1"/>
  <c r="CU44" i="11"/>
  <c r="L32" i="59" s="1"/>
  <c r="CU48" i="11"/>
  <c r="L36" i="59" s="1"/>
  <c r="CU34" i="11"/>
  <c r="CU43" i="11"/>
  <c r="L31" i="59" s="1"/>
  <c r="CU51" i="11"/>
  <c r="L39" i="59" s="1"/>
  <c r="CU29" i="11"/>
  <c r="L21" i="59" s="1"/>
  <c r="CU38" i="11"/>
  <c r="L26" i="59" s="1"/>
  <c r="CU110" i="11"/>
  <c r="F56" i="59"/>
  <c r="F85" i="59"/>
  <c r="G31" i="59"/>
  <c r="L24" i="59" l="1"/>
  <c r="N24" i="59" s="1"/>
  <c r="O24" i="59" s="1"/>
  <c r="CU73" i="11"/>
  <c r="CU123" i="11" s="1"/>
  <c r="I56" i="57" l="1"/>
  <c r="I39" i="57"/>
  <c r="K39" i="57"/>
  <c r="I85" i="57"/>
  <c r="K85" i="57" s="1"/>
  <c r="F79" i="57"/>
  <c r="F85" i="57"/>
  <c r="I43" i="57"/>
  <c r="M77" i="58"/>
  <c r="M73" i="58"/>
  <c r="M72" i="58"/>
  <c r="K72" i="58"/>
  <c r="M44" i="53" l="1"/>
  <c r="N16" i="53"/>
  <c r="M16" i="53"/>
  <c r="M15" i="56"/>
  <c r="M36" i="58"/>
  <c r="I36" i="58" l="1"/>
  <c r="I35" i="58"/>
  <c r="K31" i="58" l="1"/>
  <c r="I29" i="58"/>
  <c r="K29" i="58"/>
  <c r="I12" i="58"/>
  <c r="K12" i="58"/>
  <c r="K19" i="58"/>
  <c r="I19" i="58"/>
  <c r="I16" i="58"/>
  <c r="K15" i="58"/>
  <c r="I15" i="58"/>
  <c r="K79" i="58" l="1"/>
  <c r="I79" i="58" l="1"/>
  <c r="I77" i="58"/>
  <c r="I76" i="58"/>
  <c r="I73" i="58"/>
  <c r="I72" i="58"/>
  <c r="F56" i="57" l="1"/>
  <c r="F53" i="57"/>
  <c r="C52" i="58" l="1"/>
  <c r="D52" i="58"/>
  <c r="G52" i="58"/>
  <c r="F79" i="58" l="1"/>
  <c r="F77" i="58"/>
  <c r="O49" i="58"/>
  <c r="O50" i="57"/>
  <c r="G58" i="57" l="1"/>
  <c r="G15" i="58" l="1"/>
  <c r="CW8" i="11"/>
  <c r="CV8" i="11"/>
  <c r="CU8" i="11"/>
  <c r="BF8" i="11"/>
  <c r="BE8" i="11"/>
  <c r="BD8" i="11"/>
  <c r="K87" i="58"/>
  <c r="K85" i="58"/>
  <c r="K83" i="58"/>
  <c r="K82" i="58"/>
  <c r="M66" i="58"/>
  <c r="M67" i="58"/>
  <c r="M68" i="58"/>
  <c r="M69" i="58"/>
  <c r="M76" i="58"/>
  <c r="M82" i="58"/>
  <c r="M83" i="58"/>
  <c r="M85" i="58"/>
  <c r="O85" i="58"/>
  <c r="O47" i="58" l="1"/>
  <c r="K15" i="56"/>
  <c r="E14" i="25" l="1"/>
  <c r="G63" i="25"/>
  <c r="F63" i="25"/>
  <c r="E41" i="25"/>
  <c r="D41" i="25"/>
  <c r="C41" i="25"/>
  <c r="C36" i="25"/>
  <c r="E34" i="25"/>
  <c r="D34" i="25"/>
  <c r="G69" i="25"/>
  <c r="F69" i="25"/>
  <c r="E61" i="25"/>
  <c r="E63" i="25"/>
  <c r="D61" i="25"/>
  <c r="D64" i="25"/>
  <c r="D63" i="25"/>
  <c r="D67" i="25" s="1"/>
  <c r="D72" i="25" s="1"/>
  <c r="E64" i="25" s="1"/>
  <c r="F61" i="25"/>
  <c r="G61" i="25" s="1"/>
  <c r="E6" i="25"/>
  <c r="E31" i="10"/>
  <c r="D31" i="10"/>
  <c r="C13" i="25" l="1"/>
  <c r="C19" i="25" s="1"/>
  <c r="D10" i="25" s="1"/>
  <c r="E12" i="10" l="1"/>
  <c r="D12" i="10"/>
  <c r="E42" i="10"/>
  <c r="D42" i="10"/>
  <c r="S49" i="10"/>
  <c r="S43" i="10"/>
  <c r="T43" i="10" s="1"/>
  <c r="S34" i="10"/>
  <c r="T34" i="10" s="1"/>
  <c r="Q34" i="10"/>
  <c r="Q49" i="10" s="1"/>
  <c r="Q33" i="10"/>
  <c r="Q48" i="10" s="1"/>
  <c r="Q32" i="10"/>
  <c r="Q47" i="10" s="1"/>
  <c r="Q31" i="10"/>
  <c r="Q46" i="10" s="1"/>
  <c r="Q30" i="10"/>
  <c r="Q45" i="10" s="1"/>
  <c r="Q29" i="10"/>
  <c r="Q44" i="10" s="1"/>
  <c r="S28" i="10"/>
  <c r="T28" i="10" s="1"/>
  <c r="Q28" i="10"/>
  <c r="Q43" i="10" s="1"/>
  <c r="Q27" i="10"/>
  <c r="Q42" i="10" s="1"/>
  <c r="Q26" i="10"/>
  <c r="Q41" i="10" s="1"/>
  <c r="Q25" i="10"/>
  <c r="Q40" i="10" s="1"/>
  <c r="Q24" i="10"/>
  <c r="Q39" i="10" s="1"/>
  <c r="Q23" i="10"/>
  <c r="Q38" i="10" s="1"/>
  <c r="Q22" i="10"/>
  <c r="Q37" i="10" s="1"/>
  <c r="S19" i="10"/>
  <c r="T19" i="10" s="1"/>
  <c r="C31" i="10"/>
  <c r="O12" i="25"/>
  <c r="O40" i="25"/>
  <c r="O48" i="25"/>
  <c r="O20" i="25"/>
  <c r="I15" i="56"/>
  <c r="K100" i="61"/>
  <c r="K99" i="61"/>
  <c r="D91" i="61"/>
  <c r="C91" i="61"/>
  <c r="O89" i="61"/>
  <c r="O87" i="61"/>
  <c r="O81" i="61"/>
  <c r="N73" i="61"/>
  <c r="K73" i="61"/>
  <c r="M71" i="61"/>
  <c r="N71" i="61" s="1"/>
  <c r="I71" i="61"/>
  <c r="K71" i="61" s="1"/>
  <c r="M70" i="61"/>
  <c r="N70" i="61" s="1"/>
  <c r="I70" i="61"/>
  <c r="K70" i="61" s="1"/>
  <c r="M67" i="61"/>
  <c r="I67" i="61"/>
  <c r="K67" i="61" s="1"/>
  <c r="L62" i="61"/>
  <c r="A60" i="61"/>
  <c r="O58" i="61"/>
  <c r="A55" i="61"/>
  <c r="O45" i="61"/>
  <c r="N43" i="61"/>
  <c r="I43" i="61"/>
  <c r="K43" i="61" s="1"/>
  <c r="N40" i="61"/>
  <c r="I40" i="61"/>
  <c r="K40" i="61" s="1"/>
  <c r="N34" i="61"/>
  <c r="I34" i="61"/>
  <c r="K34" i="61" s="1"/>
  <c r="F34" i="61"/>
  <c r="I33" i="61"/>
  <c r="K33" i="61" s="1"/>
  <c r="F33" i="61"/>
  <c r="M32" i="61"/>
  <c r="N32" i="61" s="1"/>
  <c r="I32" i="61"/>
  <c r="K32" i="61" s="1"/>
  <c r="F32" i="61"/>
  <c r="I31" i="61"/>
  <c r="K31" i="61" s="1"/>
  <c r="F31" i="61"/>
  <c r="N30" i="61"/>
  <c r="I30" i="61"/>
  <c r="K30" i="61" s="1"/>
  <c r="F30" i="61"/>
  <c r="I29" i="61"/>
  <c r="K29" i="61" s="1"/>
  <c r="F29" i="61"/>
  <c r="I26" i="61"/>
  <c r="K26" i="61" s="1"/>
  <c r="F26" i="61"/>
  <c r="I24" i="61"/>
  <c r="K24" i="61" s="1"/>
  <c r="F24" i="61"/>
  <c r="N20" i="61"/>
  <c r="I20" i="61"/>
  <c r="K20" i="61" s="1"/>
  <c r="I19" i="61"/>
  <c r="K19" i="61" s="1"/>
  <c r="I16" i="61"/>
  <c r="K16" i="61" s="1"/>
  <c r="I14" i="61"/>
  <c r="K14" i="61" s="1"/>
  <c r="F14" i="61"/>
  <c r="M12" i="61"/>
  <c r="I12" i="61"/>
  <c r="L8" i="61"/>
  <c r="O4" i="61"/>
  <c r="K104" i="59"/>
  <c r="K103" i="59"/>
  <c r="G95" i="59"/>
  <c r="D95" i="59"/>
  <c r="C95" i="59"/>
  <c r="O93" i="59"/>
  <c r="O91" i="59"/>
  <c r="O89" i="59"/>
  <c r="O88" i="59"/>
  <c r="N83" i="59"/>
  <c r="M83" i="59"/>
  <c r="I83" i="59"/>
  <c r="K83" i="59" s="1"/>
  <c r="M82" i="59"/>
  <c r="N82" i="59" s="1"/>
  <c r="I82" i="59"/>
  <c r="K82" i="59" s="1"/>
  <c r="M79" i="59"/>
  <c r="N79" i="59" s="1"/>
  <c r="I79" i="59"/>
  <c r="K79" i="59" s="1"/>
  <c r="F79" i="59"/>
  <c r="M78" i="59"/>
  <c r="N78" i="59" s="1"/>
  <c r="I75" i="59"/>
  <c r="K75" i="59" s="1"/>
  <c r="I74" i="59"/>
  <c r="K74" i="59" s="1"/>
  <c r="M73" i="59"/>
  <c r="L73" i="59"/>
  <c r="I73" i="59"/>
  <c r="M72" i="59"/>
  <c r="L72" i="59"/>
  <c r="I72" i="59"/>
  <c r="L68" i="59"/>
  <c r="A66" i="59"/>
  <c r="O64" i="59"/>
  <c r="A61" i="59"/>
  <c r="C58" i="59"/>
  <c r="BD73" i="11" s="1"/>
  <c r="I53" i="59"/>
  <c r="K53" i="59" s="1"/>
  <c r="O50" i="59"/>
  <c r="N47" i="59"/>
  <c r="I47" i="59"/>
  <c r="K47" i="59" s="1"/>
  <c r="N46" i="59"/>
  <c r="I46" i="59"/>
  <c r="K46" i="59" s="1"/>
  <c r="M43" i="59"/>
  <c r="N43" i="59" s="1"/>
  <c r="I43" i="59"/>
  <c r="K43" i="59" s="1"/>
  <c r="M42" i="59"/>
  <c r="N42" i="59" s="1"/>
  <c r="I42" i="59"/>
  <c r="K42" i="59" s="1"/>
  <c r="I39" i="59"/>
  <c r="K39" i="59" s="1"/>
  <c r="F39" i="59"/>
  <c r="M38" i="59"/>
  <c r="N38" i="59" s="1"/>
  <c r="I38" i="59"/>
  <c r="K38" i="59" s="1"/>
  <c r="F38" i="59"/>
  <c r="M37" i="59"/>
  <c r="N37" i="59" s="1"/>
  <c r="I37" i="59"/>
  <c r="K37" i="59" s="1"/>
  <c r="F37" i="59"/>
  <c r="I36" i="59"/>
  <c r="K36" i="59" s="1"/>
  <c r="F36" i="59"/>
  <c r="M35" i="59"/>
  <c r="N35" i="59" s="1"/>
  <c r="I35" i="59"/>
  <c r="K35" i="59" s="1"/>
  <c r="F35" i="59"/>
  <c r="I34" i="59"/>
  <c r="K34" i="59" s="1"/>
  <c r="F34" i="59"/>
  <c r="N33" i="59"/>
  <c r="I33" i="59"/>
  <c r="K33" i="59" s="1"/>
  <c r="F33" i="59"/>
  <c r="I32" i="59"/>
  <c r="K32" i="59" s="1"/>
  <c r="I31" i="59"/>
  <c r="K31" i="59" s="1"/>
  <c r="F31" i="59"/>
  <c r="I28" i="59"/>
  <c r="K28" i="59" s="1"/>
  <c r="F28" i="59"/>
  <c r="K26" i="59"/>
  <c r="F26" i="59"/>
  <c r="N22" i="59"/>
  <c r="I22" i="59"/>
  <c r="K22" i="59" s="1"/>
  <c r="I21" i="59"/>
  <c r="K21" i="59" s="1"/>
  <c r="F21" i="59"/>
  <c r="I18" i="59"/>
  <c r="K18" i="59" s="1"/>
  <c r="F18" i="59"/>
  <c r="I16" i="59"/>
  <c r="K16" i="59" s="1"/>
  <c r="F16" i="59"/>
  <c r="K15" i="59"/>
  <c r="F15" i="59"/>
  <c r="M12" i="59"/>
  <c r="F12" i="59"/>
  <c r="D58" i="59"/>
  <c r="L8" i="59"/>
  <c r="O4" i="59"/>
  <c r="C58" i="57"/>
  <c r="O93" i="57"/>
  <c r="O91" i="57"/>
  <c r="O83" i="59" l="1"/>
  <c r="O46" i="59"/>
  <c r="N72" i="59"/>
  <c r="O82" i="59"/>
  <c r="O73" i="61"/>
  <c r="O30" i="61"/>
  <c r="C104" i="61"/>
  <c r="I91" i="61"/>
  <c r="D58" i="10" s="1"/>
  <c r="O70" i="61"/>
  <c r="O34" i="61"/>
  <c r="O32" i="61"/>
  <c r="O40" i="61"/>
  <c r="M91" i="61"/>
  <c r="D108" i="59"/>
  <c r="O79" i="59"/>
  <c r="C108" i="59"/>
  <c r="O38" i="59"/>
  <c r="O78" i="59"/>
  <c r="M95" i="59"/>
  <c r="I95" i="59"/>
  <c r="D57" i="10" s="1"/>
  <c r="O43" i="61"/>
  <c r="O22" i="59"/>
  <c r="N73" i="59"/>
  <c r="O73" i="59" s="1"/>
  <c r="O20" i="61"/>
  <c r="N67" i="61"/>
  <c r="O67" i="61" s="1"/>
  <c r="O47" i="59"/>
  <c r="O42" i="59"/>
  <c r="O33" i="59"/>
  <c r="O35" i="59"/>
  <c r="O37" i="59"/>
  <c r="S35" i="10"/>
  <c r="S20" i="10"/>
  <c r="T20" i="10" s="1"/>
  <c r="S50" i="10"/>
  <c r="T50" i="10"/>
  <c r="T35" i="10"/>
  <c r="T49" i="10"/>
  <c r="I52" i="61"/>
  <c r="O71" i="61"/>
  <c r="D52" i="61"/>
  <c r="D104" i="61" s="1"/>
  <c r="K12" i="61"/>
  <c r="G52" i="61"/>
  <c r="G104" i="61" s="1"/>
  <c r="M14" i="61"/>
  <c r="M52" i="61" s="1"/>
  <c r="K91" i="61"/>
  <c r="O43" i="59"/>
  <c r="M15" i="59"/>
  <c r="K95" i="59"/>
  <c r="O72" i="59"/>
  <c r="G58" i="59"/>
  <c r="G108" i="59" s="1"/>
  <c r="F33" i="57"/>
  <c r="F34" i="57"/>
  <c r="F35" i="57"/>
  <c r="F36" i="57"/>
  <c r="F37" i="57"/>
  <c r="F38" i="57"/>
  <c r="F39" i="57"/>
  <c r="M104" i="61" l="1"/>
  <c r="I104" i="61"/>
  <c r="C58" i="10"/>
  <c r="K52" i="61"/>
  <c r="K104" i="61" s="1"/>
  <c r="M58" i="59"/>
  <c r="M108" i="59" s="1"/>
  <c r="I58" i="59"/>
  <c r="CR95" i="11"/>
  <c r="CR94" i="11"/>
  <c r="CR65" i="11"/>
  <c r="CR64" i="11"/>
  <c r="CR63" i="11"/>
  <c r="CR61" i="11"/>
  <c r="CR60" i="11"/>
  <c r="CQ46" i="11"/>
  <c r="CQ47" i="11"/>
  <c r="CQ48" i="11"/>
  <c r="CQ49" i="11"/>
  <c r="CQ50" i="11"/>
  <c r="CQ51" i="11"/>
  <c r="CR46" i="11"/>
  <c r="CR47" i="11"/>
  <c r="CR48" i="11"/>
  <c r="CR49" i="11"/>
  <c r="CR50" i="11"/>
  <c r="CR51" i="11"/>
  <c r="CS46" i="11"/>
  <c r="CS47" i="11"/>
  <c r="CS48" i="11"/>
  <c r="CS49" i="11"/>
  <c r="CS50" i="11"/>
  <c r="CS51" i="11"/>
  <c r="CS95" i="11"/>
  <c r="CS94" i="11"/>
  <c r="CS65" i="11"/>
  <c r="CS64" i="11"/>
  <c r="CS63" i="11"/>
  <c r="CS61" i="11"/>
  <c r="CS60" i="11"/>
  <c r="I108" i="59" l="1"/>
  <c r="C57" i="10"/>
  <c r="K58" i="59"/>
  <c r="K108" i="59" s="1"/>
  <c r="H69" i="25" l="1"/>
  <c r="H70" i="25"/>
  <c r="H68" i="25"/>
  <c r="H65" i="25"/>
  <c r="H43" i="25" l="1"/>
  <c r="H44" i="25"/>
  <c r="H16" i="25"/>
  <c r="H17" i="25"/>
  <c r="F34" i="25"/>
  <c r="G34" i="25" s="1"/>
  <c r="H34" i="25" s="1"/>
  <c r="F6" i="25"/>
  <c r="G6" i="25" s="1"/>
  <c r="H6" i="25" s="1"/>
  <c r="H2" i="25"/>
  <c r="G15" i="56" l="1"/>
  <c r="F74" i="56" l="1"/>
  <c r="L23" i="58" l="1"/>
  <c r="L22" i="57"/>
  <c r="CT95" i="11"/>
  <c r="CT94" i="11"/>
  <c r="CT64" i="11"/>
  <c r="CT61" i="11"/>
  <c r="CT60" i="11"/>
  <c r="C88" i="25" l="1"/>
  <c r="BC91" i="11" l="1"/>
  <c r="CT91" i="11" s="1"/>
  <c r="BC88" i="11"/>
  <c r="CT88" i="11" s="1"/>
  <c r="BC89" i="11"/>
  <c r="CT89" i="11" s="1"/>
  <c r="BC85" i="11"/>
  <c r="CT85" i="11" s="1"/>
  <c r="BC84" i="11"/>
  <c r="CT84" i="11" s="1"/>
  <c r="BC65" i="11"/>
  <c r="CT65" i="11" s="1"/>
  <c r="BC63" i="11"/>
  <c r="CT63" i="11" s="1"/>
  <c r="CQ65" i="11"/>
  <c r="CP65" i="11"/>
  <c r="CO65" i="11"/>
  <c r="CN65" i="11"/>
  <c r="CM65" i="11"/>
  <c r="CL65" i="11"/>
  <c r="CK65" i="11"/>
  <c r="CQ64" i="11"/>
  <c r="CP64" i="11"/>
  <c r="CO64" i="11"/>
  <c r="CN64" i="11"/>
  <c r="CM64" i="11"/>
  <c r="CL64" i="11"/>
  <c r="CK64" i="11"/>
  <c r="CQ63" i="11"/>
  <c r="CP63" i="11"/>
  <c r="CO63" i="11"/>
  <c r="CN63" i="11"/>
  <c r="CM63" i="11"/>
  <c r="CL63" i="11"/>
  <c r="CK63" i="11"/>
  <c r="BC46" i="11"/>
  <c r="CT46" i="11" s="1"/>
  <c r="BC47" i="11"/>
  <c r="CT47" i="11" s="1"/>
  <c r="BC48" i="11"/>
  <c r="CT48" i="11" s="1"/>
  <c r="BC49" i="11"/>
  <c r="CT49" i="11" s="1"/>
  <c r="BC50" i="11"/>
  <c r="CT50" i="11" s="1"/>
  <c r="BC51" i="11"/>
  <c r="CT51" i="11" s="1"/>
  <c r="CN51" i="11"/>
  <c r="CM51" i="11"/>
  <c r="CP51" i="11"/>
  <c r="CO51" i="11"/>
  <c r="CL51" i="11"/>
  <c r="CK51" i="11"/>
  <c r="CN50" i="11"/>
  <c r="CM50" i="11"/>
  <c r="CP50" i="11"/>
  <c r="CO50" i="11"/>
  <c r="CL50" i="11"/>
  <c r="CK50" i="11"/>
  <c r="CN49" i="11"/>
  <c r="CM49" i="11"/>
  <c r="CP49" i="11"/>
  <c r="CO49" i="11"/>
  <c r="CL49" i="11"/>
  <c r="CK49" i="11"/>
  <c r="CN48" i="11"/>
  <c r="CM48" i="11"/>
  <c r="CP48" i="11"/>
  <c r="CO48" i="11"/>
  <c r="CL48" i="11"/>
  <c r="CK48" i="11"/>
  <c r="CN47" i="11"/>
  <c r="CM47" i="11"/>
  <c r="CP47" i="11"/>
  <c r="CO47" i="11"/>
  <c r="CL47" i="11"/>
  <c r="CK47" i="11"/>
  <c r="CN46" i="11"/>
  <c r="CM46" i="11"/>
  <c r="CP46" i="11"/>
  <c r="CO46" i="11"/>
  <c r="CL46" i="11"/>
  <c r="CK46" i="11"/>
  <c r="BC45" i="11"/>
  <c r="CT45" i="11" s="1"/>
  <c r="BC44" i="11"/>
  <c r="CT44" i="11" s="1"/>
  <c r="BC43" i="11"/>
  <c r="CT43" i="11" s="1"/>
  <c r="BC40" i="11"/>
  <c r="CT40" i="11" s="1"/>
  <c r="BC38" i="11"/>
  <c r="CT38" i="11" s="1"/>
  <c r="BC32" i="11"/>
  <c r="CT32" i="11" s="1"/>
  <c r="BB32" i="11"/>
  <c r="CS32" i="11" s="1"/>
  <c r="BC30" i="11"/>
  <c r="BC29" i="11"/>
  <c r="CT29" i="11" s="1"/>
  <c r="BC26" i="11"/>
  <c r="CT26" i="11" s="1"/>
  <c r="BC17" i="11"/>
  <c r="CT17" i="11" s="1"/>
  <c r="BC16" i="11"/>
  <c r="CT16" i="11" s="1"/>
  <c r="CT34" i="11" l="1"/>
  <c r="L24" i="57" s="1"/>
  <c r="N24" i="57" s="1"/>
  <c r="O24" i="57" s="1"/>
  <c r="L32" i="57"/>
  <c r="N32" i="59"/>
  <c r="O32" i="59" s="1"/>
  <c r="L16" i="57"/>
  <c r="N16" i="59"/>
  <c r="O16" i="59" s="1"/>
  <c r="L18" i="57"/>
  <c r="N18" i="59"/>
  <c r="O18" i="59" s="1"/>
  <c r="N16" i="61"/>
  <c r="O16" i="61" s="1"/>
  <c r="L12" i="57"/>
  <c r="L28" i="57"/>
  <c r="N28" i="59"/>
  <c r="O28" i="59" s="1"/>
  <c r="N26" i="61"/>
  <c r="O26" i="61" s="1"/>
  <c r="L39" i="57"/>
  <c r="N39" i="59"/>
  <c r="O39" i="59" s="1"/>
  <c r="L56" i="57"/>
  <c r="N56" i="59"/>
  <c r="O56" i="59" s="1"/>
  <c r="N14" i="61"/>
  <c r="O14" i="61" s="1"/>
  <c r="N15" i="59"/>
  <c r="O15" i="59" s="1"/>
  <c r="L36" i="57"/>
  <c r="N36" i="59"/>
  <c r="O36" i="59" s="1"/>
  <c r="N33" i="61"/>
  <c r="O33" i="61" s="1"/>
  <c r="L53" i="57"/>
  <c r="L21" i="57"/>
  <c r="N21" i="59"/>
  <c r="O21" i="59" s="1"/>
  <c r="N19" i="61"/>
  <c r="O19" i="61" s="1"/>
  <c r="L31" i="57"/>
  <c r="N31" i="59"/>
  <c r="O31" i="59" s="1"/>
  <c r="N29" i="61"/>
  <c r="O29" i="61" s="1"/>
  <c r="L34" i="57"/>
  <c r="N34" i="59"/>
  <c r="O34" i="59" s="1"/>
  <c r="N31" i="61"/>
  <c r="O31" i="61" s="1"/>
  <c r="N79" i="61"/>
  <c r="O79" i="61" s="1"/>
  <c r="N85" i="59"/>
  <c r="O85" i="59" s="1"/>
  <c r="L85" i="57"/>
  <c r="L15" i="57"/>
  <c r="N12" i="61" l="1"/>
  <c r="N12" i="59"/>
  <c r="O24" i="61"/>
  <c r="N26" i="59"/>
  <c r="O26" i="59" s="1"/>
  <c r="L26" i="57"/>
  <c r="CT73" i="11"/>
  <c r="N53" i="59"/>
  <c r="O53" i="59" s="1"/>
  <c r="N48" i="61"/>
  <c r="O48" i="61" s="1"/>
  <c r="I18" i="57"/>
  <c r="K18" i="57" s="1"/>
  <c r="F18" i="57"/>
  <c r="M12" i="57"/>
  <c r="I12" i="57"/>
  <c r="K12" i="57" s="1"/>
  <c r="F12" i="57"/>
  <c r="F12" i="58"/>
  <c r="L58" i="59" l="1"/>
  <c r="N58" i="59"/>
  <c r="O12" i="59"/>
  <c r="O58" i="59" s="1"/>
  <c r="F9" i="25" s="1"/>
  <c r="O12" i="61"/>
  <c r="O52" i="61" s="1"/>
  <c r="N52" i="61"/>
  <c r="N12" i="57"/>
  <c r="O12" i="57" s="1"/>
  <c r="G9" i="25" l="1"/>
  <c r="D58" i="57"/>
  <c r="N56" i="57"/>
  <c r="N53" i="57"/>
  <c r="I53" i="57"/>
  <c r="K53" i="57" s="1"/>
  <c r="N39" i="57"/>
  <c r="M38" i="57"/>
  <c r="N38" i="57" s="1"/>
  <c r="I38" i="57"/>
  <c r="K38" i="57" s="1"/>
  <c r="M37" i="57"/>
  <c r="N37" i="57" s="1"/>
  <c r="I37" i="57"/>
  <c r="K37" i="57" s="1"/>
  <c r="N36" i="57"/>
  <c r="I36" i="57"/>
  <c r="K36" i="57" s="1"/>
  <c r="M35" i="57"/>
  <c r="N35" i="57" s="1"/>
  <c r="I35" i="57"/>
  <c r="K35" i="57" s="1"/>
  <c r="N34" i="57"/>
  <c r="I34" i="57"/>
  <c r="K34" i="57" s="1"/>
  <c r="O53" i="57" l="1"/>
  <c r="O56" i="57"/>
  <c r="O34" i="57"/>
  <c r="O37" i="57"/>
  <c r="O36" i="57"/>
  <c r="O35" i="57"/>
  <c r="O39" i="57"/>
  <c r="O38" i="57"/>
  <c r="N48" i="25" l="1"/>
  <c r="N40" i="25"/>
  <c r="N12" i="25"/>
  <c r="N20" i="25"/>
  <c r="O49" i="10"/>
  <c r="P49" i="10" s="1"/>
  <c r="O43" i="10"/>
  <c r="P43" i="10" s="1"/>
  <c r="P34" i="10"/>
  <c r="O34" i="10"/>
  <c r="M34" i="10"/>
  <c r="M49" i="10" s="1"/>
  <c r="M33" i="10"/>
  <c r="M48" i="10" s="1"/>
  <c r="M32" i="10"/>
  <c r="M47" i="10" s="1"/>
  <c r="M31" i="10"/>
  <c r="M46" i="10" s="1"/>
  <c r="M30" i="10"/>
  <c r="M45" i="10" s="1"/>
  <c r="M29" i="10"/>
  <c r="M44" i="10" s="1"/>
  <c r="P28" i="10"/>
  <c r="O28" i="10"/>
  <c r="M28" i="10"/>
  <c r="M43" i="10" s="1"/>
  <c r="M27" i="10"/>
  <c r="M42" i="10" s="1"/>
  <c r="M26" i="10"/>
  <c r="M41" i="10" s="1"/>
  <c r="M25" i="10"/>
  <c r="M40" i="10" s="1"/>
  <c r="M24" i="10"/>
  <c r="M39" i="10" s="1"/>
  <c r="M23" i="10"/>
  <c r="M38" i="10" s="1"/>
  <c r="M22" i="10"/>
  <c r="M37" i="10" s="1"/>
  <c r="O19" i="10"/>
  <c r="P19" i="10" s="1"/>
  <c r="O13" i="10"/>
  <c r="P13" i="10" s="1"/>
  <c r="K104" i="57"/>
  <c r="K103" i="57"/>
  <c r="G95" i="57"/>
  <c r="D95" i="57"/>
  <c r="D108" i="57" s="1"/>
  <c r="C95" i="57"/>
  <c r="O89" i="57"/>
  <c r="O88" i="57"/>
  <c r="N85" i="57"/>
  <c r="M83" i="57"/>
  <c r="N83" i="57" s="1"/>
  <c r="I83" i="57"/>
  <c r="K83" i="57" s="1"/>
  <c r="M82" i="57"/>
  <c r="N82" i="57" s="1"/>
  <c r="I82" i="57"/>
  <c r="K82" i="57" s="1"/>
  <c r="M79" i="57"/>
  <c r="N79" i="57" s="1"/>
  <c r="I79" i="57"/>
  <c r="K79" i="57" s="1"/>
  <c r="M78" i="57"/>
  <c r="N78" i="57" s="1"/>
  <c r="I78" i="57"/>
  <c r="K78" i="57" s="1"/>
  <c r="I75" i="57"/>
  <c r="K75" i="57" s="1"/>
  <c r="I74" i="57"/>
  <c r="K74" i="57" s="1"/>
  <c r="M73" i="57"/>
  <c r="L73" i="57"/>
  <c r="I73" i="57"/>
  <c r="M72" i="57"/>
  <c r="L72" i="57"/>
  <c r="I72" i="57"/>
  <c r="A66" i="57"/>
  <c r="A61" i="57"/>
  <c r="I47" i="57"/>
  <c r="K47" i="57" s="1"/>
  <c r="I46" i="57"/>
  <c r="K46" i="57" s="1"/>
  <c r="M43" i="57"/>
  <c r="N43" i="57" s="1"/>
  <c r="K43" i="57"/>
  <c r="M42" i="57"/>
  <c r="N42" i="57" s="1"/>
  <c r="M33" i="57"/>
  <c r="N33" i="57" s="1"/>
  <c r="I33" i="57"/>
  <c r="K33" i="57" s="1"/>
  <c r="I32" i="57"/>
  <c r="K32" i="57" s="1"/>
  <c r="F32" i="57"/>
  <c r="I31" i="57"/>
  <c r="K31" i="57" s="1"/>
  <c r="F31" i="57"/>
  <c r="I28" i="57"/>
  <c r="K28" i="57" s="1"/>
  <c r="F28" i="57"/>
  <c r="I26" i="57"/>
  <c r="K26" i="57" s="1"/>
  <c r="F26" i="57"/>
  <c r="N22" i="57"/>
  <c r="I22" i="57"/>
  <c r="K22" i="57" s="1"/>
  <c r="I21" i="57"/>
  <c r="K21" i="57" s="1"/>
  <c r="F21" i="57"/>
  <c r="N16" i="57"/>
  <c r="I16" i="57"/>
  <c r="K16" i="57" s="1"/>
  <c r="F16" i="57"/>
  <c r="M15" i="57"/>
  <c r="I15" i="57"/>
  <c r="K15" i="57" s="1"/>
  <c r="F15" i="57"/>
  <c r="L8" i="57"/>
  <c r="C10" i="10" l="1"/>
  <c r="C12" i="10" s="1"/>
  <c r="O20" i="10"/>
  <c r="P20" i="10" s="1"/>
  <c r="O35" i="10"/>
  <c r="P35" i="10" s="1"/>
  <c r="M58" i="57"/>
  <c r="K42" i="57"/>
  <c r="O42" i="57" s="1"/>
  <c r="I58" i="57"/>
  <c r="G108" i="57"/>
  <c r="N73" i="57"/>
  <c r="O73" i="57" s="1"/>
  <c r="O22" i="57"/>
  <c r="C108" i="57"/>
  <c r="O50" i="10"/>
  <c r="P50" i="10" s="1"/>
  <c r="M95" i="57"/>
  <c r="O79" i="57"/>
  <c r="O85" i="57"/>
  <c r="O82" i="57"/>
  <c r="O16" i="57"/>
  <c r="O43" i="57"/>
  <c r="I95" i="57"/>
  <c r="O33" i="57"/>
  <c r="O83" i="57"/>
  <c r="K95" i="57"/>
  <c r="O78" i="57"/>
  <c r="N72" i="57"/>
  <c r="M108" i="57" l="1"/>
  <c r="I108" i="57"/>
  <c r="O72" i="57"/>
  <c r="D89" i="58" l="1"/>
  <c r="C89" i="58"/>
  <c r="G89" i="58"/>
  <c r="G102" i="58" s="1"/>
  <c r="H63" i="25"/>
  <c r="CT121" i="11" l="1"/>
  <c r="R8" i="11"/>
  <c r="S8" i="11" s="1"/>
  <c r="CS121" i="11"/>
  <c r="BC119" i="11"/>
  <c r="BC118" i="11"/>
  <c r="BC117" i="11"/>
  <c r="BC116" i="11"/>
  <c r="BC81" i="11"/>
  <c r="CT81" i="11" s="1"/>
  <c r="BC80" i="11"/>
  <c r="CT80" i="11" s="1"/>
  <c r="BC79" i="11"/>
  <c r="CT79" i="11" s="1"/>
  <c r="BC78" i="11"/>
  <c r="CT78" i="11" s="1"/>
  <c r="BC74" i="11"/>
  <c r="BC73" i="11"/>
  <c r="BC57" i="11"/>
  <c r="BC56" i="11"/>
  <c r="BB119" i="11"/>
  <c r="BB118" i="11"/>
  <c r="BB117" i="11"/>
  <c r="BB116" i="11"/>
  <c r="BB91" i="11"/>
  <c r="CS91" i="11" s="1"/>
  <c r="L79" i="58" s="1"/>
  <c r="N79" i="58" s="1"/>
  <c r="BB89" i="11"/>
  <c r="CS89" i="11" s="1"/>
  <c r="BB88" i="11"/>
  <c r="BB85" i="11"/>
  <c r="CS85" i="11" s="1"/>
  <c r="BB84" i="11"/>
  <c r="CS84" i="11" s="1"/>
  <c r="BB81" i="11"/>
  <c r="CS81" i="11" s="1"/>
  <c r="BB80" i="11"/>
  <c r="CS80" i="11" s="1"/>
  <c r="BB79" i="11"/>
  <c r="BB78" i="11"/>
  <c r="BB57" i="11"/>
  <c r="BB56" i="11"/>
  <c r="L39" i="58" s="1"/>
  <c r="BB45" i="11"/>
  <c r="CS45" i="11" s="1"/>
  <c r="BB44" i="11"/>
  <c r="BB43" i="11"/>
  <c r="BB40" i="11"/>
  <c r="BB38" i="11"/>
  <c r="BB36" i="11"/>
  <c r="BB35" i="11"/>
  <c r="BB33" i="11"/>
  <c r="L12" i="58"/>
  <c r="N12" i="58" s="1"/>
  <c r="BB30" i="11"/>
  <c r="BB29" i="11"/>
  <c r="BA29" i="11"/>
  <c r="CR29" i="11" s="1"/>
  <c r="BB26" i="11"/>
  <c r="BB17" i="11"/>
  <c r="CS17" i="11" s="1"/>
  <c r="L16" i="58" s="1"/>
  <c r="N16" i="58" s="1"/>
  <c r="BB16" i="11"/>
  <c r="BA13" i="11"/>
  <c r="K98" i="58"/>
  <c r="K97" i="58"/>
  <c r="O83" i="58"/>
  <c r="O82" i="58"/>
  <c r="K77" i="58"/>
  <c r="N77" i="58"/>
  <c r="K76" i="58"/>
  <c r="K73" i="58"/>
  <c r="I69" i="58"/>
  <c r="K69" i="58" s="1"/>
  <c r="I68" i="58"/>
  <c r="K68" i="58" s="1"/>
  <c r="L67" i="58"/>
  <c r="I67" i="58"/>
  <c r="L66" i="58"/>
  <c r="I66" i="58"/>
  <c r="L62" i="58"/>
  <c r="A60" i="58"/>
  <c r="A55" i="58"/>
  <c r="I44" i="58"/>
  <c r="I43" i="58"/>
  <c r="K43" i="58" s="1"/>
  <c r="I40" i="58"/>
  <c r="K40" i="58" s="1"/>
  <c r="N40" i="58"/>
  <c r="M39" i="58"/>
  <c r="I39" i="58"/>
  <c r="K39" i="58" s="1"/>
  <c r="K36" i="58"/>
  <c r="K35" i="58"/>
  <c r="I34" i="58"/>
  <c r="K34" i="58" s="1"/>
  <c r="F34" i="58"/>
  <c r="I31" i="58"/>
  <c r="F31" i="58"/>
  <c r="F29" i="58"/>
  <c r="I27" i="58"/>
  <c r="K27" i="58" s="1"/>
  <c r="F27" i="58"/>
  <c r="I26" i="58"/>
  <c r="K26" i="58" s="1"/>
  <c r="F26" i="58"/>
  <c r="N23" i="58"/>
  <c r="I23" i="58"/>
  <c r="K23" i="58" s="1"/>
  <c r="I22" i="58"/>
  <c r="K22" i="58" s="1"/>
  <c r="F22" i="58"/>
  <c r="F19" i="58"/>
  <c r="K16" i="58"/>
  <c r="F15" i="58"/>
  <c r="L8" i="58"/>
  <c r="O40" i="58" l="1"/>
  <c r="CS88" i="11"/>
  <c r="L76" i="58" s="1"/>
  <c r="N76" i="58" s="1"/>
  <c r="O76" i="58" s="1"/>
  <c r="O12" i="58"/>
  <c r="CS36" i="11"/>
  <c r="L27" i="58" s="1"/>
  <c r="CS40" i="11"/>
  <c r="L31" i="58" s="1"/>
  <c r="CS44" i="11"/>
  <c r="L35" i="58" s="1"/>
  <c r="CS26" i="11"/>
  <c r="L19" i="58" s="1"/>
  <c r="CS38" i="11"/>
  <c r="L29" i="58" s="1"/>
  <c r="CS16" i="11"/>
  <c r="L15" i="58" s="1"/>
  <c r="CS29" i="11"/>
  <c r="L22" i="58" s="1"/>
  <c r="CS35" i="11"/>
  <c r="L26" i="58" s="1"/>
  <c r="CS43" i="11"/>
  <c r="L34" i="58" s="1"/>
  <c r="N39" i="58"/>
  <c r="O39" i="58" s="1"/>
  <c r="O79" i="58"/>
  <c r="N36" i="58"/>
  <c r="O36" i="58" s="1"/>
  <c r="N73" i="58"/>
  <c r="O73" i="58" s="1"/>
  <c r="CT110" i="11"/>
  <c r="K44" i="58"/>
  <c r="I52" i="58"/>
  <c r="M89" i="58"/>
  <c r="K89" i="58"/>
  <c r="I89" i="58"/>
  <c r="N67" i="58"/>
  <c r="O67" i="58" s="1"/>
  <c r="O23" i="58"/>
  <c r="N66" i="58"/>
  <c r="O16" i="58"/>
  <c r="N72" i="58"/>
  <c r="O77" i="58"/>
  <c r="M15" i="58"/>
  <c r="M52" i="58" s="1"/>
  <c r="F35" i="58"/>
  <c r="F16" i="58"/>
  <c r="F40" i="58"/>
  <c r="F73" i="58"/>
  <c r="CS110" i="11" l="1"/>
  <c r="CS73" i="11"/>
  <c r="CS123" i="11" s="1"/>
  <c r="CT123" i="11"/>
  <c r="K52" i="58"/>
  <c r="O66" i="58"/>
  <c r="O72" i="58"/>
  <c r="M102" i="58"/>
  <c r="G42" i="54" l="1"/>
  <c r="G31" i="54"/>
  <c r="L48" i="25" l="1"/>
  <c r="L33" i="25"/>
  <c r="M33" i="25"/>
  <c r="M20" i="25" l="1"/>
  <c r="M48" i="25"/>
  <c r="M12" i="25"/>
  <c r="M40" i="25"/>
  <c r="L40" i="25"/>
  <c r="L20" i="25"/>
  <c r="L12" i="25"/>
  <c r="BA33" i="11" l="1"/>
  <c r="G52" i="55"/>
  <c r="G51" i="55"/>
  <c r="D16" i="55"/>
  <c r="G52" i="54"/>
  <c r="G51" i="54"/>
  <c r="C40" i="25" l="1"/>
  <c r="M16" i="54"/>
  <c r="G84" i="54" l="1"/>
  <c r="G83" i="54"/>
  <c r="G80" i="54"/>
  <c r="G78" i="54"/>
  <c r="G77" i="54"/>
  <c r="G74" i="54"/>
  <c r="G48" i="54"/>
  <c r="G43" i="54"/>
  <c r="G39" i="54"/>
  <c r="G37" i="54"/>
  <c r="G35" i="54"/>
  <c r="G34" i="54"/>
  <c r="G28" i="54"/>
  <c r="G25" i="54"/>
  <c r="G16" i="54"/>
  <c r="G15" i="54"/>
  <c r="C86" i="56" l="1"/>
  <c r="BA45" i="11"/>
  <c r="CR45" i="11" s="1"/>
  <c r="BA57" i="11"/>
  <c r="BA35" i="11"/>
  <c r="BA38" i="11"/>
  <c r="BA32" i="11"/>
  <c r="CR32" i="11" s="1"/>
  <c r="BA26" i="11"/>
  <c r="AZ38" i="11"/>
  <c r="CQ38" i="11" s="1"/>
  <c r="L37" i="55" s="1"/>
  <c r="N37" i="55" s="1"/>
  <c r="F34" i="55"/>
  <c r="C31" i="55"/>
  <c r="F28" i="55"/>
  <c r="C48" i="54"/>
  <c r="C43" i="54"/>
  <c r="C42" i="54"/>
  <c r="AY43" i="11"/>
  <c r="CP43" i="11" s="1"/>
  <c r="L42" i="54" s="1"/>
  <c r="N42" i="54" s="1"/>
  <c r="C39" i="54"/>
  <c r="F39" i="54" s="1"/>
  <c r="C37" i="54"/>
  <c r="C35" i="54"/>
  <c r="C34" i="54"/>
  <c r="C31" i="54"/>
  <c r="AY32" i="11"/>
  <c r="C28" i="54"/>
  <c r="C25" i="54"/>
  <c r="C16" i="54"/>
  <c r="F16" i="54"/>
  <c r="C15" i="54"/>
  <c r="AY16" i="11"/>
  <c r="CP16" i="11" s="1"/>
  <c r="L15" i="54" s="1"/>
  <c r="N15" i="54" s="1"/>
  <c r="BA16" i="11"/>
  <c r="CR16" i="11" s="1"/>
  <c r="L68" i="56"/>
  <c r="N68" i="56" s="1"/>
  <c r="O68" i="56" s="1"/>
  <c r="L67" i="56"/>
  <c r="L29" i="56"/>
  <c r="N29" i="56" s="1"/>
  <c r="O29" i="56" s="1"/>
  <c r="L22" i="56"/>
  <c r="L21" i="56"/>
  <c r="N21" i="56" s="1"/>
  <c r="O21" i="56" s="1"/>
  <c r="L18" i="56"/>
  <c r="N18" i="56" s="1"/>
  <c r="O18" i="56" s="1"/>
  <c r="L12" i="56"/>
  <c r="N12" i="56" s="1"/>
  <c r="A61" i="56"/>
  <c r="A56" i="56"/>
  <c r="I48" i="10"/>
  <c r="J50" i="10"/>
  <c r="K49" i="10"/>
  <c r="L49" i="10" s="1"/>
  <c r="K43" i="10"/>
  <c r="L43" i="10" s="1"/>
  <c r="I24" i="10"/>
  <c r="I39" i="10" s="1"/>
  <c r="I25" i="10"/>
  <c r="I40" i="10" s="1"/>
  <c r="I26" i="10"/>
  <c r="I41" i="10" s="1"/>
  <c r="I27" i="10"/>
  <c r="I42" i="10" s="1"/>
  <c r="I28" i="10"/>
  <c r="I43" i="10" s="1"/>
  <c r="I29" i="10"/>
  <c r="I44" i="10" s="1"/>
  <c r="I30" i="10"/>
  <c r="I45" i="10" s="1"/>
  <c r="I31" i="10"/>
  <c r="I46" i="10" s="1"/>
  <c r="I32" i="10"/>
  <c r="I47" i="10" s="1"/>
  <c r="I33" i="10"/>
  <c r="I34" i="10"/>
  <c r="I49" i="10" s="1"/>
  <c r="I23" i="10"/>
  <c r="I38" i="10" s="1"/>
  <c r="I22" i="10"/>
  <c r="I37" i="10" s="1"/>
  <c r="J35" i="10"/>
  <c r="K34" i="10"/>
  <c r="K28" i="10"/>
  <c r="L28" i="10" s="1"/>
  <c r="J20" i="10"/>
  <c r="K19" i="10"/>
  <c r="L19" i="10" s="1"/>
  <c r="K13" i="10"/>
  <c r="L13" i="10" s="1"/>
  <c r="N4" i="37"/>
  <c r="BA119" i="11"/>
  <c r="BA118" i="11"/>
  <c r="BA117" i="11"/>
  <c r="BA116" i="11"/>
  <c r="BA91" i="11"/>
  <c r="BA89" i="11"/>
  <c r="BA88" i="11"/>
  <c r="BA85" i="11"/>
  <c r="CR85" i="11" s="1"/>
  <c r="BA84" i="11"/>
  <c r="CR84" i="11" s="1"/>
  <c r="BA81" i="11"/>
  <c r="BA80" i="11"/>
  <c r="BA79" i="11"/>
  <c r="BA78" i="11"/>
  <c r="BA56" i="11"/>
  <c r="BA43" i="11"/>
  <c r="BA36" i="11"/>
  <c r="CR36" i="11" s="1"/>
  <c r="BA30" i="11"/>
  <c r="N21" i="57"/>
  <c r="O21" i="57" s="1"/>
  <c r="BA23" i="11"/>
  <c r="BA22" i="11"/>
  <c r="BA19" i="11"/>
  <c r="K95" i="56"/>
  <c r="K94" i="56"/>
  <c r="D86" i="56"/>
  <c r="O84" i="56"/>
  <c r="O83" i="56"/>
  <c r="I80" i="56"/>
  <c r="K80" i="56" s="1"/>
  <c r="I78" i="56"/>
  <c r="K78" i="56" s="1"/>
  <c r="M77" i="56"/>
  <c r="N77" i="56" s="1"/>
  <c r="I77" i="56"/>
  <c r="K77" i="56" s="1"/>
  <c r="M74" i="56"/>
  <c r="N74" i="56" s="1"/>
  <c r="I74" i="56"/>
  <c r="K74" i="56" s="1"/>
  <c r="N73" i="56"/>
  <c r="I73" i="56"/>
  <c r="K73" i="56" s="1"/>
  <c r="I70" i="56"/>
  <c r="K70" i="56"/>
  <c r="I69" i="56"/>
  <c r="K69" i="56" s="1"/>
  <c r="M68" i="56"/>
  <c r="I68" i="56"/>
  <c r="M67" i="56"/>
  <c r="I67" i="56"/>
  <c r="L63" i="56"/>
  <c r="D54" i="56"/>
  <c r="I52" i="56"/>
  <c r="K52" i="56" s="1"/>
  <c r="I51" i="56"/>
  <c r="K51" i="56" s="1"/>
  <c r="I48" i="56"/>
  <c r="K48" i="56" s="1"/>
  <c r="K47" i="56"/>
  <c r="M44" i="56"/>
  <c r="N44" i="56" s="1"/>
  <c r="I44" i="56"/>
  <c r="K44" i="56" s="1"/>
  <c r="I43" i="56"/>
  <c r="K43" i="56" s="1"/>
  <c r="I42" i="56"/>
  <c r="K42" i="56" s="1"/>
  <c r="F42" i="56"/>
  <c r="I39" i="56"/>
  <c r="K39" i="56" s="1"/>
  <c r="I37" i="56"/>
  <c r="K37" i="56" s="1"/>
  <c r="F37" i="56"/>
  <c r="I35" i="56"/>
  <c r="K35" i="56" s="1"/>
  <c r="F35" i="56"/>
  <c r="I34" i="56"/>
  <c r="K34" i="56" s="1"/>
  <c r="F34" i="56"/>
  <c r="I31" i="56"/>
  <c r="K31" i="56" s="1"/>
  <c r="F31" i="56"/>
  <c r="I29" i="56"/>
  <c r="K29" i="56"/>
  <c r="I28" i="56"/>
  <c r="K28" i="56" s="1"/>
  <c r="I25" i="56"/>
  <c r="K25" i="56" s="1"/>
  <c r="M22" i="56"/>
  <c r="I22" i="56"/>
  <c r="K22" i="56"/>
  <c r="K21" i="56"/>
  <c r="I21" i="56"/>
  <c r="M18" i="56"/>
  <c r="I18" i="56"/>
  <c r="K18" i="56" s="1"/>
  <c r="I16" i="56"/>
  <c r="K16" i="56" s="1"/>
  <c r="M12" i="56"/>
  <c r="I12" i="56"/>
  <c r="L8" i="56"/>
  <c r="CR121" i="11"/>
  <c r="L47" i="57"/>
  <c r="N47" i="57" s="1"/>
  <c r="O47" i="57" s="1"/>
  <c r="L46" i="57"/>
  <c r="N46" i="57" s="1"/>
  <c r="O46" i="57" s="1"/>
  <c r="I73" i="55"/>
  <c r="K73" i="55" s="1"/>
  <c r="M74" i="55"/>
  <c r="N74" i="55" s="1"/>
  <c r="I74" i="55"/>
  <c r="K74" i="55" s="1"/>
  <c r="M78" i="55"/>
  <c r="N78" i="55" s="1"/>
  <c r="I78" i="55"/>
  <c r="K78" i="55" s="1"/>
  <c r="M80" i="55"/>
  <c r="N80" i="55" s="1"/>
  <c r="I80" i="55"/>
  <c r="K80" i="55" s="1"/>
  <c r="I77" i="55"/>
  <c r="K77" i="55" s="1"/>
  <c r="D86" i="55"/>
  <c r="M15" i="55"/>
  <c r="I15" i="55"/>
  <c r="K15" i="55" s="1"/>
  <c r="I16" i="55"/>
  <c r="K16" i="55"/>
  <c r="I25" i="55"/>
  <c r="K25" i="55" s="1"/>
  <c r="I28" i="55"/>
  <c r="K28" i="55" s="1"/>
  <c r="I31" i="55"/>
  <c r="K31" i="55" s="1"/>
  <c r="I34" i="55"/>
  <c r="K34" i="55"/>
  <c r="I35" i="55"/>
  <c r="K35" i="55" s="1"/>
  <c r="I37" i="55"/>
  <c r="K37" i="55"/>
  <c r="I39" i="55"/>
  <c r="K39" i="55" s="1"/>
  <c r="I42" i="55"/>
  <c r="K42" i="55" s="1"/>
  <c r="I43" i="55"/>
  <c r="K43" i="55" s="1"/>
  <c r="M44" i="55"/>
  <c r="N44" i="55" s="1"/>
  <c r="I44" i="55"/>
  <c r="K44" i="55" s="1"/>
  <c r="M48" i="55"/>
  <c r="N48" i="55" s="1"/>
  <c r="I48" i="55"/>
  <c r="K48" i="55" s="1"/>
  <c r="I47" i="55"/>
  <c r="K47" i="55" s="1"/>
  <c r="O47" i="55" s="1"/>
  <c r="D54" i="55"/>
  <c r="O84" i="55"/>
  <c r="O83" i="55"/>
  <c r="I52" i="55"/>
  <c r="K52" i="55" s="1"/>
  <c r="I51" i="55"/>
  <c r="K51" i="55" s="1"/>
  <c r="AZ80" i="11"/>
  <c r="CQ80" i="11" s="1"/>
  <c r="L69" i="55" s="1"/>
  <c r="N69" i="55" s="1"/>
  <c r="AZ81" i="11"/>
  <c r="CQ81" i="11" s="1"/>
  <c r="I73" i="54"/>
  <c r="K73" i="54" s="1"/>
  <c r="I74" i="54"/>
  <c r="I77" i="54"/>
  <c r="K77" i="54" s="1"/>
  <c r="I78" i="54"/>
  <c r="K78" i="54" s="1"/>
  <c r="I80" i="54"/>
  <c r="K80" i="54" s="1"/>
  <c r="D86" i="54"/>
  <c r="O83" i="54"/>
  <c r="O84" i="54"/>
  <c r="L12" i="54"/>
  <c r="I15" i="54"/>
  <c r="K15" i="54"/>
  <c r="L18" i="54"/>
  <c r="N18" i="54" s="1"/>
  <c r="L21" i="54"/>
  <c r="N21" i="54" s="1"/>
  <c r="L22" i="54"/>
  <c r="I25" i="54"/>
  <c r="K25" i="54"/>
  <c r="I28" i="54"/>
  <c r="K28" i="54"/>
  <c r="L29" i="54"/>
  <c r="N29" i="54" s="1"/>
  <c r="I31" i="54"/>
  <c r="K31" i="54" s="1"/>
  <c r="I34" i="54"/>
  <c r="K34" i="54"/>
  <c r="I35" i="54"/>
  <c r="K35" i="54" s="1"/>
  <c r="AY38" i="11"/>
  <c r="CP38" i="11" s="1"/>
  <c r="L37" i="54" s="1"/>
  <c r="N37" i="54" s="1"/>
  <c r="I37" i="54"/>
  <c r="K37" i="54" s="1"/>
  <c r="I39" i="54"/>
  <c r="K39" i="54" s="1"/>
  <c r="I42" i="54"/>
  <c r="K42" i="54" s="1"/>
  <c r="I43" i="54"/>
  <c r="K43" i="54" s="1"/>
  <c r="I16" i="54"/>
  <c r="K16" i="54" s="1"/>
  <c r="I44" i="54"/>
  <c r="K44" i="54"/>
  <c r="I47" i="54"/>
  <c r="K47" i="54" s="1"/>
  <c r="I48" i="54"/>
  <c r="K48" i="54" s="1"/>
  <c r="I52" i="54"/>
  <c r="K52" i="54" s="1"/>
  <c r="I51" i="54"/>
  <c r="K51" i="54"/>
  <c r="D54" i="54"/>
  <c r="G86" i="54"/>
  <c r="G47" i="54"/>
  <c r="N16" i="54"/>
  <c r="F48" i="55"/>
  <c r="AZ32" i="11"/>
  <c r="CQ32" i="11" s="1"/>
  <c r="L31" i="55" s="1"/>
  <c r="N31" i="55" s="1"/>
  <c r="C86" i="54"/>
  <c r="AY44" i="11"/>
  <c r="CP44" i="11" s="1"/>
  <c r="L43" i="54" s="1"/>
  <c r="N43" i="54" s="1"/>
  <c r="AY36" i="11"/>
  <c r="CP36" i="11" s="1"/>
  <c r="L35" i="54" s="1"/>
  <c r="N35" i="54" s="1"/>
  <c r="AY40" i="11"/>
  <c r="CP40" i="11" s="1"/>
  <c r="L39" i="54" s="1"/>
  <c r="N39" i="54" s="1"/>
  <c r="O39" i="54" s="1"/>
  <c r="AY29" i="11"/>
  <c r="CP29" i="11" s="1"/>
  <c r="L28" i="54" s="1"/>
  <c r="N28" i="54" s="1"/>
  <c r="O28" i="54" s="1"/>
  <c r="AY26" i="11"/>
  <c r="CP26" i="11" s="1"/>
  <c r="L25" i="54" s="1"/>
  <c r="N25" i="54" s="1"/>
  <c r="I67" i="54"/>
  <c r="I68" i="54"/>
  <c r="I69" i="54"/>
  <c r="I70" i="54"/>
  <c r="F43" i="54"/>
  <c r="C84" i="53"/>
  <c r="C78" i="53"/>
  <c r="C77" i="53"/>
  <c r="C74" i="53"/>
  <c r="C52" i="53"/>
  <c r="C51" i="53"/>
  <c r="C48" i="53"/>
  <c r="C47" i="53"/>
  <c r="C42" i="53"/>
  <c r="C39" i="53"/>
  <c r="C37" i="53"/>
  <c r="C35" i="53"/>
  <c r="C34" i="53"/>
  <c r="C31" i="53"/>
  <c r="C28" i="53"/>
  <c r="C25" i="53"/>
  <c r="C16" i="53"/>
  <c r="C15" i="53"/>
  <c r="G84" i="53"/>
  <c r="G82" i="53"/>
  <c r="G81" i="53"/>
  <c r="G78" i="53"/>
  <c r="G77" i="53"/>
  <c r="G74" i="53"/>
  <c r="G73" i="53"/>
  <c r="G52" i="53"/>
  <c r="G51" i="53"/>
  <c r="G48" i="53"/>
  <c r="G47" i="53"/>
  <c r="M47" i="53" s="1"/>
  <c r="G44" i="53"/>
  <c r="G43" i="53"/>
  <c r="G42" i="53"/>
  <c r="G39" i="53"/>
  <c r="G37" i="53"/>
  <c r="G35" i="53"/>
  <c r="G34" i="53"/>
  <c r="G31" i="53"/>
  <c r="G28" i="53"/>
  <c r="G25" i="53"/>
  <c r="G16" i="53"/>
  <c r="G15" i="53"/>
  <c r="M15" i="53" s="1"/>
  <c r="I67" i="55"/>
  <c r="I68" i="55"/>
  <c r="I69" i="55"/>
  <c r="I70" i="55"/>
  <c r="K70" i="55" s="1"/>
  <c r="I12" i="55"/>
  <c r="I18" i="55"/>
  <c r="I21" i="55"/>
  <c r="I22" i="55"/>
  <c r="K22" i="55" s="1"/>
  <c r="I29" i="55"/>
  <c r="K29" i="55" s="1"/>
  <c r="I12" i="54"/>
  <c r="I18" i="54"/>
  <c r="K18" i="54" s="1"/>
  <c r="I21" i="54"/>
  <c r="K21" i="54" s="1"/>
  <c r="I22" i="54"/>
  <c r="I29" i="54"/>
  <c r="K29" i="54" s="1"/>
  <c r="CQ95" i="11"/>
  <c r="CQ94" i="11"/>
  <c r="CP95" i="11"/>
  <c r="CP94" i="11"/>
  <c r="AZ91" i="11"/>
  <c r="CQ91" i="11" s="1"/>
  <c r="AY91" i="11"/>
  <c r="CP91" i="11" s="1"/>
  <c r="AZ89" i="11"/>
  <c r="CQ89" i="11" s="1"/>
  <c r="AZ88" i="11"/>
  <c r="CQ88" i="11" s="1"/>
  <c r="AY89" i="11"/>
  <c r="CP89" i="11" s="1"/>
  <c r="AY88" i="11"/>
  <c r="CP88" i="11" s="1"/>
  <c r="AZ85" i="11"/>
  <c r="CQ85" i="11" s="1"/>
  <c r="AZ84" i="11"/>
  <c r="CQ84" i="11" s="1"/>
  <c r="AY85" i="11"/>
  <c r="CP85" i="11" s="1"/>
  <c r="AY84" i="11"/>
  <c r="CP84" i="11" s="1"/>
  <c r="AY81" i="11"/>
  <c r="CP81" i="11" s="1"/>
  <c r="AY80" i="11"/>
  <c r="CP80" i="11" s="1"/>
  <c r="CQ61" i="11"/>
  <c r="CQ60" i="11"/>
  <c r="CP61" i="11"/>
  <c r="CP60" i="11"/>
  <c r="AZ57" i="11"/>
  <c r="CQ57" i="11" s="1"/>
  <c r="AZ56" i="11"/>
  <c r="CQ56" i="11" s="1"/>
  <c r="AY57" i="11"/>
  <c r="CP57" i="11" s="1"/>
  <c r="AY56" i="11"/>
  <c r="CP56" i="11" s="1"/>
  <c r="AZ45" i="11"/>
  <c r="CQ45" i="11" s="1"/>
  <c r="AZ44" i="11"/>
  <c r="CQ44" i="11" s="1"/>
  <c r="L43" i="55" s="1"/>
  <c r="N43" i="55" s="1"/>
  <c r="AZ43" i="11"/>
  <c r="CQ43" i="11" s="1"/>
  <c r="L42" i="55" s="1"/>
  <c r="N42" i="55" s="1"/>
  <c r="AY45" i="11"/>
  <c r="CP45" i="11" s="1"/>
  <c r="AZ40" i="11"/>
  <c r="CQ40" i="11" s="1"/>
  <c r="L39" i="55" s="1"/>
  <c r="N39" i="55" s="1"/>
  <c r="AZ35" i="11"/>
  <c r="CQ35" i="11" s="1"/>
  <c r="L34" i="55" s="1"/>
  <c r="N34" i="55" s="1"/>
  <c r="AZ26" i="11"/>
  <c r="CQ26" i="11" s="1"/>
  <c r="L25" i="55" s="1"/>
  <c r="N25" i="55" s="1"/>
  <c r="AZ17" i="11"/>
  <c r="CQ17" i="11" s="1"/>
  <c r="AY17" i="11"/>
  <c r="CP17" i="11" s="1"/>
  <c r="CP121" i="11"/>
  <c r="AZ118" i="11"/>
  <c r="AZ119" i="11"/>
  <c r="AZ117" i="11"/>
  <c r="AZ116" i="11"/>
  <c r="AZ79" i="11"/>
  <c r="AZ78" i="11"/>
  <c r="AZ30" i="11"/>
  <c r="AZ23" i="11"/>
  <c r="AZ22" i="11"/>
  <c r="AZ19" i="11"/>
  <c r="AZ13" i="11"/>
  <c r="L67" i="55"/>
  <c r="N67" i="55" s="1"/>
  <c r="O67" i="55" s="1"/>
  <c r="M67" i="55"/>
  <c r="L68" i="55"/>
  <c r="M68" i="55"/>
  <c r="K69" i="55"/>
  <c r="M77" i="55"/>
  <c r="N77" i="55"/>
  <c r="L67" i="54"/>
  <c r="N67" i="54" s="1"/>
  <c r="O67" i="54" s="1"/>
  <c r="M67" i="54"/>
  <c r="L68" i="54"/>
  <c r="N68" i="54" s="1"/>
  <c r="O68" i="54" s="1"/>
  <c r="M68" i="54"/>
  <c r="K69" i="54"/>
  <c r="K70" i="54"/>
  <c r="M74" i="54"/>
  <c r="N74" i="54"/>
  <c r="M77" i="54"/>
  <c r="N77" i="54" s="1"/>
  <c r="M78" i="54"/>
  <c r="N78" i="54" s="1"/>
  <c r="M80" i="54"/>
  <c r="N80" i="54" s="1"/>
  <c r="L12" i="55"/>
  <c r="N12" i="55" s="1"/>
  <c r="M12" i="55"/>
  <c r="K12" i="55"/>
  <c r="L18" i="55"/>
  <c r="N18" i="55" s="1"/>
  <c r="M18" i="55"/>
  <c r="K18" i="55"/>
  <c r="L21" i="55"/>
  <c r="N21" i="55" s="1"/>
  <c r="K21" i="55"/>
  <c r="L22" i="55"/>
  <c r="M22" i="55"/>
  <c r="L29" i="55"/>
  <c r="N29" i="55" s="1"/>
  <c r="M47" i="55"/>
  <c r="N47" i="55" s="1"/>
  <c r="M12" i="54"/>
  <c r="K12" i="54"/>
  <c r="M15" i="54"/>
  <c r="M18" i="54"/>
  <c r="M22" i="54"/>
  <c r="K22" i="54"/>
  <c r="M44" i="54"/>
  <c r="N44" i="54" s="1"/>
  <c r="M47" i="54"/>
  <c r="N47" i="54"/>
  <c r="M48" i="54"/>
  <c r="N48" i="54" s="1"/>
  <c r="L8" i="55"/>
  <c r="F25" i="55"/>
  <c r="F31" i="55"/>
  <c r="F39" i="55"/>
  <c r="F43" i="55"/>
  <c r="L63" i="55"/>
  <c r="F78" i="55"/>
  <c r="F80" i="55"/>
  <c r="K94" i="55"/>
  <c r="K95" i="55"/>
  <c r="L67" i="53"/>
  <c r="L68" i="53"/>
  <c r="AX80" i="11"/>
  <c r="CO80" i="11" s="1"/>
  <c r="L69" i="53" s="1"/>
  <c r="N69" i="53" s="1"/>
  <c r="O69" i="53" s="1"/>
  <c r="AX81" i="11"/>
  <c r="CO81" i="11" s="1"/>
  <c r="L70" i="53" s="1"/>
  <c r="N70" i="53" s="1"/>
  <c r="O70" i="53" s="1"/>
  <c r="I73" i="53"/>
  <c r="K73" i="53" s="1"/>
  <c r="M73" i="53"/>
  <c r="N73" i="53" s="1"/>
  <c r="I74" i="53"/>
  <c r="K74" i="53"/>
  <c r="M74" i="53"/>
  <c r="I77" i="53"/>
  <c r="K77" i="53"/>
  <c r="M77" i="53"/>
  <c r="N77" i="53" s="1"/>
  <c r="I78" i="53"/>
  <c r="K78" i="53"/>
  <c r="O78" i="53" s="1"/>
  <c r="M78" i="53"/>
  <c r="N78" i="53"/>
  <c r="I84" i="53"/>
  <c r="K84" i="53" s="1"/>
  <c r="M84" i="53"/>
  <c r="N84" i="53"/>
  <c r="O81" i="53"/>
  <c r="O82" i="53"/>
  <c r="L67" i="52"/>
  <c r="L68" i="52"/>
  <c r="N68" i="52" s="1"/>
  <c r="O68" i="52" s="1"/>
  <c r="AW80" i="11"/>
  <c r="CN80" i="11" s="1"/>
  <c r="L69" i="52" s="1"/>
  <c r="N69" i="52" s="1"/>
  <c r="AW81" i="11"/>
  <c r="CN81" i="11" s="1"/>
  <c r="L70" i="52" s="1"/>
  <c r="N70" i="52" s="1"/>
  <c r="I73" i="52"/>
  <c r="K73" i="52"/>
  <c r="I74" i="52"/>
  <c r="K74" i="52" s="1"/>
  <c r="I77" i="52"/>
  <c r="K77" i="52"/>
  <c r="I78" i="52"/>
  <c r="K78" i="52" s="1"/>
  <c r="L12" i="53"/>
  <c r="N12" i="53" s="1"/>
  <c r="O12" i="53" s="1"/>
  <c r="AX16" i="11"/>
  <c r="CO16" i="11" s="1"/>
  <c r="L15" i="53" s="1"/>
  <c r="N15" i="53" s="1"/>
  <c r="O15" i="53" s="1"/>
  <c r="I15" i="53"/>
  <c r="K15" i="53"/>
  <c r="L18" i="53"/>
  <c r="N18" i="53" s="1"/>
  <c r="O18" i="53" s="1"/>
  <c r="L21" i="53"/>
  <c r="L22" i="53"/>
  <c r="N22" i="53" s="1"/>
  <c r="O22" i="53" s="1"/>
  <c r="AX26" i="11"/>
  <c r="CO26" i="11" s="1"/>
  <c r="L25" i="53" s="1"/>
  <c r="N25" i="53" s="1"/>
  <c r="I25" i="53"/>
  <c r="K25" i="53"/>
  <c r="AX29" i="11"/>
  <c r="CO29" i="11" s="1"/>
  <c r="L28" i="53" s="1"/>
  <c r="N28" i="53" s="1"/>
  <c r="I28" i="53"/>
  <c r="K28" i="53" s="1"/>
  <c r="L29" i="53"/>
  <c r="N29" i="53" s="1"/>
  <c r="AX32" i="11"/>
  <c r="CO32" i="11" s="1"/>
  <c r="L31" i="53" s="1"/>
  <c r="N31" i="53" s="1"/>
  <c r="I31" i="53"/>
  <c r="K31" i="53"/>
  <c r="AX35" i="11"/>
  <c r="CO35" i="11" s="1"/>
  <c r="L34" i="53" s="1"/>
  <c r="N34" i="53" s="1"/>
  <c r="O34" i="53" s="1"/>
  <c r="I34" i="53"/>
  <c r="K34" i="53"/>
  <c r="AX36" i="11"/>
  <c r="CO36" i="11" s="1"/>
  <c r="L35" i="53" s="1"/>
  <c r="N35" i="53" s="1"/>
  <c r="I35" i="53"/>
  <c r="K35" i="53" s="1"/>
  <c r="AX38" i="11"/>
  <c r="CO38" i="11" s="1"/>
  <c r="L37" i="53" s="1"/>
  <c r="N37" i="53" s="1"/>
  <c r="O37" i="53" s="1"/>
  <c r="I37" i="53"/>
  <c r="K37" i="53"/>
  <c r="AX40" i="11"/>
  <c r="CO40" i="11" s="1"/>
  <c r="L39" i="53" s="1"/>
  <c r="N39" i="53" s="1"/>
  <c r="I39" i="53"/>
  <c r="K39" i="53"/>
  <c r="AX43" i="11"/>
  <c r="CO43" i="11" s="1"/>
  <c r="L42" i="53" s="1"/>
  <c r="N42" i="53" s="1"/>
  <c r="O42" i="53" s="1"/>
  <c r="I42" i="53"/>
  <c r="K42" i="53" s="1"/>
  <c r="AX44" i="11"/>
  <c r="CO44" i="11" s="1"/>
  <c r="L43" i="53" s="1"/>
  <c r="N43" i="53" s="1"/>
  <c r="I43" i="53"/>
  <c r="K43" i="53" s="1"/>
  <c r="AX60" i="11"/>
  <c r="CO60" i="11" s="1"/>
  <c r="L51" i="53" s="1"/>
  <c r="N51" i="53" s="1"/>
  <c r="O51" i="53" s="1"/>
  <c r="I51" i="53"/>
  <c r="K51" i="53"/>
  <c r="AX61" i="11"/>
  <c r="CO61" i="11" s="1"/>
  <c r="L52" i="53" s="1"/>
  <c r="N52" i="53" s="1"/>
  <c r="O52" i="53" s="1"/>
  <c r="I52" i="53"/>
  <c r="K52" i="53"/>
  <c r="I16" i="53"/>
  <c r="K16" i="53"/>
  <c r="O16" i="53" s="1"/>
  <c r="I44" i="53"/>
  <c r="K44" i="53" s="1"/>
  <c r="N44" i="53"/>
  <c r="I47" i="53"/>
  <c r="K47" i="53"/>
  <c r="N47" i="53"/>
  <c r="I48" i="53"/>
  <c r="K48" i="53"/>
  <c r="M48" i="53"/>
  <c r="N48" i="53"/>
  <c r="L12" i="52"/>
  <c r="N12" i="52" s="1"/>
  <c r="AW16" i="11"/>
  <c r="CN16" i="11" s="1"/>
  <c r="L15" i="52" s="1"/>
  <c r="I15" i="52"/>
  <c r="K15" i="52"/>
  <c r="L18" i="52"/>
  <c r="L21" i="52"/>
  <c r="N21" i="52" s="1"/>
  <c r="L22" i="52"/>
  <c r="N22" i="52" s="1"/>
  <c r="O22" i="52" s="1"/>
  <c r="AW26" i="11"/>
  <c r="CN26" i="11" s="1"/>
  <c r="L25" i="52" s="1"/>
  <c r="N25" i="52" s="1"/>
  <c r="O25" i="52" s="1"/>
  <c r="AW29" i="11"/>
  <c r="CN29" i="11" s="1"/>
  <c r="L28" i="52" s="1"/>
  <c r="N28" i="52" s="1"/>
  <c r="L29" i="52"/>
  <c r="N29" i="52" s="1"/>
  <c r="AW32" i="11"/>
  <c r="CN32" i="11" s="1"/>
  <c r="L31" i="52" s="1"/>
  <c r="N31" i="52" s="1"/>
  <c r="AW35" i="11"/>
  <c r="CN35" i="11" s="1"/>
  <c r="L34" i="52" s="1"/>
  <c r="N34" i="52" s="1"/>
  <c r="I34" i="52"/>
  <c r="K34" i="52"/>
  <c r="AW36" i="11"/>
  <c r="CN36" i="11" s="1"/>
  <c r="L35" i="52" s="1"/>
  <c r="N35" i="52" s="1"/>
  <c r="O35" i="52" s="1"/>
  <c r="I35" i="52"/>
  <c r="K35" i="52" s="1"/>
  <c r="AW38" i="11"/>
  <c r="CN38" i="11" s="1"/>
  <c r="L37" i="52" s="1"/>
  <c r="N37" i="52" s="1"/>
  <c r="I37" i="52"/>
  <c r="K37" i="52"/>
  <c r="AW40" i="11"/>
  <c r="CN40" i="11" s="1"/>
  <c r="L39" i="52" s="1"/>
  <c r="N39" i="52" s="1"/>
  <c r="AW43" i="11"/>
  <c r="CN43" i="11" s="1"/>
  <c r="L42" i="52" s="1"/>
  <c r="N42" i="52" s="1"/>
  <c r="O42" i="52" s="1"/>
  <c r="AW44" i="11"/>
  <c r="CN44" i="11" s="1"/>
  <c r="L43" i="52" s="1"/>
  <c r="N43" i="52" s="1"/>
  <c r="O43" i="52" s="1"/>
  <c r="AW60" i="11"/>
  <c r="CN60" i="11" s="1"/>
  <c r="L51" i="54" s="1"/>
  <c r="N51" i="54" s="1"/>
  <c r="AW61" i="11"/>
  <c r="CN61" i="11" s="1"/>
  <c r="L52" i="52" s="1"/>
  <c r="N52" i="52" s="1"/>
  <c r="O52" i="52" s="1"/>
  <c r="I12" i="52"/>
  <c r="I16" i="52"/>
  <c r="I18" i="52"/>
  <c r="K18" i="52" s="1"/>
  <c r="I21" i="52"/>
  <c r="I22" i="52"/>
  <c r="I25" i="52"/>
  <c r="I28" i="52"/>
  <c r="K28" i="52" s="1"/>
  <c r="I29" i="52"/>
  <c r="I31" i="52"/>
  <c r="I39" i="52"/>
  <c r="I42" i="52"/>
  <c r="I43" i="52"/>
  <c r="I44" i="52"/>
  <c r="I47" i="52"/>
  <c r="I48" i="52"/>
  <c r="I51" i="52"/>
  <c r="I52" i="52"/>
  <c r="I12" i="53"/>
  <c r="I18" i="53"/>
  <c r="I21" i="53"/>
  <c r="I22" i="53"/>
  <c r="I29" i="53"/>
  <c r="G82" i="52"/>
  <c r="G73" i="52"/>
  <c r="G74" i="52"/>
  <c r="M74" i="52"/>
  <c r="G77" i="52"/>
  <c r="G78" i="52"/>
  <c r="G81" i="52"/>
  <c r="G84" i="52"/>
  <c r="G15" i="52"/>
  <c r="G16" i="52"/>
  <c r="G25" i="52"/>
  <c r="G28" i="52"/>
  <c r="G31" i="52"/>
  <c r="G34" i="52"/>
  <c r="G35" i="52"/>
  <c r="G37" i="52"/>
  <c r="G39" i="52"/>
  <c r="G42" i="52"/>
  <c r="G43" i="52"/>
  <c r="G44" i="52"/>
  <c r="G47" i="52"/>
  <c r="G48" i="52"/>
  <c r="M48" i="52" s="1"/>
  <c r="G51" i="52"/>
  <c r="G52" i="52"/>
  <c r="M78" i="52"/>
  <c r="N78" i="52" s="1"/>
  <c r="M84" i="52"/>
  <c r="I84" i="52"/>
  <c r="I67" i="52"/>
  <c r="I68" i="52"/>
  <c r="I69" i="52"/>
  <c r="I70" i="52"/>
  <c r="I67" i="53"/>
  <c r="I68" i="53"/>
  <c r="I86" i="53"/>
  <c r="I69" i="53"/>
  <c r="I70" i="53"/>
  <c r="E57" i="10"/>
  <c r="E59" i="10"/>
  <c r="E20" i="10" s="1"/>
  <c r="D8" i="11"/>
  <c r="E8" i="11" s="1"/>
  <c r="F8" i="11" s="1"/>
  <c r="G8" i="11" s="1"/>
  <c r="H8" i="11" s="1"/>
  <c r="I8" i="11" s="1"/>
  <c r="J8" i="11" s="1"/>
  <c r="K8" i="11" s="1"/>
  <c r="L8" i="11" s="1"/>
  <c r="T8" i="11" s="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AI8" i="11" s="1"/>
  <c r="AJ8" i="11" s="1"/>
  <c r="AK8" i="11" s="1"/>
  <c r="AL8" i="11" s="1"/>
  <c r="AM8" i="11" s="1"/>
  <c r="AN8" i="11" s="1"/>
  <c r="AO8" i="11" s="1"/>
  <c r="AP8" i="11" s="1"/>
  <c r="AQ8" i="11" s="1"/>
  <c r="AR8" i="11" s="1"/>
  <c r="AS8" i="11" s="1"/>
  <c r="AT8" i="11" s="1"/>
  <c r="AU8" i="11" s="1"/>
  <c r="AV8" i="11" s="1"/>
  <c r="AW8" i="11" s="1"/>
  <c r="AX8" i="11" s="1"/>
  <c r="AY8" i="11" s="1"/>
  <c r="AZ8" i="11" s="1"/>
  <c r="BA8" i="11" s="1"/>
  <c r="AB13" i="11"/>
  <c r="AC13" i="11"/>
  <c r="BT13" i="11" s="1"/>
  <c r="K17" i="26" s="1"/>
  <c r="M17" i="26" s="1"/>
  <c r="N17" i="26" s="1"/>
  <c r="AD13" i="11"/>
  <c r="BU13" i="11" s="1"/>
  <c r="K17" i="27" s="1"/>
  <c r="AE13" i="11"/>
  <c r="BV13" i="11" s="1"/>
  <c r="K12" i="29" s="1"/>
  <c r="M12" i="29" s="1"/>
  <c r="AF13" i="11"/>
  <c r="BW13" i="11" s="1"/>
  <c r="K12" i="31" s="1"/>
  <c r="M12" i="31" s="1"/>
  <c r="AG13" i="11"/>
  <c r="BX13" i="11" s="1"/>
  <c r="AH13" i="11"/>
  <c r="BY13" i="11" s="1"/>
  <c r="K12" i="33" s="1"/>
  <c r="M12" i="33" s="1"/>
  <c r="N12" i="33" s="1"/>
  <c r="AI13" i="11"/>
  <c r="BZ13" i="11" s="1"/>
  <c r="K12" i="34" s="1"/>
  <c r="M12" i="34" s="1"/>
  <c r="N12" i="34" s="1"/>
  <c r="AJ13" i="11"/>
  <c r="CA13" i="11" s="1"/>
  <c r="K12" i="35" s="1"/>
  <c r="M12" i="35" s="1"/>
  <c r="N12" i="35" s="1"/>
  <c r="AK13" i="11"/>
  <c r="CB13" i="11" s="1"/>
  <c r="AL13" i="11"/>
  <c r="CC13" i="11" s="1"/>
  <c r="K12" i="37" s="1"/>
  <c r="M12" i="37" s="1"/>
  <c r="N12" i="37" s="1"/>
  <c r="AM13" i="11"/>
  <c r="CD13" i="11" s="1"/>
  <c r="K12" i="41" s="1"/>
  <c r="M12" i="41" s="1"/>
  <c r="AN13" i="11"/>
  <c r="CE13" i="11" s="1"/>
  <c r="K12" i="40" s="1"/>
  <c r="AO13" i="11"/>
  <c r="CF13" i="11" s="1"/>
  <c r="K12" i="42" s="1"/>
  <c r="M12" i="42" s="1"/>
  <c r="AP13" i="11"/>
  <c r="AQ13" i="11"/>
  <c r="AR13" i="11"/>
  <c r="AS13" i="11"/>
  <c r="AT13" i="11"/>
  <c r="AU13" i="11"/>
  <c r="AV13" i="11"/>
  <c r="AW13" i="11"/>
  <c r="AX13" i="11"/>
  <c r="AY13" i="11"/>
  <c r="BR13" i="11"/>
  <c r="K17" i="13" s="1"/>
  <c r="M17" i="13" s="1"/>
  <c r="AB16" i="11"/>
  <c r="BS16" i="11" s="1"/>
  <c r="K18" i="12" s="1"/>
  <c r="AC16" i="11"/>
  <c r="BT16" i="11" s="1"/>
  <c r="K18" i="26" s="1"/>
  <c r="AD16" i="11"/>
  <c r="BU16" i="11" s="1"/>
  <c r="K18" i="27" s="1"/>
  <c r="M18" i="27" s="1"/>
  <c r="AE16" i="11"/>
  <c r="BV16" i="11" s="1"/>
  <c r="AF16" i="11"/>
  <c r="BW16" i="11" s="1"/>
  <c r="K15" i="31" s="1"/>
  <c r="M15" i="31" s="1"/>
  <c r="AG16" i="11"/>
  <c r="BX16" i="11" s="1"/>
  <c r="AH16" i="11"/>
  <c r="BY16" i="11" s="1"/>
  <c r="K15" i="33" s="1"/>
  <c r="M15" i="33" s="1"/>
  <c r="AI16" i="11"/>
  <c r="BZ16" i="11" s="1"/>
  <c r="K15" i="34" s="1"/>
  <c r="M15" i="34" s="1"/>
  <c r="N15" i="34" s="1"/>
  <c r="AJ16" i="11"/>
  <c r="CA16" i="11" s="1"/>
  <c r="K15" i="35" s="1"/>
  <c r="M15" i="35" s="1"/>
  <c r="AK16" i="11"/>
  <c r="CB16" i="11" s="1"/>
  <c r="K15" i="36" s="1"/>
  <c r="M15" i="36" s="1"/>
  <c r="AL16" i="11"/>
  <c r="CC16" i="11" s="1"/>
  <c r="K15" i="37" s="1"/>
  <c r="M15" i="37" s="1"/>
  <c r="AM16" i="11"/>
  <c r="AN16" i="11"/>
  <c r="CE16" i="11" s="1"/>
  <c r="K15" i="40" s="1"/>
  <c r="M15" i="40" s="1"/>
  <c r="N15" i="40" s="1"/>
  <c r="AO16" i="11"/>
  <c r="CF16" i="11" s="1"/>
  <c r="K15" i="42" s="1"/>
  <c r="AP16" i="11"/>
  <c r="CG16" i="11" s="1"/>
  <c r="K15" i="44" s="1"/>
  <c r="AQ16" i="11"/>
  <c r="CH16" i="11" s="1"/>
  <c r="L15" i="45" s="1"/>
  <c r="AR16" i="11"/>
  <c r="CI16" i="11" s="1"/>
  <c r="L15" i="47" s="1"/>
  <c r="N15" i="47" s="1"/>
  <c r="O15" i="47" s="1"/>
  <c r="AS16" i="11"/>
  <c r="CJ16" i="11" s="1"/>
  <c r="L15" i="49" s="1"/>
  <c r="N15" i="49" s="1"/>
  <c r="AT16" i="11"/>
  <c r="CK16" i="11" s="1"/>
  <c r="L15" i="48" s="1"/>
  <c r="N15" i="48" s="1"/>
  <c r="O15" i="48" s="1"/>
  <c r="C15" i="50"/>
  <c r="AU16" i="11"/>
  <c r="CL16" i="11" s="1"/>
  <c r="L15" i="50" s="1"/>
  <c r="N15" i="50" s="1"/>
  <c r="O15" i="50" s="1"/>
  <c r="AV16" i="11"/>
  <c r="CM16" i="11" s="1"/>
  <c r="L15" i="51" s="1"/>
  <c r="BR16" i="11"/>
  <c r="K18" i="13" s="1"/>
  <c r="AB17" i="11"/>
  <c r="BS17" i="11" s="1"/>
  <c r="K19" i="12" s="1"/>
  <c r="M19" i="12" s="1"/>
  <c r="N19" i="12" s="1"/>
  <c r="AC17" i="11"/>
  <c r="AD17" i="11"/>
  <c r="BU17" i="11" s="1"/>
  <c r="K19" i="27" s="1"/>
  <c r="M19" i="27" s="1"/>
  <c r="AE17" i="11"/>
  <c r="BV17" i="11" s="1"/>
  <c r="K16" i="29" s="1"/>
  <c r="AF17" i="11"/>
  <c r="BW17" i="11" s="1"/>
  <c r="K16" i="31" s="1"/>
  <c r="M16" i="31" s="1"/>
  <c r="AG17" i="11"/>
  <c r="BX17" i="11" s="1"/>
  <c r="AH17" i="11"/>
  <c r="BY17" i="11" s="1"/>
  <c r="K16" i="33" s="1"/>
  <c r="M16" i="33" s="1"/>
  <c r="AI17" i="11"/>
  <c r="BZ17" i="11" s="1"/>
  <c r="K16" i="34" s="1"/>
  <c r="M16" i="34" s="1"/>
  <c r="AJ17" i="11"/>
  <c r="CA17" i="11" s="1"/>
  <c r="K16" i="35" s="1"/>
  <c r="M16" i="35" s="1"/>
  <c r="N16" i="35" s="1"/>
  <c r="AK17" i="11"/>
  <c r="CB17" i="11" s="1"/>
  <c r="K16" i="36" s="1"/>
  <c r="M16" i="36" s="1"/>
  <c r="AL17" i="11"/>
  <c r="CC17" i="11" s="1"/>
  <c r="K16" i="37" s="1"/>
  <c r="M16" i="37" s="1"/>
  <c r="AM17" i="11"/>
  <c r="CD17" i="11" s="1"/>
  <c r="K16" i="41" s="1"/>
  <c r="M16" i="41" s="1"/>
  <c r="N16" i="41" s="1"/>
  <c r="AN17" i="11"/>
  <c r="CE17" i="11" s="1"/>
  <c r="K16" i="40" s="1"/>
  <c r="M16" i="40" s="1"/>
  <c r="AO17" i="11"/>
  <c r="AP17" i="11"/>
  <c r="CG17" i="11" s="1"/>
  <c r="K16" i="44" s="1"/>
  <c r="M16" i="44" s="1"/>
  <c r="AQ17" i="11"/>
  <c r="CH17" i="11" s="1"/>
  <c r="L16" i="45" s="1"/>
  <c r="N16" i="45" s="1"/>
  <c r="AR17" i="11"/>
  <c r="CI17" i="11" s="1"/>
  <c r="L16" i="47" s="1"/>
  <c r="N16" i="47" s="1"/>
  <c r="O16" i="47" s="1"/>
  <c r="AS17" i="11"/>
  <c r="CJ17" i="11" s="1"/>
  <c r="L16" i="49" s="1"/>
  <c r="N16" i="49" s="1"/>
  <c r="AT17" i="11"/>
  <c r="CK17" i="11" s="1"/>
  <c r="L16" i="48" s="1"/>
  <c r="N16" i="48" s="1"/>
  <c r="O16" i="48" s="1"/>
  <c r="C16" i="50"/>
  <c r="AV17" i="11"/>
  <c r="CM17" i="11" s="1"/>
  <c r="L16" i="51" s="1"/>
  <c r="AW17" i="11"/>
  <c r="CN17" i="11" s="1"/>
  <c r="AX17" i="11"/>
  <c r="CO17" i="11" s="1"/>
  <c r="BR17" i="11"/>
  <c r="K19" i="13" s="1"/>
  <c r="M19" i="13" s="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B22" i="11"/>
  <c r="BS22" i="11" s="1"/>
  <c r="K23" i="12" s="1"/>
  <c r="M23" i="12" s="1"/>
  <c r="AC22" i="11"/>
  <c r="BT22" i="11" s="1"/>
  <c r="K23" i="26" s="1"/>
  <c r="M23" i="26" s="1"/>
  <c r="N23" i="26" s="1"/>
  <c r="AD22" i="11"/>
  <c r="BU22" i="11" s="1"/>
  <c r="K23" i="27" s="1"/>
  <c r="M23" i="27" s="1"/>
  <c r="N23" i="27" s="1"/>
  <c r="AE22" i="11"/>
  <c r="BV22" i="11" s="1"/>
  <c r="K21" i="29" s="1"/>
  <c r="M21" i="29" s="1"/>
  <c r="AF22" i="11"/>
  <c r="BW22" i="11" s="1"/>
  <c r="K21" i="31" s="1"/>
  <c r="M21" i="31" s="1"/>
  <c r="AG22" i="11"/>
  <c r="BX22" i="11" s="1"/>
  <c r="AH22" i="11"/>
  <c r="BY22" i="11" s="1"/>
  <c r="K21" i="33" s="1"/>
  <c r="M21" i="33" s="1"/>
  <c r="AI22" i="11"/>
  <c r="BZ22" i="11" s="1"/>
  <c r="K21" i="34" s="1"/>
  <c r="M21" i="34" s="1"/>
  <c r="AJ22" i="11"/>
  <c r="CA22" i="11" s="1"/>
  <c r="AK22" i="11"/>
  <c r="CB22" i="11" s="1"/>
  <c r="K21" i="36" s="1"/>
  <c r="M21" i="36" s="1"/>
  <c r="AL22" i="11"/>
  <c r="CC22" i="11" s="1"/>
  <c r="K21" i="37" s="1"/>
  <c r="M21" i="37" s="1"/>
  <c r="AM22" i="11"/>
  <c r="CD22" i="11" s="1"/>
  <c r="K21" i="41" s="1"/>
  <c r="M21" i="41" s="1"/>
  <c r="AN22" i="11"/>
  <c r="CE22" i="11" s="1"/>
  <c r="K21" i="40" s="1"/>
  <c r="M21" i="40" s="1"/>
  <c r="AO22" i="11"/>
  <c r="CF22" i="11" s="1"/>
  <c r="K21" i="42" s="1"/>
  <c r="M21" i="42" s="1"/>
  <c r="AP22" i="11"/>
  <c r="AQ22" i="11"/>
  <c r="AR22" i="11"/>
  <c r="AS22" i="11"/>
  <c r="AT22" i="11"/>
  <c r="AU22" i="11"/>
  <c r="AV22" i="11"/>
  <c r="AW22" i="11"/>
  <c r="AX22" i="11"/>
  <c r="AY22" i="11"/>
  <c r="BR22" i="11"/>
  <c r="K23" i="13" s="1"/>
  <c r="M23" i="13" s="1"/>
  <c r="N23" i="13" s="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B26" i="11"/>
  <c r="BS26" i="11" s="1"/>
  <c r="K26" i="12" s="1"/>
  <c r="M26" i="12" s="1"/>
  <c r="N26" i="12" s="1"/>
  <c r="AC26" i="11"/>
  <c r="BT26" i="11" s="1"/>
  <c r="K26" i="26" s="1"/>
  <c r="M26" i="26" s="1"/>
  <c r="AD26" i="11"/>
  <c r="BU26" i="11" s="1"/>
  <c r="K26" i="27" s="1"/>
  <c r="M26" i="27" s="1"/>
  <c r="AE26" i="11"/>
  <c r="BV26" i="11" s="1"/>
  <c r="K25" i="29" s="1"/>
  <c r="M25" i="29" s="1"/>
  <c r="AF26" i="11"/>
  <c r="BW26" i="11" s="1"/>
  <c r="K25" i="31" s="1"/>
  <c r="M25" i="31" s="1"/>
  <c r="AG26" i="11"/>
  <c r="BX26" i="11" s="1"/>
  <c r="AH26" i="11"/>
  <c r="BY26" i="11" s="1"/>
  <c r="K25" i="33" s="1"/>
  <c r="M25" i="33" s="1"/>
  <c r="AI26" i="11"/>
  <c r="AJ26" i="11"/>
  <c r="CA26" i="11" s="1"/>
  <c r="K25" i="35" s="1"/>
  <c r="M25" i="35" s="1"/>
  <c r="AK26" i="11"/>
  <c r="CB26" i="11" s="1"/>
  <c r="K25" i="36" s="1"/>
  <c r="M25" i="36" s="1"/>
  <c r="N25" i="36" s="1"/>
  <c r="AL26" i="11"/>
  <c r="CC26" i="11" s="1"/>
  <c r="K25" i="37" s="1"/>
  <c r="M25" i="37" s="1"/>
  <c r="AM26" i="11"/>
  <c r="CD26" i="11" s="1"/>
  <c r="K25" i="41" s="1"/>
  <c r="M25" i="41" s="1"/>
  <c r="AN26" i="11"/>
  <c r="CE26" i="11" s="1"/>
  <c r="K25" i="40" s="1"/>
  <c r="M25" i="40" s="1"/>
  <c r="AO26" i="11"/>
  <c r="CF26" i="11" s="1"/>
  <c r="K25" i="42" s="1"/>
  <c r="M25" i="42" s="1"/>
  <c r="AP26" i="11"/>
  <c r="CG26" i="11" s="1"/>
  <c r="K25" i="44" s="1"/>
  <c r="M25" i="44" s="1"/>
  <c r="AQ26" i="11"/>
  <c r="CH26" i="11" s="1"/>
  <c r="L25" i="45" s="1"/>
  <c r="N25" i="45" s="1"/>
  <c r="AR26" i="11"/>
  <c r="CI26" i="11" s="1"/>
  <c r="L25" i="47" s="1"/>
  <c r="N25" i="47" s="1"/>
  <c r="AS26" i="11"/>
  <c r="CJ26" i="11" s="1"/>
  <c r="L25" i="49" s="1"/>
  <c r="N25" i="49" s="1"/>
  <c r="AT26" i="11"/>
  <c r="CK26" i="11" s="1"/>
  <c r="L25" i="48" s="1"/>
  <c r="N25" i="48" s="1"/>
  <c r="C25" i="50"/>
  <c r="AU26" i="11"/>
  <c r="CL26" i="11" s="1"/>
  <c r="L25" i="50" s="1"/>
  <c r="N25" i="50" s="1"/>
  <c r="AV26" i="11"/>
  <c r="CM26" i="11" s="1"/>
  <c r="L25" i="51" s="1"/>
  <c r="N25" i="51" s="1"/>
  <c r="BR26" i="11"/>
  <c r="K26" i="13" s="1"/>
  <c r="M26" i="13" s="1"/>
  <c r="AB29" i="11"/>
  <c r="BS29" i="11" s="1"/>
  <c r="K28" i="12" s="1"/>
  <c r="M28" i="12" s="1"/>
  <c r="N28" i="12" s="1"/>
  <c r="AC29" i="11"/>
  <c r="BT29" i="11" s="1"/>
  <c r="K28" i="26" s="1"/>
  <c r="M28" i="26" s="1"/>
  <c r="AD29" i="11"/>
  <c r="BU29" i="11" s="1"/>
  <c r="AE29" i="11"/>
  <c r="BV29" i="11" s="1"/>
  <c r="K28" i="29" s="1"/>
  <c r="M28" i="29" s="1"/>
  <c r="AF29" i="11"/>
  <c r="BW29" i="11" s="1"/>
  <c r="K28" i="31" s="1"/>
  <c r="M28" i="31" s="1"/>
  <c r="AG29" i="11"/>
  <c r="BX29" i="11" s="1"/>
  <c r="AH29" i="11"/>
  <c r="BY29" i="11" s="1"/>
  <c r="K28" i="33" s="1"/>
  <c r="M28" i="33" s="1"/>
  <c r="AI29" i="11"/>
  <c r="BZ29" i="11" s="1"/>
  <c r="K28" i="34" s="1"/>
  <c r="M28" i="34" s="1"/>
  <c r="AJ29" i="11"/>
  <c r="CA29" i="11" s="1"/>
  <c r="K28" i="35" s="1"/>
  <c r="M28" i="35" s="1"/>
  <c r="N28" i="35" s="1"/>
  <c r="AK29" i="11"/>
  <c r="CB29" i="11" s="1"/>
  <c r="K28" i="36" s="1"/>
  <c r="M28" i="36" s="1"/>
  <c r="AL29" i="11"/>
  <c r="CC29" i="11" s="1"/>
  <c r="K28" i="37" s="1"/>
  <c r="M28" i="37" s="1"/>
  <c r="AM29" i="11"/>
  <c r="CD29" i="11" s="1"/>
  <c r="K28" i="41" s="1"/>
  <c r="M28" i="41" s="1"/>
  <c r="AN29" i="11"/>
  <c r="CE29" i="11" s="1"/>
  <c r="K28" i="40" s="1"/>
  <c r="M28" i="40" s="1"/>
  <c r="AO29" i="11"/>
  <c r="CF29" i="11" s="1"/>
  <c r="K28" i="42" s="1"/>
  <c r="M28" i="42" s="1"/>
  <c r="N28" i="42" s="1"/>
  <c r="AP29" i="11"/>
  <c r="CG29" i="11" s="1"/>
  <c r="K28" i="44" s="1"/>
  <c r="M28" i="44" s="1"/>
  <c r="AQ29" i="11"/>
  <c r="AR29" i="11"/>
  <c r="CI29" i="11" s="1"/>
  <c r="L28" i="47" s="1"/>
  <c r="AT29" i="11"/>
  <c r="CK29" i="11" s="1"/>
  <c r="L28" i="48" s="1"/>
  <c r="N28" i="48" s="1"/>
  <c r="O28" i="48" s="1"/>
  <c r="C28" i="50"/>
  <c r="AV29" i="11"/>
  <c r="CM29" i="11" s="1"/>
  <c r="L28" i="51" s="1"/>
  <c r="N28" i="51" s="1"/>
  <c r="O28" i="51" s="1"/>
  <c r="BR29" i="11"/>
  <c r="K28" i="13" s="1"/>
  <c r="M28" i="13" s="1"/>
  <c r="CJ29" i="11"/>
  <c r="L28" i="49" s="1"/>
  <c r="N28" i="49" s="1"/>
  <c r="AE30" i="11"/>
  <c r="BV30" i="11" s="1"/>
  <c r="K29" i="29" s="1"/>
  <c r="M29" i="29" s="1"/>
  <c r="AF30" i="11"/>
  <c r="BW30" i="11" s="1"/>
  <c r="K29" i="31" s="1"/>
  <c r="M29" i="31" s="1"/>
  <c r="N29" i="31" s="1"/>
  <c r="AG30" i="11"/>
  <c r="BX30" i="11" s="1"/>
  <c r="AH30" i="11"/>
  <c r="BY30" i="11" s="1"/>
  <c r="K29" i="33" s="1"/>
  <c r="M29" i="33" s="1"/>
  <c r="AI30" i="11"/>
  <c r="BZ30" i="11" s="1"/>
  <c r="K29" i="34" s="1"/>
  <c r="M29" i="34" s="1"/>
  <c r="AJ30" i="11"/>
  <c r="CA30" i="11" s="1"/>
  <c r="K29" i="35" s="1"/>
  <c r="M29" i="35" s="1"/>
  <c r="AK30" i="11"/>
  <c r="CB30" i="11" s="1"/>
  <c r="K29" i="36" s="1"/>
  <c r="M29" i="36" s="1"/>
  <c r="AL30" i="11"/>
  <c r="CC30" i="11" s="1"/>
  <c r="K29" i="37" s="1"/>
  <c r="M29" i="37" s="1"/>
  <c r="AM30" i="11"/>
  <c r="CD30" i="11" s="1"/>
  <c r="K29" i="41" s="1"/>
  <c r="M29" i="41" s="1"/>
  <c r="AN30" i="11"/>
  <c r="CE30" i="11" s="1"/>
  <c r="K29" i="40" s="1"/>
  <c r="M29" i="40" s="1"/>
  <c r="AO30" i="11"/>
  <c r="CF30" i="11" s="1"/>
  <c r="K29" i="42" s="1"/>
  <c r="M29" i="42" s="1"/>
  <c r="AP30" i="11"/>
  <c r="AQ30" i="11"/>
  <c r="AR30" i="11"/>
  <c r="AT30" i="11"/>
  <c r="AU30" i="11"/>
  <c r="AV30" i="11"/>
  <c r="AW30" i="11"/>
  <c r="AX30" i="11"/>
  <c r="AY30" i="11"/>
  <c r="AE32" i="11"/>
  <c r="BV32" i="11" s="1"/>
  <c r="K31" i="29" s="1"/>
  <c r="M31" i="29" s="1"/>
  <c r="N31" i="29" s="1"/>
  <c r="AF32" i="11"/>
  <c r="BW32" i="11" s="1"/>
  <c r="K31" i="31" s="1"/>
  <c r="M31" i="31" s="1"/>
  <c r="AG32" i="11"/>
  <c r="BX32" i="11" s="1"/>
  <c r="AH32" i="11"/>
  <c r="BY32" i="11" s="1"/>
  <c r="K31" i="33" s="1"/>
  <c r="M31" i="33" s="1"/>
  <c r="AI32" i="11"/>
  <c r="BZ32" i="11" s="1"/>
  <c r="K31" i="34" s="1"/>
  <c r="M31" i="34" s="1"/>
  <c r="N31" i="34" s="1"/>
  <c r="AJ32" i="11"/>
  <c r="CA32" i="11" s="1"/>
  <c r="K31" i="35" s="1"/>
  <c r="M31" i="35" s="1"/>
  <c r="N31" i="35" s="1"/>
  <c r="AK32" i="11"/>
  <c r="CB32" i="11" s="1"/>
  <c r="K31" i="36" s="1"/>
  <c r="M31" i="36" s="1"/>
  <c r="AL32" i="11"/>
  <c r="CC32" i="11" s="1"/>
  <c r="AM32" i="11"/>
  <c r="CD32" i="11" s="1"/>
  <c r="K31" i="41" s="1"/>
  <c r="M31" i="41" s="1"/>
  <c r="N31" i="41" s="1"/>
  <c r="AN32" i="11"/>
  <c r="CE32" i="11" s="1"/>
  <c r="K31" i="40" s="1"/>
  <c r="M31" i="40" s="1"/>
  <c r="AO32" i="11"/>
  <c r="CF32" i="11" s="1"/>
  <c r="K31" i="42" s="1"/>
  <c r="M31" i="42" s="1"/>
  <c r="AP32" i="11"/>
  <c r="CG32" i="11" s="1"/>
  <c r="K31" i="44" s="1"/>
  <c r="M31" i="44" s="1"/>
  <c r="N31" i="44" s="1"/>
  <c r="AQ32" i="11"/>
  <c r="CH32" i="11" s="1"/>
  <c r="L31" i="45" s="1"/>
  <c r="N31" i="45" s="1"/>
  <c r="O31" i="45" s="1"/>
  <c r="AR32" i="11"/>
  <c r="CI32" i="11" s="1"/>
  <c r="L31" i="47" s="1"/>
  <c r="N31" i="47" s="1"/>
  <c r="AS32" i="11"/>
  <c r="CJ32" i="11" s="1"/>
  <c r="L31" i="49" s="1"/>
  <c r="N31" i="49" s="1"/>
  <c r="AT32" i="11"/>
  <c r="CK32" i="11" s="1"/>
  <c r="L31" i="48" s="1"/>
  <c r="N31" i="48" s="1"/>
  <c r="C31" i="50"/>
  <c r="AV32" i="11"/>
  <c r="CM32" i="11" s="1"/>
  <c r="L31" i="51" s="1"/>
  <c r="N31" i="51" s="1"/>
  <c r="O31" i="51" s="1"/>
  <c r="AQ35" i="11"/>
  <c r="CH35" i="11" s="1"/>
  <c r="L34" i="45" s="1"/>
  <c r="N34" i="45" s="1"/>
  <c r="O34" i="45" s="1"/>
  <c r="AR35" i="11"/>
  <c r="CI35" i="11" s="1"/>
  <c r="AS35" i="11"/>
  <c r="CJ35" i="11" s="1"/>
  <c r="L34" i="49" s="1"/>
  <c r="N34" i="49" s="1"/>
  <c r="AT35" i="11"/>
  <c r="CK35" i="11" s="1"/>
  <c r="L34" i="48" s="1"/>
  <c r="N34" i="48" s="1"/>
  <c r="C34" i="50"/>
  <c r="AU35" i="11"/>
  <c r="CL35" i="11" s="1"/>
  <c r="L34" i="50" s="1"/>
  <c r="N34" i="50" s="1"/>
  <c r="AV35" i="11"/>
  <c r="CM35" i="11" s="1"/>
  <c r="L34" i="51" s="1"/>
  <c r="N34" i="51" s="1"/>
  <c r="AQ36" i="11"/>
  <c r="CH36" i="11" s="1"/>
  <c r="L35" i="45" s="1"/>
  <c r="N35" i="45" s="1"/>
  <c r="AR36" i="11"/>
  <c r="CI36" i="11" s="1"/>
  <c r="L35" i="47" s="1"/>
  <c r="AS36" i="11"/>
  <c r="CJ36" i="11" s="1"/>
  <c r="L35" i="49" s="1"/>
  <c r="AT36" i="11"/>
  <c r="CK36" i="11" s="1"/>
  <c r="L35" i="48" s="1"/>
  <c r="C35" i="50"/>
  <c r="AU36" i="11" s="1"/>
  <c r="CL36" i="11" s="1"/>
  <c r="L35" i="50" s="1"/>
  <c r="N35" i="50" s="1"/>
  <c r="AV36" i="11"/>
  <c r="CM36" i="11" s="1"/>
  <c r="L35" i="51" s="1"/>
  <c r="N35" i="51" s="1"/>
  <c r="O35" i="51" s="1"/>
  <c r="AQ38" i="11"/>
  <c r="CH38" i="11" s="1"/>
  <c r="L37" i="45" s="1"/>
  <c r="N37" i="45" s="1"/>
  <c r="AR38" i="11"/>
  <c r="CI38" i="11" s="1"/>
  <c r="L37" i="47" s="1"/>
  <c r="N37" i="47" s="1"/>
  <c r="O37" i="47" s="1"/>
  <c r="AS38" i="11"/>
  <c r="CJ38" i="11" s="1"/>
  <c r="L37" i="49" s="1"/>
  <c r="N37" i="49" s="1"/>
  <c r="AT38" i="11"/>
  <c r="CK38" i="11" s="1"/>
  <c r="L37" i="48" s="1"/>
  <c r="N37" i="48" s="1"/>
  <c r="C37" i="50"/>
  <c r="AU38" i="11"/>
  <c r="CL38" i="11" s="1"/>
  <c r="L37" i="50" s="1"/>
  <c r="N37" i="50" s="1"/>
  <c r="AV38" i="11"/>
  <c r="CM38" i="11" s="1"/>
  <c r="AQ40" i="11"/>
  <c r="CH40" i="11" s="1"/>
  <c r="L39" i="45" s="1"/>
  <c r="N39" i="45" s="1"/>
  <c r="AR40" i="11"/>
  <c r="CI40" i="11" s="1"/>
  <c r="L39" i="47" s="1"/>
  <c r="N39" i="47" s="1"/>
  <c r="AS40" i="11"/>
  <c r="CJ40" i="11" s="1"/>
  <c r="L39" i="49" s="1"/>
  <c r="N39" i="49" s="1"/>
  <c r="O39" i="49" s="1"/>
  <c r="AT40" i="11"/>
  <c r="CK40" i="11" s="1"/>
  <c r="L39" i="48" s="1"/>
  <c r="N39" i="48" s="1"/>
  <c r="C39" i="50"/>
  <c r="AU40" i="11"/>
  <c r="CL40" i="11" s="1"/>
  <c r="L39" i="50" s="1"/>
  <c r="N39" i="50" s="1"/>
  <c r="AV40" i="11"/>
  <c r="CM40" i="11" s="1"/>
  <c r="L39" i="51" s="1"/>
  <c r="N39" i="51" s="1"/>
  <c r="AT43" i="11"/>
  <c r="CK43" i="11" s="1"/>
  <c r="L42" i="48" s="1"/>
  <c r="N42" i="48" s="1"/>
  <c r="AU43" i="11"/>
  <c r="CL43" i="11" s="1"/>
  <c r="L42" i="50" s="1"/>
  <c r="N42" i="50" s="1"/>
  <c r="AV43" i="11"/>
  <c r="CM43" i="11" s="1"/>
  <c r="L42" i="51" s="1"/>
  <c r="N42" i="51" s="1"/>
  <c r="AT44" i="11"/>
  <c r="CK44" i="11" s="1"/>
  <c r="L43" i="48" s="1"/>
  <c r="N43" i="48" s="1"/>
  <c r="AU44" i="11"/>
  <c r="CL44" i="11" s="1"/>
  <c r="L43" i="50" s="1"/>
  <c r="N43" i="50" s="1"/>
  <c r="AV44" i="11"/>
  <c r="CM44" i="11" s="1"/>
  <c r="L43" i="51" s="1"/>
  <c r="N43" i="51" s="1"/>
  <c r="AT45" i="11"/>
  <c r="CK45" i="11" s="1"/>
  <c r="L44" i="48" s="1"/>
  <c r="N44" i="48" s="1"/>
  <c r="O44" i="48" s="1"/>
  <c r="AU45" i="11"/>
  <c r="CL45" i="11" s="1"/>
  <c r="L44" i="50" s="1"/>
  <c r="N44" i="50" s="1"/>
  <c r="AV45" i="11"/>
  <c r="CM45" i="11" s="1"/>
  <c r="AW45" i="11"/>
  <c r="CN45" i="11" s="1"/>
  <c r="AX45" i="11"/>
  <c r="CO45" i="11" s="1"/>
  <c r="AT56" i="11"/>
  <c r="CK56" i="11" s="1"/>
  <c r="L47" i="48" s="1"/>
  <c r="N47" i="48" s="1"/>
  <c r="AU56" i="11"/>
  <c r="CL56" i="11" s="1"/>
  <c r="L47" i="50" s="1"/>
  <c r="N47" i="50" s="1"/>
  <c r="O47" i="50" s="1"/>
  <c r="AV56" i="11"/>
  <c r="CM56" i="11" s="1"/>
  <c r="L47" i="51" s="1"/>
  <c r="N47" i="51" s="1"/>
  <c r="AW56" i="11"/>
  <c r="CN56" i="11" s="1"/>
  <c r="AX56" i="11"/>
  <c r="CO56" i="11" s="1"/>
  <c r="AT57" i="11"/>
  <c r="CK57" i="11" s="1"/>
  <c r="L48" i="48" s="1"/>
  <c r="N48" i="48" s="1"/>
  <c r="AU57" i="11"/>
  <c r="CL57" i="11" s="1"/>
  <c r="L48" i="50" s="1"/>
  <c r="N48" i="50" s="1"/>
  <c r="AV57" i="11"/>
  <c r="CM57" i="11" s="1"/>
  <c r="L48" i="51" s="1"/>
  <c r="N48" i="51" s="1"/>
  <c r="AW57" i="11"/>
  <c r="CN57" i="11" s="1"/>
  <c r="AX57" i="11"/>
  <c r="CO57" i="11" s="1"/>
  <c r="AU60" i="11"/>
  <c r="CL60" i="11" s="1"/>
  <c r="AV60" i="11"/>
  <c r="CM60" i="11" s="1"/>
  <c r="L51" i="51" s="1"/>
  <c r="N51" i="51" s="1"/>
  <c r="AU61" i="11"/>
  <c r="CL61" i="11" s="1"/>
  <c r="AV61" i="11"/>
  <c r="CM61" i="11" s="1"/>
  <c r="L52" i="51" s="1"/>
  <c r="N52" i="51" s="1"/>
  <c r="BI73" i="11"/>
  <c r="BJ73" i="11"/>
  <c r="BK73" i="11"/>
  <c r="BL73" i="11"/>
  <c r="BM73" i="11"/>
  <c r="BN73" i="11"/>
  <c r="BO73" i="11"/>
  <c r="BP73" i="11"/>
  <c r="BQ73" i="11"/>
  <c r="AB78" i="11"/>
  <c r="AC78" i="11"/>
  <c r="AD78" i="11"/>
  <c r="AE78" i="11"/>
  <c r="AF78" i="11"/>
  <c r="AG78" i="11"/>
  <c r="AH78" i="11"/>
  <c r="AI78" i="11"/>
  <c r="AJ78" i="11"/>
  <c r="AK78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B80" i="11"/>
  <c r="BS80" i="11" s="1"/>
  <c r="K37" i="12" s="1"/>
  <c r="M37" i="12" s="1"/>
  <c r="N37" i="12" s="1"/>
  <c r="AC80" i="11"/>
  <c r="BT80" i="11" s="1"/>
  <c r="AD80" i="11"/>
  <c r="BU80" i="11" s="1"/>
  <c r="K37" i="27" s="1"/>
  <c r="M37" i="27" s="1"/>
  <c r="AE80" i="11"/>
  <c r="BV80" i="11" s="1"/>
  <c r="K40" i="29" s="1"/>
  <c r="M40" i="29" s="1"/>
  <c r="N40" i="29" s="1"/>
  <c r="AF80" i="11"/>
  <c r="BW80" i="11" s="1"/>
  <c r="AG80" i="11"/>
  <c r="BX80" i="11" s="1"/>
  <c r="AH80" i="11"/>
  <c r="BY80" i="11" s="1"/>
  <c r="K40" i="33" s="1"/>
  <c r="M40" i="33" s="1"/>
  <c r="N40" i="33" s="1"/>
  <c r="AI80" i="11"/>
  <c r="BZ80" i="11" s="1"/>
  <c r="K40" i="34" s="1"/>
  <c r="M40" i="34" s="1"/>
  <c r="AJ80" i="11"/>
  <c r="CA80" i="11" s="1"/>
  <c r="AK80" i="11"/>
  <c r="AL80" i="11"/>
  <c r="CC80" i="11" s="1"/>
  <c r="AM80" i="11"/>
  <c r="CD80" i="11" s="1"/>
  <c r="K48" i="41" s="1"/>
  <c r="M48" i="41" s="1"/>
  <c r="N48" i="41" s="1"/>
  <c r="AN80" i="11"/>
  <c r="CE80" i="11" s="1"/>
  <c r="AO80" i="11"/>
  <c r="CF80" i="11" s="1"/>
  <c r="AP80" i="11"/>
  <c r="CG80" i="11" s="1"/>
  <c r="AQ80" i="11"/>
  <c r="CH80" i="11" s="1"/>
  <c r="AR80" i="11"/>
  <c r="CI80" i="11" s="1"/>
  <c r="AS80" i="11"/>
  <c r="CJ80" i="11" s="1"/>
  <c r="AT80" i="11"/>
  <c r="AU80" i="11"/>
  <c r="CL80" i="11" s="1"/>
  <c r="L69" i="50" s="1"/>
  <c r="N69" i="50" s="1"/>
  <c r="O69" i="50" s="1"/>
  <c r="AV80" i="11"/>
  <c r="CM80" i="11" s="1"/>
  <c r="BR80" i="11"/>
  <c r="AB81" i="11"/>
  <c r="BS81" i="11" s="1"/>
  <c r="K38" i="12" s="1"/>
  <c r="M38" i="12" s="1"/>
  <c r="AC81" i="11"/>
  <c r="BT81" i="11" s="1"/>
  <c r="K38" i="26" s="1"/>
  <c r="M38" i="26" s="1"/>
  <c r="AD81" i="11"/>
  <c r="AE81" i="11"/>
  <c r="BV81" i="11" s="1"/>
  <c r="AF81" i="11"/>
  <c r="BW81" i="11" s="1"/>
  <c r="AG81" i="11"/>
  <c r="BX81" i="11" s="1"/>
  <c r="AH81" i="11"/>
  <c r="BY81" i="11" s="1"/>
  <c r="AI81" i="11"/>
  <c r="BZ81" i="11" s="1"/>
  <c r="AJ81" i="11"/>
  <c r="CA81" i="11" s="1"/>
  <c r="K41" i="35" s="1"/>
  <c r="M41" i="35" s="1"/>
  <c r="AK81" i="11"/>
  <c r="CB81" i="11" s="1"/>
  <c r="K41" i="36" s="1"/>
  <c r="M41" i="36" s="1"/>
  <c r="AL81" i="11"/>
  <c r="CC81" i="11" s="1"/>
  <c r="AM81" i="11"/>
  <c r="CD81" i="11" s="1"/>
  <c r="K49" i="41" s="1"/>
  <c r="M49" i="41" s="1"/>
  <c r="AN81" i="11"/>
  <c r="CE81" i="11" s="1"/>
  <c r="AO81" i="11"/>
  <c r="CF81" i="11" s="1"/>
  <c r="AP81" i="11"/>
  <c r="CG81" i="11" s="1"/>
  <c r="AQ81" i="11"/>
  <c r="CH81" i="11" s="1"/>
  <c r="AR81" i="11"/>
  <c r="CI81" i="11" s="1"/>
  <c r="AS81" i="11"/>
  <c r="CJ81" i="11" s="1"/>
  <c r="AT81" i="11"/>
  <c r="CK81" i="11" s="1"/>
  <c r="AU81" i="11"/>
  <c r="CL81" i="11" s="1"/>
  <c r="L70" i="50" s="1"/>
  <c r="N70" i="50" s="1"/>
  <c r="AV81" i="11"/>
  <c r="CM81" i="11" s="1"/>
  <c r="L70" i="51" s="1"/>
  <c r="N70" i="51" s="1"/>
  <c r="O70" i="51" s="1"/>
  <c r="BR81" i="11"/>
  <c r="AT84" i="11"/>
  <c r="CK84" i="11" s="1"/>
  <c r="L74" i="48" s="1"/>
  <c r="AU84" i="11"/>
  <c r="CL84" i="11" s="1"/>
  <c r="L73" i="50" s="1"/>
  <c r="N73" i="50" s="1"/>
  <c r="AV84" i="11"/>
  <c r="CM84" i="11" s="1"/>
  <c r="L73" i="51" s="1"/>
  <c r="N73" i="51" s="1"/>
  <c r="O73" i="51" s="1"/>
  <c r="AW84" i="11"/>
  <c r="CN84" i="11" s="1"/>
  <c r="AX84" i="11"/>
  <c r="CO84" i="11" s="1"/>
  <c r="AT85" i="11"/>
  <c r="CK85" i="11" s="1"/>
  <c r="L75" i="48" s="1"/>
  <c r="N75" i="48" s="1"/>
  <c r="AU85" i="11"/>
  <c r="CL85" i="11" s="1"/>
  <c r="L74" i="50" s="1"/>
  <c r="N74" i="50" s="1"/>
  <c r="AV85" i="11"/>
  <c r="CM85" i="11" s="1"/>
  <c r="L74" i="51" s="1"/>
  <c r="N74" i="51" s="1"/>
  <c r="O74" i="51" s="1"/>
  <c r="AW85" i="11"/>
  <c r="CN85" i="11" s="1"/>
  <c r="AX85" i="11"/>
  <c r="CO85" i="11" s="1"/>
  <c r="AT88" i="11"/>
  <c r="CK88" i="11" s="1"/>
  <c r="L78" i="48" s="1"/>
  <c r="N78" i="48" s="1"/>
  <c r="AU88" i="11"/>
  <c r="CL88" i="11" s="1"/>
  <c r="L77" i="50" s="1"/>
  <c r="N77" i="50" s="1"/>
  <c r="AV88" i="11"/>
  <c r="CM88" i="11" s="1"/>
  <c r="L77" i="51" s="1"/>
  <c r="N77" i="51" s="1"/>
  <c r="O77" i="51" s="1"/>
  <c r="AW88" i="11"/>
  <c r="CN88" i="11" s="1"/>
  <c r="AX88" i="11"/>
  <c r="CO88" i="11" s="1"/>
  <c r="AT89" i="11"/>
  <c r="CK89" i="11" s="1"/>
  <c r="L79" i="48" s="1"/>
  <c r="N79" i="48" s="1"/>
  <c r="AU89" i="11"/>
  <c r="CL89" i="11" s="1"/>
  <c r="L78" i="50" s="1"/>
  <c r="N78" i="50" s="1"/>
  <c r="O78" i="50" s="1"/>
  <c r="AV89" i="11"/>
  <c r="CM89" i="11" s="1"/>
  <c r="L78" i="51" s="1"/>
  <c r="N78" i="51" s="1"/>
  <c r="AW89" i="11"/>
  <c r="CN89" i="11" s="1"/>
  <c r="AX89" i="11"/>
  <c r="CO89" i="11" s="1"/>
  <c r="AT91" i="11"/>
  <c r="CK91" i="11" s="1"/>
  <c r="AU91" i="11"/>
  <c r="CL91" i="11" s="1"/>
  <c r="L84" i="50" s="1"/>
  <c r="N84" i="50" s="1"/>
  <c r="AV91" i="11"/>
  <c r="CM91" i="11" s="1"/>
  <c r="L84" i="51" s="1"/>
  <c r="N84" i="51" s="1"/>
  <c r="AW91" i="11"/>
  <c r="CN91" i="11" s="1"/>
  <c r="AX91" i="11"/>
  <c r="CO91" i="11" s="1"/>
  <c r="AU94" i="11"/>
  <c r="CL94" i="11" s="1"/>
  <c r="AV94" i="11"/>
  <c r="CM94" i="11" s="1"/>
  <c r="AW94" i="11"/>
  <c r="CN94" i="11" s="1"/>
  <c r="AX94" i="11"/>
  <c r="CO94" i="11" s="1"/>
  <c r="AU95" i="11"/>
  <c r="CL95" i="11" s="1"/>
  <c r="AV95" i="11"/>
  <c r="CM95" i="11" s="1"/>
  <c r="AW95" i="11"/>
  <c r="CN95" i="11" s="1"/>
  <c r="AX95" i="11"/>
  <c r="CO95" i="11" s="1"/>
  <c r="BI110" i="11"/>
  <c r="BJ110" i="11"/>
  <c r="BK110" i="11"/>
  <c r="BL110" i="11"/>
  <c r="BM110" i="11"/>
  <c r="BN110" i="11"/>
  <c r="BO110" i="11"/>
  <c r="BP110" i="11"/>
  <c r="BQ110" i="11"/>
  <c r="AH116" i="11"/>
  <c r="AI116" i="11"/>
  <c r="AJ116" i="11"/>
  <c r="AK116" i="11"/>
  <c r="AL116" i="11"/>
  <c r="AM116" i="11"/>
  <c r="AN116" i="11"/>
  <c r="AO116" i="11"/>
  <c r="AP116" i="11"/>
  <c r="AQ116" i="11"/>
  <c r="AR116" i="11"/>
  <c r="AS116" i="11"/>
  <c r="AT116" i="11"/>
  <c r="AU116" i="11"/>
  <c r="AV116" i="11"/>
  <c r="AW116" i="11"/>
  <c r="AX116" i="11"/>
  <c r="AY116" i="11"/>
  <c r="AH117" i="11"/>
  <c r="AI117" i="11"/>
  <c r="AJ117" i="11"/>
  <c r="AK117" i="11"/>
  <c r="AL117" i="11"/>
  <c r="AM117" i="11"/>
  <c r="AN117" i="11"/>
  <c r="AO117" i="11"/>
  <c r="AP117" i="11"/>
  <c r="AQ117" i="11"/>
  <c r="AR117" i="11"/>
  <c r="AS117" i="11"/>
  <c r="AT117" i="11"/>
  <c r="AU117" i="11"/>
  <c r="AV117" i="11"/>
  <c r="AW117" i="11"/>
  <c r="AX117" i="11"/>
  <c r="AY117" i="11"/>
  <c r="AH118" i="11"/>
  <c r="AI118" i="11"/>
  <c r="AJ118" i="11"/>
  <c r="AK118" i="11"/>
  <c r="AL118" i="11"/>
  <c r="AM118" i="11"/>
  <c r="AN118" i="11"/>
  <c r="AO118" i="11"/>
  <c r="AP118" i="11"/>
  <c r="AQ118" i="11"/>
  <c r="AR118" i="11"/>
  <c r="AS118" i="11"/>
  <c r="AT118" i="11"/>
  <c r="AU118" i="11"/>
  <c r="AV118" i="11"/>
  <c r="AW118" i="11"/>
  <c r="AX118" i="11"/>
  <c r="AY118" i="11"/>
  <c r="AH119" i="11"/>
  <c r="AI119" i="11"/>
  <c r="AJ119" i="11"/>
  <c r="AK119" i="11"/>
  <c r="AL119" i="11"/>
  <c r="AM119" i="11"/>
  <c r="AN119" i="11"/>
  <c r="AO119" i="11"/>
  <c r="AP119" i="11"/>
  <c r="AQ119" i="11"/>
  <c r="AR119" i="11"/>
  <c r="AS119" i="11"/>
  <c r="AT119" i="11"/>
  <c r="AU119" i="11"/>
  <c r="AV119" i="11"/>
  <c r="AW119" i="11"/>
  <c r="AX119" i="11"/>
  <c r="AY119" i="11"/>
  <c r="BI121" i="11"/>
  <c r="BJ121" i="11"/>
  <c r="BK121" i="11"/>
  <c r="BL121" i="11"/>
  <c r="BM121" i="11"/>
  <c r="BN121" i="11"/>
  <c r="BO121" i="11"/>
  <c r="BP121" i="11"/>
  <c r="BQ121" i="11"/>
  <c r="BR121" i="11"/>
  <c r="BS121" i="11"/>
  <c r="BT121" i="11"/>
  <c r="BU121" i="11"/>
  <c r="BV121" i="11"/>
  <c r="BW121" i="11"/>
  <c r="BX121" i="11"/>
  <c r="BY121" i="11"/>
  <c r="BZ121" i="11"/>
  <c r="CA121" i="11"/>
  <c r="CB121" i="11"/>
  <c r="CC121" i="11"/>
  <c r="CD121" i="11"/>
  <c r="CE121" i="11"/>
  <c r="CF121" i="11"/>
  <c r="CG121" i="11"/>
  <c r="CH121" i="11"/>
  <c r="CI121" i="11"/>
  <c r="CJ121" i="11"/>
  <c r="CK121" i="11"/>
  <c r="CL121" i="11"/>
  <c r="CM121" i="11"/>
  <c r="CN121" i="11"/>
  <c r="CO121" i="11"/>
  <c r="CQ121" i="11"/>
  <c r="S126" i="11"/>
  <c r="T126" i="11"/>
  <c r="U126" i="11"/>
  <c r="V126" i="11"/>
  <c r="W126" i="11"/>
  <c r="X126" i="11"/>
  <c r="Y126" i="11"/>
  <c r="Z126" i="11"/>
  <c r="AA126" i="11"/>
  <c r="R127" i="11"/>
  <c r="S127" i="11"/>
  <c r="T127" i="11"/>
  <c r="U127" i="11"/>
  <c r="V127" i="11"/>
  <c r="W127" i="11"/>
  <c r="X127" i="11"/>
  <c r="Y127" i="11"/>
  <c r="Z127" i="11"/>
  <c r="AA127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AG128" i="11"/>
  <c r="L8" i="54"/>
  <c r="F25" i="54"/>
  <c r="F28" i="54"/>
  <c r="F35" i="54"/>
  <c r="F37" i="54"/>
  <c r="F48" i="54"/>
  <c r="L63" i="54"/>
  <c r="F74" i="54"/>
  <c r="F78" i="54"/>
  <c r="F80" i="54"/>
  <c r="K94" i="54"/>
  <c r="K95" i="54"/>
  <c r="L8" i="53"/>
  <c r="K12" i="53"/>
  <c r="M12" i="53"/>
  <c r="F15" i="53"/>
  <c r="F16" i="53"/>
  <c r="K18" i="53"/>
  <c r="M18" i="53"/>
  <c r="K21" i="53"/>
  <c r="K22" i="53"/>
  <c r="M22" i="53"/>
  <c r="F25" i="53"/>
  <c r="F28" i="53"/>
  <c r="K29" i="53"/>
  <c r="F31" i="53"/>
  <c r="F34" i="53"/>
  <c r="F35" i="53"/>
  <c r="F37" i="53"/>
  <c r="F39" i="53"/>
  <c r="F42" i="53"/>
  <c r="F44" i="53"/>
  <c r="F47" i="53"/>
  <c r="F48" i="53"/>
  <c r="F51" i="53"/>
  <c r="F52" i="53"/>
  <c r="C54" i="53"/>
  <c r="D54" i="53"/>
  <c r="G54" i="53"/>
  <c r="G99" i="53"/>
  <c r="L63" i="53"/>
  <c r="M67" i="53"/>
  <c r="M68" i="53"/>
  <c r="K69" i="53"/>
  <c r="K86" i="53" s="1"/>
  <c r="K70" i="53"/>
  <c r="F74" i="53"/>
  <c r="F77" i="53"/>
  <c r="F78" i="53"/>
  <c r="F84" i="53"/>
  <c r="C86" i="53"/>
  <c r="D86" i="53"/>
  <c r="D99" i="53"/>
  <c r="G86" i="53"/>
  <c r="K94" i="53"/>
  <c r="K95" i="53"/>
  <c r="C99" i="53"/>
  <c r="L8" i="52"/>
  <c r="K12" i="52"/>
  <c r="M12" i="52"/>
  <c r="M15" i="52"/>
  <c r="F16" i="52"/>
  <c r="K16" i="52"/>
  <c r="M16" i="52"/>
  <c r="N16" i="52"/>
  <c r="M18" i="52"/>
  <c r="K21" i="52"/>
  <c r="K22" i="52"/>
  <c r="M22" i="52"/>
  <c r="F25" i="52"/>
  <c r="K25" i="52"/>
  <c r="F28" i="52"/>
  <c r="K29" i="52"/>
  <c r="F31" i="52"/>
  <c r="K31" i="52"/>
  <c r="F34" i="52"/>
  <c r="F35" i="52"/>
  <c r="F37" i="52"/>
  <c r="K39" i="52"/>
  <c r="F42" i="52"/>
  <c r="K42" i="52"/>
  <c r="K43" i="52"/>
  <c r="K44" i="52"/>
  <c r="M44" i="52"/>
  <c r="N44" i="52" s="1"/>
  <c r="O44" i="52" s="1"/>
  <c r="K47" i="52"/>
  <c r="F48" i="52"/>
  <c r="K48" i="52"/>
  <c r="O48" i="52" s="1"/>
  <c r="N48" i="52"/>
  <c r="F51" i="52"/>
  <c r="K51" i="52"/>
  <c r="F52" i="52"/>
  <c r="K52" i="52"/>
  <c r="C54" i="52"/>
  <c r="D54" i="52"/>
  <c r="D99" i="52" s="1"/>
  <c r="L63" i="52"/>
  <c r="M67" i="52"/>
  <c r="M68" i="52"/>
  <c r="K69" i="52"/>
  <c r="K70" i="52"/>
  <c r="F73" i="52"/>
  <c r="F74" i="52"/>
  <c r="N74" i="52"/>
  <c r="F78" i="52"/>
  <c r="O81" i="52"/>
  <c r="O82" i="52"/>
  <c r="F84" i="52"/>
  <c r="K84" i="52"/>
  <c r="N84" i="52"/>
  <c r="O84" i="52" s="1"/>
  <c r="C86" i="52"/>
  <c r="D86" i="52"/>
  <c r="K94" i="52"/>
  <c r="K95" i="52"/>
  <c r="L8" i="51"/>
  <c r="I12" i="51"/>
  <c r="L12" i="51"/>
  <c r="N12" i="51" s="1"/>
  <c r="O12" i="51" s="1"/>
  <c r="M12" i="51"/>
  <c r="G15" i="51"/>
  <c r="I15" i="51"/>
  <c r="K15" i="51"/>
  <c r="G16" i="51"/>
  <c r="I16" i="51"/>
  <c r="K16" i="51"/>
  <c r="I18" i="51"/>
  <c r="K18" i="51" s="1"/>
  <c r="L18" i="51"/>
  <c r="N18" i="51" s="1"/>
  <c r="M18" i="51"/>
  <c r="I21" i="51"/>
  <c r="K21" i="51"/>
  <c r="L21" i="51"/>
  <c r="N21" i="51" s="1"/>
  <c r="I22" i="51"/>
  <c r="K22" i="51"/>
  <c r="L22" i="51"/>
  <c r="M22" i="51"/>
  <c r="G25" i="51"/>
  <c r="F25" i="51"/>
  <c r="I25" i="51"/>
  <c r="K25" i="51"/>
  <c r="G28" i="51"/>
  <c r="F28" i="51"/>
  <c r="I28" i="51"/>
  <c r="K28" i="51"/>
  <c r="I29" i="51"/>
  <c r="K29" i="51"/>
  <c r="L29" i="51"/>
  <c r="N29" i="51" s="1"/>
  <c r="G31" i="51"/>
  <c r="F31" i="51"/>
  <c r="I31" i="51"/>
  <c r="K31" i="51"/>
  <c r="G34" i="51"/>
  <c r="F34" i="51"/>
  <c r="I34" i="51"/>
  <c r="K34" i="51"/>
  <c r="G35" i="51"/>
  <c r="I35" i="51"/>
  <c r="K35" i="51" s="1"/>
  <c r="G37" i="51"/>
  <c r="F37" i="51"/>
  <c r="I37" i="51"/>
  <c r="K37" i="51" s="1"/>
  <c r="G39" i="51"/>
  <c r="F39" i="51"/>
  <c r="I39" i="51"/>
  <c r="K39" i="51" s="1"/>
  <c r="G42" i="51"/>
  <c r="F42" i="51"/>
  <c r="I42" i="51"/>
  <c r="G43" i="51"/>
  <c r="I43" i="51"/>
  <c r="K43" i="51"/>
  <c r="G44" i="51"/>
  <c r="I44" i="51"/>
  <c r="K44" i="51"/>
  <c r="O44" i="51"/>
  <c r="N44" i="51"/>
  <c r="G47" i="51"/>
  <c r="F47" i="51"/>
  <c r="I47" i="51"/>
  <c r="K47" i="51" s="1"/>
  <c r="G48" i="51"/>
  <c r="I48" i="51"/>
  <c r="K48" i="51"/>
  <c r="F51" i="51"/>
  <c r="I51" i="51"/>
  <c r="K51" i="51"/>
  <c r="F52" i="51"/>
  <c r="I52" i="51"/>
  <c r="K52" i="51" s="1"/>
  <c r="C54" i="51"/>
  <c r="D54" i="51"/>
  <c r="D99" i="51" s="1"/>
  <c r="L63" i="51"/>
  <c r="I67" i="51"/>
  <c r="L67" i="51"/>
  <c r="N67" i="51" s="1"/>
  <c r="O67" i="51" s="1"/>
  <c r="M67" i="51"/>
  <c r="I68" i="51"/>
  <c r="L68" i="51"/>
  <c r="M68" i="51"/>
  <c r="I69" i="51"/>
  <c r="K69" i="51" s="1"/>
  <c r="I70" i="51"/>
  <c r="K70" i="51" s="1"/>
  <c r="G73" i="51"/>
  <c r="F73" i="51"/>
  <c r="I73" i="51"/>
  <c r="K73" i="51" s="1"/>
  <c r="G74" i="51"/>
  <c r="F74" i="51"/>
  <c r="I74" i="51"/>
  <c r="K74" i="51"/>
  <c r="G77" i="51"/>
  <c r="F77" i="51"/>
  <c r="I77" i="51"/>
  <c r="K77" i="51"/>
  <c r="G78" i="51"/>
  <c r="F78" i="51"/>
  <c r="I78" i="51"/>
  <c r="K78" i="51"/>
  <c r="O81" i="51"/>
  <c r="O82" i="51"/>
  <c r="F84" i="51"/>
  <c r="I84" i="51"/>
  <c r="C86" i="51"/>
  <c r="C99" i="51"/>
  <c r="D86" i="51"/>
  <c r="K94" i="51"/>
  <c r="K95" i="51"/>
  <c r="L8" i="50"/>
  <c r="I12" i="50"/>
  <c r="L12" i="50"/>
  <c r="N12" i="50" s="1"/>
  <c r="O12" i="50" s="1"/>
  <c r="M12" i="50"/>
  <c r="F15" i="50"/>
  <c r="I15" i="50"/>
  <c r="K15" i="50"/>
  <c r="M15" i="50"/>
  <c r="G16" i="50"/>
  <c r="F16" i="50"/>
  <c r="I16" i="50"/>
  <c r="K16" i="50" s="1"/>
  <c r="M16" i="50"/>
  <c r="M54" i="50" s="1"/>
  <c r="I18" i="50"/>
  <c r="K18" i="50" s="1"/>
  <c r="L18" i="50"/>
  <c r="N18" i="50" s="1"/>
  <c r="O18" i="50" s="1"/>
  <c r="M18" i="50"/>
  <c r="I21" i="50"/>
  <c r="K21" i="50" s="1"/>
  <c r="L21" i="50"/>
  <c r="N21" i="50" s="1"/>
  <c r="O21" i="50" s="1"/>
  <c r="I22" i="50"/>
  <c r="K22" i="50" s="1"/>
  <c r="L22" i="50"/>
  <c r="N22" i="50" s="1"/>
  <c r="O22" i="50" s="1"/>
  <c r="M22" i="50"/>
  <c r="G25" i="50"/>
  <c r="F25" i="50"/>
  <c r="I25" i="50"/>
  <c r="K25" i="50" s="1"/>
  <c r="G28" i="50"/>
  <c r="I28" i="50"/>
  <c r="K28" i="50" s="1"/>
  <c r="I29" i="50"/>
  <c r="K29" i="50"/>
  <c r="L29" i="50"/>
  <c r="N29" i="50" s="1"/>
  <c r="I31" i="50"/>
  <c r="K31" i="50"/>
  <c r="G34" i="50"/>
  <c r="I34" i="50"/>
  <c r="K34" i="50"/>
  <c r="G35" i="50"/>
  <c r="I35" i="50"/>
  <c r="K35" i="50" s="1"/>
  <c r="G37" i="50"/>
  <c r="F37" i="50" s="1"/>
  <c r="I37" i="50"/>
  <c r="K37" i="50"/>
  <c r="F39" i="50"/>
  <c r="I39" i="50"/>
  <c r="K39" i="50" s="1"/>
  <c r="F42" i="50"/>
  <c r="I42" i="50"/>
  <c r="K42" i="50"/>
  <c r="I43" i="50"/>
  <c r="K43" i="50" s="1"/>
  <c r="I44" i="50"/>
  <c r="K44" i="50" s="1"/>
  <c r="G47" i="50"/>
  <c r="F47" i="50"/>
  <c r="I47" i="50"/>
  <c r="K47" i="50" s="1"/>
  <c r="G48" i="50"/>
  <c r="F48" i="50"/>
  <c r="I48" i="50"/>
  <c r="K48" i="50"/>
  <c r="D54" i="50"/>
  <c r="L63" i="50"/>
  <c r="I67" i="50"/>
  <c r="L67" i="50"/>
  <c r="N67" i="50" s="1"/>
  <c r="O67" i="50" s="1"/>
  <c r="M67" i="50"/>
  <c r="I68" i="50"/>
  <c r="I86" i="50"/>
  <c r="L68" i="50"/>
  <c r="M68" i="50"/>
  <c r="M86" i="50"/>
  <c r="I69" i="50"/>
  <c r="K69" i="50" s="1"/>
  <c r="I70" i="50"/>
  <c r="K70" i="50"/>
  <c r="G73" i="50"/>
  <c r="F73" i="50"/>
  <c r="I73" i="50"/>
  <c r="K73" i="50"/>
  <c r="G74" i="50"/>
  <c r="I74" i="50"/>
  <c r="K74" i="50"/>
  <c r="F77" i="50"/>
  <c r="I77" i="50"/>
  <c r="K77" i="50"/>
  <c r="F78" i="50"/>
  <c r="I78" i="50"/>
  <c r="K78" i="50"/>
  <c r="I84" i="50"/>
  <c r="K84" i="50" s="1"/>
  <c r="C86" i="50"/>
  <c r="D86" i="50"/>
  <c r="K86" i="50"/>
  <c r="K94" i="50"/>
  <c r="K95" i="50"/>
  <c r="D99" i="50"/>
  <c r="L8" i="48"/>
  <c r="I12" i="48"/>
  <c r="K12" i="48"/>
  <c r="L12" i="48"/>
  <c r="N12" i="48" s="1"/>
  <c r="O12" i="48" s="1"/>
  <c r="M12" i="48"/>
  <c r="F15" i="48"/>
  <c r="I15" i="48"/>
  <c r="K15" i="48" s="1"/>
  <c r="M15" i="48"/>
  <c r="F16" i="48"/>
  <c r="I16" i="48"/>
  <c r="K16" i="48"/>
  <c r="I18" i="48"/>
  <c r="K18" i="48" s="1"/>
  <c r="L18" i="48"/>
  <c r="N18" i="48" s="1"/>
  <c r="O18" i="48" s="1"/>
  <c r="M18" i="48"/>
  <c r="I21" i="48"/>
  <c r="K21" i="48"/>
  <c r="L21" i="48"/>
  <c r="N21" i="48" s="1"/>
  <c r="I22" i="48"/>
  <c r="K22" i="48"/>
  <c r="L22" i="48"/>
  <c r="M22" i="48"/>
  <c r="F25" i="48"/>
  <c r="I25" i="48"/>
  <c r="K25" i="48"/>
  <c r="F28" i="48"/>
  <c r="I28" i="48"/>
  <c r="K28" i="48"/>
  <c r="I29" i="48"/>
  <c r="L29" i="48"/>
  <c r="N29" i="48" s="1"/>
  <c r="O29" i="48" s="1"/>
  <c r="F31" i="48"/>
  <c r="I31" i="48"/>
  <c r="K31" i="48"/>
  <c r="F34" i="48"/>
  <c r="I34" i="48"/>
  <c r="K34" i="48"/>
  <c r="F35" i="48"/>
  <c r="I35" i="48"/>
  <c r="K35" i="48" s="1"/>
  <c r="M35" i="48"/>
  <c r="F37" i="48"/>
  <c r="I37" i="48"/>
  <c r="K37" i="48" s="1"/>
  <c r="F39" i="48"/>
  <c r="I39" i="48"/>
  <c r="K39" i="48"/>
  <c r="I42" i="48"/>
  <c r="K42" i="48"/>
  <c r="I43" i="48"/>
  <c r="K43" i="48"/>
  <c r="I44" i="48"/>
  <c r="K44" i="48"/>
  <c r="M44" i="48"/>
  <c r="I47" i="48"/>
  <c r="K47" i="48" s="1"/>
  <c r="F48" i="48"/>
  <c r="I48" i="48"/>
  <c r="K48" i="48"/>
  <c r="C54" i="48"/>
  <c r="D54" i="48"/>
  <c r="G54" i="48"/>
  <c r="G100" i="48" s="1"/>
  <c r="L64" i="48"/>
  <c r="I68" i="48"/>
  <c r="M68" i="48"/>
  <c r="M87" i="48" s="1"/>
  <c r="N68" i="48"/>
  <c r="O68" i="48"/>
  <c r="I69" i="48"/>
  <c r="M69" i="48"/>
  <c r="N69" i="48"/>
  <c r="O69" i="48"/>
  <c r="I70" i="48"/>
  <c r="K70" i="48"/>
  <c r="N70" i="48"/>
  <c r="I71" i="48"/>
  <c r="K71" i="48" s="1"/>
  <c r="O71" i="48" s="1"/>
  <c r="N71" i="48"/>
  <c r="I74" i="48"/>
  <c r="K74" i="48" s="1"/>
  <c r="I75" i="48"/>
  <c r="K75" i="48"/>
  <c r="I78" i="48"/>
  <c r="K78" i="48"/>
  <c r="F79" i="48"/>
  <c r="I79" i="48"/>
  <c r="K79" i="48"/>
  <c r="L82" i="48"/>
  <c r="L83" i="48"/>
  <c r="C87" i="48"/>
  <c r="D87" i="48"/>
  <c r="G87" i="48"/>
  <c r="K95" i="48"/>
  <c r="K96" i="48"/>
  <c r="C100" i="48"/>
  <c r="L8" i="49"/>
  <c r="I12" i="49"/>
  <c r="K12" i="49" s="1"/>
  <c r="L12" i="49"/>
  <c r="N12" i="49" s="1"/>
  <c r="O12" i="49" s="1"/>
  <c r="M12" i="49"/>
  <c r="F15" i="49"/>
  <c r="I15" i="49"/>
  <c r="M15" i="49"/>
  <c r="F16" i="49"/>
  <c r="I16" i="49"/>
  <c r="K16" i="49"/>
  <c r="I18" i="49"/>
  <c r="K18" i="49"/>
  <c r="L18" i="49"/>
  <c r="N18" i="49" s="1"/>
  <c r="M18" i="49"/>
  <c r="I21" i="49"/>
  <c r="K21" i="49"/>
  <c r="L21" i="49"/>
  <c r="N21" i="49" s="1"/>
  <c r="I22" i="49"/>
  <c r="K22" i="49" s="1"/>
  <c r="L22" i="49"/>
  <c r="N22" i="49" s="1"/>
  <c r="O22" i="49" s="1"/>
  <c r="M22" i="49"/>
  <c r="F25" i="49"/>
  <c r="I25" i="49"/>
  <c r="K25" i="49"/>
  <c r="F28" i="49"/>
  <c r="I28" i="49"/>
  <c r="K28" i="49"/>
  <c r="I29" i="49"/>
  <c r="K29" i="49"/>
  <c r="L29" i="49"/>
  <c r="N29" i="49" s="1"/>
  <c r="F31" i="49"/>
  <c r="I31" i="49"/>
  <c r="K31" i="49" s="1"/>
  <c r="F34" i="49"/>
  <c r="I34" i="49"/>
  <c r="K34" i="49"/>
  <c r="F35" i="49"/>
  <c r="I35" i="49"/>
  <c r="K35" i="49"/>
  <c r="M35" i="49"/>
  <c r="F37" i="49"/>
  <c r="I37" i="49"/>
  <c r="K37" i="49"/>
  <c r="F39" i="49"/>
  <c r="I39" i="49"/>
  <c r="K39" i="49"/>
  <c r="C41" i="49"/>
  <c r="D41" i="49"/>
  <c r="G41" i="49"/>
  <c r="G64" i="49" s="1"/>
  <c r="I46" i="49"/>
  <c r="M46" i="49"/>
  <c r="N46" i="49"/>
  <c r="I47" i="49"/>
  <c r="M47" i="49"/>
  <c r="N47" i="49" s="1"/>
  <c r="O47" i="49" s="1"/>
  <c r="I48" i="49"/>
  <c r="K48" i="49"/>
  <c r="N48" i="49"/>
  <c r="I49" i="49"/>
  <c r="K49" i="49"/>
  <c r="O49" i="49"/>
  <c r="N49" i="49"/>
  <c r="C51" i="49"/>
  <c r="C64" i="49"/>
  <c r="D51" i="49"/>
  <c r="D64" i="49" s="1"/>
  <c r="G51" i="49"/>
  <c r="L51" i="49"/>
  <c r="M51" i="49"/>
  <c r="K59" i="49"/>
  <c r="K60" i="49"/>
  <c r="L8" i="47"/>
  <c r="I12" i="47"/>
  <c r="K12" i="47"/>
  <c r="L12" i="47"/>
  <c r="N12" i="47" s="1"/>
  <c r="M12" i="47"/>
  <c r="F15" i="47"/>
  <c r="I15" i="47"/>
  <c r="K15" i="47"/>
  <c r="M15" i="47"/>
  <c r="F16" i="47"/>
  <c r="I16" i="47"/>
  <c r="K16" i="47"/>
  <c r="I18" i="47"/>
  <c r="K18" i="47"/>
  <c r="L18" i="47"/>
  <c r="N18" i="47" s="1"/>
  <c r="O18" i="47" s="1"/>
  <c r="M18" i="47"/>
  <c r="I21" i="47"/>
  <c r="K21" i="47" s="1"/>
  <c r="L21" i="47"/>
  <c r="N21" i="47" s="1"/>
  <c r="I22" i="47"/>
  <c r="K22" i="47"/>
  <c r="L22" i="47"/>
  <c r="N22" i="47" s="1"/>
  <c r="M22" i="47"/>
  <c r="F25" i="47"/>
  <c r="I25" i="47"/>
  <c r="K25" i="47" s="1"/>
  <c r="F28" i="47"/>
  <c r="I28" i="47"/>
  <c r="K28" i="47"/>
  <c r="I29" i="47"/>
  <c r="K29" i="47"/>
  <c r="L29" i="47"/>
  <c r="N29" i="47" s="1"/>
  <c r="F31" i="47"/>
  <c r="I31" i="47"/>
  <c r="K31" i="47"/>
  <c r="F34" i="47"/>
  <c r="I34" i="47"/>
  <c r="K34" i="47"/>
  <c r="F35" i="47"/>
  <c r="I35" i="47"/>
  <c r="K35" i="47"/>
  <c r="M35" i="47"/>
  <c r="F37" i="47"/>
  <c r="I37" i="47"/>
  <c r="K37" i="47"/>
  <c r="F39" i="47"/>
  <c r="I39" i="47"/>
  <c r="K39" i="47"/>
  <c r="C41" i="47"/>
  <c r="C64" i="47" s="1"/>
  <c r="D41" i="47"/>
  <c r="G41" i="47"/>
  <c r="I46" i="47"/>
  <c r="I51" i="47" s="1"/>
  <c r="M46" i="47"/>
  <c r="I47" i="47"/>
  <c r="M47" i="47"/>
  <c r="N47" i="47"/>
  <c r="O47" i="47" s="1"/>
  <c r="I48" i="47"/>
  <c r="K48" i="47"/>
  <c r="N48" i="47"/>
  <c r="I49" i="47"/>
  <c r="K49" i="47"/>
  <c r="N49" i="47"/>
  <c r="O49" i="47" s="1"/>
  <c r="C51" i="47"/>
  <c r="D51" i="47"/>
  <c r="D64" i="47"/>
  <c r="G51" i="47"/>
  <c r="G64" i="47" s="1"/>
  <c r="L51" i="47"/>
  <c r="K59" i="47"/>
  <c r="K60" i="47"/>
  <c r="L8" i="45"/>
  <c r="I12" i="45"/>
  <c r="K12" i="45" s="1"/>
  <c r="L12" i="45"/>
  <c r="N12" i="45" s="1"/>
  <c r="O12" i="45" s="1"/>
  <c r="M12" i="45"/>
  <c r="M41" i="45"/>
  <c r="F15" i="45"/>
  <c r="I15" i="45"/>
  <c r="M15" i="45"/>
  <c r="F16" i="45"/>
  <c r="I16" i="45"/>
  <c r="K16" i="45"/>
  <c r="I18" i="45"/>
  <c r="K18" i="45"/>
  <c r="L18" i="45"/>
  <c r="N18" i="45" s="1"/>
  <c r="M18" i="45"/>
  <c r="I21" i="45"/>
  <c r="K21" i="45" s="1"/>
  <c r="L21" i="45"/>
  <c r="N21" i="45" s="1"/>
  <c r="O21" i="45" s="1"/>
  <c r="I22" i="45"/>
  <c r="K22" i="45" s="1"/>
  <c r="L22" i="45"/>
  <c r="N22" i="45" s="1"/>
  <c r="M22" i="45"/>
  <c r="F25" i="45"/>
  <c r="I25" i="45"/>
  <c r="K25" i="45"/>
  <c r="F28" i="45"/>
  <c r="I28" i="45"/>
  <c r="K28" i="45"/>
  <c r="I29" i="45"/>
  <c r="K29" i="45"/>
  <c r="L29" i="45"/>
  <c r="N29" i="45" s="1"/>
  <c r="F31" i="45"/>
  <c r="I31" i="45"/>
  <c r="K31" i="45"/>
  <c r="F34" i="45"/>
  <c r="I34" i="45"/>
  <c r="K34" i="45" s="1"/>
  <c r="F35" i="45"/>
  <c r="I35" i="45"/>
  <c r="K35" i="45"/>
  <c r="M35" i="45"/>
  <c r="I37" i="45"/>
  <c r="K37" i="45" s="1"/>
  <c r="F39" i="45"/>
  <c r="I39" i="45"/>
  <c r="K39" i="45"/>
  <c r="C41" i="45"/>
  <c r="D41" i="45"/>
  <c r="G41" i="45"/>
  <c r="I46" i="45"/>
  <c r="M46" i="45"/>
  <c r="N46" i="45"/>
  <c r="O46" i="45"/>
  <c r="I47" i="45"/>
  <c r="M47" i="45"/>
  <c r="N47" i="45"/>
  <c r="I48" i="45"/>
  <c r="K48" i="45"/>
  <c r="N48" i="45"/>
  <c r="I49" i="45"/>
  <c r="K49" i="45" s="1"/>
  <c r="O49" i="45" s="1"/>
  <c r="N49" i="45"/>
  <c r="C51" i="45"/>
  <c r="D51" i="45"/>
  <c r="D64" i="45"/>
  <c r="G51" i="45"/>
  <c r="I51" i="45"/>
  <c r="I64" i="45" s="1"/>
  <c r="L51" i="45"/>
  <c r="K59" i="45"/>
  <c r="K60" i="45"/>
  <c r="G64" i="45"/>
  <c r="K8" i="44"/>
  <c r="H12" i="44"/>
  <c r="J12" i="44" s="1"/>
  <c r="K12" i="44"/>
  <c r="M12" i="44" s="1"/>
  <c r="L12" i="44"/>
  <c r="E15" i="44"/>
  <c r="H15" i="44"/>
  <c r="J15" i="44" s="1"/>
  <c r="L15" i="44"/>
  <c r="E16" i="44"/>
  <c r="H16" i="44"/>
  <c r="J16" i="44" s="1"/>
  <c r="H18" i="44"/>
  <c r="J18" i="44"/>
  <c r="K18" i="44"/>
  <c r="M18" i="44" s="1"/>
  <c r="L18" i="44"/>
  <c r="H21" i="44"/>
  <c r="J21" i="44"/>
  <c r="K21" i="44"/>
  <c r="M21" i="44" s="1"/>
  <c r="H22" i="44"/>
  <c r="J22" i="44" s="1"/>
  <c r="K22" i="44"/>
  <c r="M22" i="44" s="1"/>
  <c r="L22" i="44"/>
  <c r="E25" i="44"/>
  <c r="H25" i="44"/>
  <c r="J25" i="44"/>
  <c r="E28" i="44"/>
  <c r="H28" i="44"/>
  <c r="J28" i="44" s="1"/>
  <c r="H29" i="44"/>
  <c r="J29" i="44"/>
  <c r="K29" i="44"/>
  <c r="M29" i="44" s="1"/>
  <c r="E31" i="44"/>
  <c r="H31" i="44"/>
  <c r="J31" i="44" s="1"/>
  <c r="C33" i="44"/>
  <c r="C56" i="44" s="1"/>
  <c r="D33" i="44"/>
  <c r="F33" i="44"/>
  <c r="L33" i="44"/>
  <c r="H38" i="44"/>
  <c r="H43" i="44" s="1"/>
  <c r="L38" i="44"/>
  <c r="H39" i="44"/>
  <c r="L39" i="44"/>
  <c r="M39" i="44"/>
  <c r="N39" i="44" s="1"/>
  <c r="H40" i="44"/>
  <c r="J40" i="44"/>
  <c r="M40" i="44"/>
  <c r="H41" i="44"/>
  <c r="J41" i="44"/>
  <c r="M41" i="44"/>
  <c r="N41" i="44" s="1"/>
  <c r="C43" i="44"/>
  <c r="D43" i="44"/>
  <c r="D56" i="44"/>
  <c r="F43" i="44"/>
  <c r="F56" i="44" s="1"/>
  <c r="K43" i="44"/>
  <c r="J51" i="44"/>
  <c r="J52" i="44"/>
  <c r="K8" i="42"/>
  <c r="H12" i="42"/>
  <c r="J12" i="42"/>
  <c r="L12" i="42"/>
  <c r="E15" i="42"/>
  <c r="H15" i="42"/>
  <c r="L15" i="42"/>
  <c r="E16" i="42"/>
  <c r="H16" i="42"/>
  <c r="J16" i="42"/>
  <c r="H18" i="42"/>
  <c r="J18" i="42"/>
  <c r="K18" i="42"/>
  <c r="L18" i="42"/>
  <c r="H21" i="42"/>
  <c r="J21" i="42"/>
  <c r="H22" i="42"/>
  <c r="J22" i="42"/>
  <c r="K22" i="42"/>
  <c r="M22" i="42" s="1"/>
  <c r="L22" i="42"/>
  <c r="E25" i="42"/>
  <c r="H25" i="42"/>
  <c r="J25" i="42"/>
  <c r="E28" i="42"/>
  <c r="H28" i="42"/>
  <c r="J28" i="42"/>
  <c r="H29" i="42"/>
  <c r="J29" i="42"/>
  <c r="E31" i="42"/>
  <c r="H31" i="42"/>
  <c r="J31" i="42"/>
  <c r="C33" i="42"/>
  <c r="D33" i="42"/>
  <c r="F33" i="42"/>
  <c r="H38" i="42"/>
  <c r="L38" i="42"/>
  <c r="M38" i="42"/>
  <c r="N38" i="42"/>
  <c r="H39" i="42"/>
  <c r="L39" i="42"/>
  <c r="M39" i="42"/>
  <c r="H40" i="42"/>
  <c r="J40" i="42"/>
  <c r="M40" i="42"/>
  <c r="H41" i="42"/>
  <c r="J41" i="42" s="1"/>
  <c r="N41" i="42" s="1"/>
  <c r="M41" i="42"/>
  <c r="C43" i="42"/>
  <c r="D43" i="42"/>
  <c r="D56" i="42"/>
  <c r="F43" i="42"/>
  <c r="H43" i="42"/>
  <c r="K43" i="42"/>
  <c r="J51" i="42"/>
  <c r="J52" i="42"/>
  <c r="F56" i="42"/>
  <c r="K8" i="40"/>
  <c r="H12" i="40"/>
  <c r="J12" i="40"/>
  <c r="L12" i="40"/>
  <c r="E15" i="40"/>
  <c r="H15" i="40"/>
  <c r="L15" i="40"/>
  <c r="E16" i="40"/>
  <c r="H16" i="40"/>
  <c r="J16" i="40"/>
  <c r="H18" i="40"/>
  <c r="J18" i="40"/>
  <c r="K18" i="40"/>
  <c r="L18" i="40"/>
  <c r="H21" i="40"/>
  <c r="J21" i="40"/>
  <c r="H22" i="40"/>
  <c r="J22" i="40"/>
  <c r="K22" i="40"/>
  <c r="M22" i="40" s="1"/>
  <c r="L22" i="40"/>
  <c r="E25" i="40"/>
  <c r="H25" i="40"/>
  <c r="J25" i="40"/>
  <c r="E28" i="40"/>
  <c r="H28" i="40"/>
  <c r="J28" i="40"/>
  <c r="H29" i="40"/>
  <c r="J29" i="40"/>
  <c r="E31" i="40"/>
  <c r="H31" i="40"/>
  <c r="J31" i="40"/>
  <c r="C33" i="40"/>
  <c r="D33" i="40"/>
  <c r="F33" i="40"/>
  <c r="H38" i="40"/>
  <c r="K38" i="40"/>
  <c r="M38" i="40" s="1"/>
  <c r="N38" i="40" s="1"/>
  <c r="L38" i="40"/>
  <c r="H39" i="40"/>
  <c r="H43" i="40"/>
  <c r="K39" i="40"/>
  <c r="M39" i="40" s="1"/>
  <c r="N39" i="40" s="1"/>
  <c r="L39" i="40"/>
  <c r="L43" i="40"/>
  <c r="H40" i="40"/>
  <c r="J40" i="40"/>
  <c r="H41" i="40"/>
  <c r="J41" i="40"/>
  <c r="C43" i="40"/>
  <c r="D43" i="40"/>
  <c r="D56" i="40"/>
  <c r="F43" i="40"/>
  <c r="K49" i="40"/>
  <c r="K50" i="40"/>
  <c r="J51" i="40"/>
  <c r="K51" i="40"/>
  <c r="J52" i="40"/>
  <c r="K52" i="40"/>
  <c r="F56" i="40"/>
  <c r="K8" i="41"/>
  <c r="H12" i="41"/>
  <c r="J12" i="41"/>
  <c r="L12" i="41"/>
  <c r="F15" i="41"/>
  <c r="H15" i="41"/>
  <c r="J15" i="41"/>
  <c r="L15" i="41"/>
  <c r="E16" i="41"/>
  <c r="H16" i="41"/>
  <c r="J16" i="41"/>
  <c r="H18" i="41"/>
  <c r="J18" i="41"/>
  <c r="K18" i="41"/>
  <c r="M18" i="41" s="1"/>
  <c r="L18" i="41"/>
  <c r="H21" i="41"/>
  <c r="J21" i="41"/>
  <c r="H22" i="41"/>
  <c r="J22" i="41" s="1"/>
  <c r="K22" i="41"/>
  <c r="M22" i="41" s="1"/>
  <c r="L22" i="41"/>
  <c r="E25" i="41"/>
  <c r="H25" i="41"/>
  <c r="J25" i="41"/>
  <c r="E28" i="41"/>
  <c r="H28" i="41"/>
  <c r="J28" i="41"/>
  <c r="H29" i="41"/>
  <c r="J29" i="41"/>
  <c r="E31" i="41"/>
  <c r="H31" i="41"/>
  <c r="J31" i="41"/>
  <c r="N36" i="41"/>
  <c r="N39" i="41"/>
  <c r="C41" i="41"/>
  <c r="D41" i="41"/>
  <c r="D64" i="41" s="1"/>
  <c r="H41" i="41"/>
  <c r="H46" i="41"/>
  <c r="K46" i="41"/>
  <c r="L46" i="41"/>
  <c r="H47" i="41"/>
  <c r="K47" i="41"/>
  <c r="L47" i="41"/>
  <c r="H48" i="41"/>
  <c r="J48" i="41"/>
  <c r="H49" i="41"/>
  <c r="C51" i="41"/>
  <c r="C64" i="41"/>
  <c r="D51" i="41"/>
  <c r="F51" i="41"/>
  <c r="K57" i="41"/>
  <c r="K58" i="41"/>
  <c r="J59" i="41"/>
  <c r="K59" i="41"/>
  <c r="J60" i="41"/>
  <c r="K60" i="41"/>
  <c r="K8" i="37"/>
  <c r="G12" i="37"/>
  <c r="H12" i="37" s="1"/>
  <c r="J12" i="37" s="1"/>
  <c r="L12" i="37"/>
  <c r="E15" i="37"/>
  <c r="G15" i="37"/>
  <c r="H15" i="37"/>
  <c r="J15" i="37" s="1"/>
  <c r="L15" i="37"/>
  <c r="E16" i="37"/>
  <c r="G16" i="37"/>
  <c r="H16" i="37" s="1"/>
  <c r="J16" i="37" s="1"/>
  <c r="H18" i="37"/>
  <c r="J18" i="37"/>
  <c r="K18" i="37"/>
  <c r="M18" i="37" s="1"/>
  <c r="N18" i="37" s="1"/>
  <c r="L18" i="37"/>
  <c r="G21" i="37"/>
  <c r="H21" i="37"/>
  <c r="J21" i="37"/>
  <c r="G22" i="37"/>
  <c r="H22" i="37"/>
  <c r="J22" i="37" s="1"/>
  <c r="K22" i="37"/>
  <c r="M22" i="37" s="1"/>
  <c r="L22" i="37"/>
  <c r="E25" i="37"/>
  <c r="G25" i="37"/>
  <c r="H25" i="37"/>
  <c r="J25" i="37" s="1"/>
  <c r="E28" i="37"/>
  <c r="G28" i="37"/>
  <c r="H28" i="37"/>
  <c r="J28" i="37" s="1"/>
  <c r="G29" i="37"/>
  <c r="H29" i="37" s="1"/>
  <c r="J29" i="37" s="1"/>
  <c r="E31" i="37"/>
  <c r="G31" i="37"/>
  <c r="H31" i="37"/>
  <c r="J31" i="37" s="1"/>
  <c r="C33" i="37"/>
  <c r="D33" i="37"/>
  <c r="F33" i="37"/>
  <c r="H38" i="37"/>
  <c r="K38" i="37"/>
  <c r="M38" i="37" s="1"/>
  <c r="N38" i="37" s="1"/>
  <c r="L38" i="37"/>
  <c r="H39" i="37"/>
  <c r="K39" i="37"/>
  <c r="M39" i="37" s="1"/>
  <c r="N39" i="37" s="1"/>
  <c r="L39" i="37"/>
  <c r="H40" i="37"/>
  <c r="H41" i="37"/>
  <c r="J41" i="37"/>
  <c r="C43" i="37"/>
  <c r="C56" i="37" s="1"/>
  <c r="D43" i="37"/>
  <c r="F43" i="37"/>
  <c r="K49" i="37"/>
  <c r="K50" i="37"/>
  <c r="J51" i="37"/>
  <c r="K51" i="37"/>
  <c r="J52" i="37"/>
  <c r="K52" i="37"/>
  <c r="F56" i="37"/>
  <c r="K8" i="36"/>
  <c r="H12" i="36"/>
  <c r="J12" i="36"/>
  <c r="L12" i="36"/>
  <c r="E15" i="36"/>
  <c r="H15" i="36"/>
  <c r="L15" i="36"/>
  <c r="E16" i="36"/>
  <c r="H16" i="36"/>
  <c r="J16" i="36"/>
  <c r="H18" i="36"/>
  <c r="J18" i="36"/>
  <c r="K18" i="36"/>
  <c r="L18" i="36"/>
  <c r="H21" i="36"/>
  <c r="J21" i="36"/>
  <c r="H22" i="36"/>
  <c r="J22" i="36"/>
  <c r="K22" i="36"/>
  <c r="L22" i="36"/>
  <c r="E25" i="36"/>
  <c r="H25" i="36"/>
  <c r="J25" i="36"/>
  <c r="E28" i="36"/>
  <c r="H28" i="36"/>
  <c r="J28" i="36"/>
  <c r="H29" i="36"/>
  <c r="J29" i="36" s="1"/>
  <c r="E31" i="36"/>
  <c r="H31" i="36"/>
  <c r="J31" i="36"/>
  <c r="C33" i="36"/>
  <c r="D33" i="36"/>
  <c r="D56" i="36" s="1"/>
  <c r="F33" i="36"/>
  <c r="H38" i="36"/>
  <c r="K38" i="36"/>
  <c r="L38" i="36"/>
  <c r="H39" i="36"/>
  <c r="K39" i="36"/>
  <c r="M39" i="36" s="1"/>
  <c r="N39" i="36" s="1"/>
  <c r="L39" i="36"/>
  <c r="H40" i="36"/>
  <c r="J40" i="36"/>
  <c r="H41" i="36"/>
  <c r="J41" i="36"/>
  <c r="C43" i="36"/>
  <c r="C56" i="36" s="1"/>
  <c r="D43" i="36"/>
  <c r="F43" i="36"/>
  <c r="H43" i="36"/>
  <c r="K49" i="36"/>
  <c r="K50" i="36"/>
  <c r="J51" i="36"/>
  <c r="K51" i="36"/>
  <c r="J52" i="36"/>
  <c r="K52" i="36"/>
  <c r="F56" i="36"/>
  <c r="K8" i="35"/>
  <c r="H12" i="35"/>
  <c r="J12" i="35"/>
  <c r="L12" i="35"/>
  <c r="E15" i="35"/>
  <c r="H15" i="35"/>
  <c r="J15" i="35"/>
  <c r="L15" i="35"/>
  <c r="E16" i="35"/>
  <c r="H16" i="35"/>
  <c r="J16" i="35"/>
  <c r="H18" i="35"/>
  <c r="J18" i="35"/>
  <c r="K18" i="35"/>
  <c r="L18" i="35"/>
  <c r="H21" i="35"/>
  <c r="H22" i="35"/>
  <c r="J22" i="35"/>
  <c r="K22" i="35"/>
  <c r="M22" i="35" s="1"/>
  <c r="N22" i="35" s="1"/>
  <c r="L22" i="35"/>
  <c r="E25" i="35"/>
  <c r="H25" i="35"/>
  <c r="J25" i="35"/>
  <c r="E28" i="35"/>
  <c r="H28" i="35"/>
  <c r="J28" i="35"/>
  <c r="H29" i="35"/>
  <c r="J29" i="35"/>
  <c r="E31" i="35"/>
  <c r="H31" i="35"/>
  <c r="J31" i="35" s="1"/>
  <c r="C33" i="35"/>
  <c r="D33" i="35"/>
  <c r="F33" i="35"/>
  <c r="F56" i="35" s="1"/>
  <c r="L33" i="35"/>
  <c r="L56" i="35" s="1"/>
  <c r="H38" i="35"/>
  <c r="K38" i="35"/>
  <c r="L38" i="35"/>
  <c r="L43" i="35" s="1"/>
  <c r="H39" i="35"/>
  <c r="K39" i="35"/>
  <c r="M39" i="35" s="1"/>
  <c r="N39" i="35" s="1"/>
  <c r="L39" i="35"/>
  <c r="H40" i="35"/>
  <c r="J40" i="35"/>
  <c r="H41" i="35"/>
  <c r="C43" i="35"/>
  <c r="C56" i="35"/>
  <c r="D43" i="35"/>
  <c r="F43" i="35"/>
  <c r="K49" i="35"/>
  <c r="K50" i="35"/>
  <c r="J51" i="35"/>
  <c r="K51" i="35"/>
  <c r="J52" i="35"/>
  <c r="K52" i="35"/>
  <c r="K8" i="34"/>
  <c r="H12" i="34"/>
  <c r="J12" i="34"/>
  <c r="L12" i="34"/>
  <c r="L33" i="34"/>
  <c r="L56" i="34" s="1"/>
  <c r="E15" i="34"/>
  <c r="H15" i="34"/>
  <c r="L15" i="34"/>
  <c r="E16" i="34"/>
  <c r="H16" i="34"/>
  <c r="J16" i="34"/>
  <c r="H18" i="34"/>
  <c r="J18" i="34"/>
  <c r="K18" i="34"/>
  <c r="L18" i="34"/>
  <c r="H21" i="34"/>
  <c r="J21" i="34"/>
  <c r="H22" i="34"/>
  <c r="J22" i="34"/>
  <c r="K22" i="34"/>
  <c r="M22" i="34" s="1"/>
  <c r="L22" i="34"/>
  <c r="E25" i="34"/>
  <c r="H25" i="34"/>
  <c r="J25" i="34"/>
  <c r="E28" i="34"/>
  <c r="H28" i="34"/>
  <c r="J28" i="34" s="1"/>
  <c r="H29" i="34"/>
  <c r="J29" i="34"/>
  <c r="E31" i="34"/>
  <c r="H31" i="34"/>
  <c r="J31" i="34"/>
  <c r="C33" i="34"/>
  <c r="C56" i="34"/>
  <c r="D33" i="34"/>
  <c r="F33" i="34"/>
  <c r="H38" i="34"/>
  <c r="H43" i="34" s="1"/>
  <c r="K38" i="34"/>
  <c r="M38" i="34" s="1"/>
  <c r="N38" i="34" s="1"/>
  <c r="L38" i="34"/>
  <c r="H39" i="34"/>
  <c r="K39" i="34"/>
  <c r="M39" i="34" s="1"/>
  <c r="N39" i="34" s="1"/>
  <c r="L39" i="34"/>
  <c r="L43" i="34"/>
  <c r="H40" i="34"/>
  <c r="J40" i="34"/>
  <c r="H41" i="34"/>
  <c r="J41" i="34" s="1"/>
  <c r="C43" i="34"/>
  <c r="D43" i="34"/>
  <c r="F43" i="34"/>
  <c r="F56" i="34"/>
  <c r="K49" i="34"/>
  <c r="K50" i="34"/>
  <c r="J51" i="34"/>
  <c r="K51" i="34"/>
  <c r="J52" i="34"/>
  <c r="K52" i="34"/>
  <c r="D56" i="34"/>
  <c r="K8" i="33"/>
  <c r="H12" i="33"/>
  <c r="J12" i="33"/>
  <c r="L12" i="33"/>
  <c r="E15" i="33"/>
  <c r="H15" i="33"/>
  <c r="L15" i="33"/>
  <c r="E16" i="33"/>
  <c r="H16" i="33"/>
  <c r="J16" i="33"/>
  <c r="H18" i="33"/>
  <c r="J18" i="33"/>
  <c r="K18" i="33"/>
  <c r="M18" i="33" s="1"/>
  <c r="L18" i="33"/>
  <c r="L33" i="33" s="1"/>
  <c r="H21" i="33"/>
  <c r="J21" i="33" s="1"/>
  <c r="H22" i="33"/>
  <c r="J22" i="33"/>
  <c r="K22" i="33"/>
  <c r="M22" i="33" s="1"/>
  <c r="N22" i="33" s="1"/>
  <c r="L22" i="33"/>
  <c r="E25" i="33"/>
  <c r="H25" i="33"/>
  <c r="J25" i="33" s="1"/>
  <c r="E28" i="33"/>
  <c r="H28" i="33"/>
  <c r="J28" i="33"/>
  <c r="E29" i="33"/>
  <c r="H29" i="33"/>
  <c r="J29" i="33"/>
  <c r="E31" i="33"/>
  <c r="H31" i="33"/>
  <c r="J31" i="33" s="1"/>
  <c r="C33" i="33"/>
  <c r="D33" i="33"/>
  <c r="F33" i="33"/>
  <c r="H38" i="33"/>
  <c r="K38" i="33"/>
  <c r="M38" i="33" s="1"/>
  <c r="N38" i="33" s="1"/>
  <c r="L38" i="33"/>
  <c r="H39" i="33"/>
  <c r="K39" i="33"/>
  <c r="M39" i="33" s="1"/>
  <c r="N39" i="33" s="1"/>
  <c r="L39" i="33"/>
  <c r="L43" i="33"/>
  <c r="H40" i="33"/>
  <c r="J40" i="33" s="1"/>
  <c r="J43" i="33" s="1"/>
  <c r="H41" i="33"/>
  <c r="J41" i="33"/>
  <c r="C43" i="33"/>
  <c r="C56" i="33" s="1"/>
  <c r="D43" i="33"/>
  <c r="F43" i="33"/>
  <c r="K49" i="33"/>
  <c r="K50" i="33"/>
  <c r="J51" i="33"/>
  <c r="K51" i="33"/>
  <c r="J52" i="33"/>
  <c r="K52" i="33"/>
  <c r="D56" i="33"/>
  <c r="F56" i="33"/>
  <c r="K8" i="32"/>
  <c r="H12" i="32"/>
  <c r="J12" i="32"/>
  <c r="K12" i="32"/>
  <c r="M12" i="32" s="1"/>
  <c r="N12" i="32" s="1"/>
  <c r="L12" i="32"/>
  <c r="E15" i="32"/>
  <c r="H15" i="32"/>
  <c r="K15" i="32"/>
  <c r="L15" i="32"/>
  <c r="E16" i="32"/>
  <c r="H16" i="32"/>
  <c r="K16" i="32"/>
  <c r="M16" i="32" s="1"/>
  <c r="H18" i="32"/>
  <c r="J18" i="32"/>
  <c r="K18" i="32"/>
  <c r="M18" i="32" s="1"/>
  <c r="N18" i="32" s="1"/>
  <c r="L18" i="32"/>
  <c r="H21" i="32"/>
  <c r="J21" i="32"/>
  <c r="K21" i="32"/>
  <c r="H22" i="32"/>
  <c r="J22" i="32"/>
  <c r="K22" i="32"/>
  <c r="M22" i="32" s="1"/>
  <c r="N22" i="32" s="1"/>
  <c r="L22" i="32"/>
  <c r="E25" i="32"/>
  <c r="H25" i="32"/>
  <c r="J25" i="32" s="1"/>
  <c r="K25" i="32"/>
  <c r="M25" i="32" s="1"/>
  <c r="N25" i="32" s="1"/>
  <c r="E28" i="32"/>
  <c r="H28" i="32"/>
  <c r="J28" i="32"/>
  <c r="K28" i="32"/>
  <c r="M28" i="32" s="1"/>
  <c r="N28" i="32" s="1"/>
  <c r="E29" i="32"/>
  <c r="H29" i="32"/>
  <c r="J29" i="32"/>
  <c r="K29" i="32"/>
  <c r="M29" i="32" s="1"/>
  <c r="N29" i="32" s="1"/>
  <c r="E31" i="32"/>
  <c r="H31" i="32"/>
  <c r="J31" i="32"/>
  <c r="K31" i="32"/>
  <c r="M31" i="32" s="1"/>
  <c r="C33" i="32"/>
  <c r="C56" i="32" s="1"/>
  <c r="D33" i="32"/>
  <c r="F33" i="32"/>
  <c r="H38" i="32"/>
  <c r="K38" i="32"/>
  <c r="L38" i="32"/>
  <c r="H39" i="32"/>
  <c r="K39" i="32"/>
  <c r="M39" i="32" s="1"/>
  <c r="N39" i="32" s="1"/>
  <c r="L39" i="32"/>
  <c r="H40" i="32"/>
  <c r="J40" i="32"/>
  <c r="K40" i="32"/>
  <c r="M40" i="32" s="1"/>
  <c r="N40" i="32" s="1"/>
  <c r="H41" i="32"/>
  <c r="J41" i="32"/>
  <c r="K41" i="32"/>
  <c r="M41" i="32" s="1"/>
  <c r="N41" i="32" s="1"/>
  <c r="C43" i="32"/>
  <c r="D43" i="32"/>
  <c r="D56" i="32"/>
  <c r="F43" i="32"/>
  <c r="L43" i="32"/>
  <c r="K49" i="32"/>
  <c r="K50" i="32"/>
  <c r="J51" i="32"/>
  <c r="K51" i="32"/>
  <c r="J52" i="32"/>
  <c r="K52" i="32"/>
  <c r="F56" i="32"/>
  <c r="K8" i="31"/>
  <c r="H12" i="31"/>
  <c r="J12" i="31"/>
  <c r="L12" i="31"/>
  <c r="L33" i="31"/>
  <c r="E15" i="31"/>
  <c r="H15" i="31"/>
  <c r="J15" i="31"/>
  <c r="L15" i="31"/>
  <c r="E16" i="31"/>
  <c r="H16" i="31"/>
  <c r="J16" i="31"/>
  <c r="H18" i="31"/>
  <c r="J18" i="31"/>
  <c r="K18" i="31"/>
  <c r="M18" i="31" s="1"/>
  <c r="L18" i="31"/>
  <c r="H21" i="31"/>
  <c r="H22" i="31"/>
  <c r="J22" i="31"/>
  <c r="K22" i="31"/>
  <c r="M22" i="31" s="1"/>
  <c r="L22" i="31"/>
  <c r="E25" i="31"/>
  <c r="H25" i="31"/>
  <c r="J25" i="31" s="1"/>
  <c r="E28" i="31"/>
  <c r="H28" i="31"/>
  <c r="J28" i="31"/>
  <c r="E29" i="31"/>
  <c r="H29" i="31"/>
  <c r="J29" i="31" s="1"/>
  <c r="E31" i="31"/>
  <c r="H31" i="31"/>
  <c r="J31" i="31"/>
  <c r="C33" i="31"/>
  <c r="D33" i="31"/>
  <c r="D56" i="31" s="1"/>
  <c r="F33" i="31"/>
  <c r="H38" i="31"/>
  <c r="K38" i="31"/>
  <c r="M38" i="31" s="1"/>
  <c r="N38" i="31" s="1"/>
  <c r="L38" i="31"/>
  <c r="L43" i="31"/>
  <c r="H39" i="31"/>
  <c r="K39" i="31"/>
  <c r="L39" i="31"/>
  <c r="H40" i="31"/>
  <c r="J40" i="31"/>
  <c r="H41" i="31"/>
  <c r="J41" i="31" s="1"/>
  <c r="J43" i="31" s="1"/>
  <c r="C43" i="31"/>
  <c r="D43" i="31"/>
  <c r="F43" i="31"/>
  <c r="F56" i="31" s="1"/>
  <c r="K49" i="31"/>
  <c r="K50" i="31"/>
  <c r="J51" i="31"/>
  <c r="K51" i="31"/>
  <c r="J52" i="31"/>
  <c r="K52" i="31"/>
  <c r="C56" i="31"/>
  <c r="K8" i="29"/>
  <c r="H12" i="29"/>
  <c r="L12" i="29"/>
  <c r="E15" i="29"/>
  <c r="H15" i="29"/>
  <c r="J15" i="29"/>
  <c r="L15" i="29"/>
  <c r="E16" i="29"/>
  <c r="H16" i="29"/>
  <c r="J16" i="29"/>
  <c r="H18" i="29"/>
  <c r="J18" i="29"/>
  <c r="K18" i="29"/>
  <c r="L18" i="29"/>
  <c r="H21" i="29"/>
  <c r="J21" i="29"/>
  <c r="H22" i="29"/>
  <c r="J22" i="29"/>
  <c r="K22" i="29"/>
  <c r="M22" i="29" s="1"/>
  <c r="L22" i="29"/>
  <c r="E25" i="29"/>
  <c r="H25" i="29"/>
  <c r="J25" i="29"/>
  <c r="E28" i="29"/>
  <c r="H28" i="29"/>
  <c r="J28" i="29"/>
  <c r="H29" i="29"/>
  <c r="E31" i="29"/>
  <c r="H31" i="29"/>
  <c r="J31" i="29"/>
  <c r="C33" i="29"/>
  <c r="D33" i="29"/>
  <c r="F33" i="29"/>
  <c r="H38" i="29"/>
  <c r="K38" i="29"/>
  <c r="L38" i="29"/>
  <c r="H39" i="29"/>
  <c r="K39" i="29"/>
  <c r="L39" i="29"/>
  <c r="H40" i="29"/>
  <c r="J40" i="29" s="1"/>
  <c r="H41" i="29"/>
  <c r="J41" i="29"/>
  <c r="C43" i="29"/>
  <c r="C56" i="29"/>
  <c r="D43" i="29"/>
  <c r="F43" i="29"/>
  <c r="K49" i="29"/>
  <c r="K50" i="29"/>
  <c r="J51" i="29"/>
  <c r="K51" i="29"/>
  <c r="J52" i="29"/>
  <c r="K52" i="29"/>
  <c r="D56" i="29"/>
  <c r="F56" i="29"/>
  <c r="K13" i="27"/>
  <c r="H17" i="27"/>
  <c r="J17" i="27"/>
  <c r="L17" i="27"/>
  <c r="E18" i="27"/>
  <c r="H18" i="27"/>
  <c r="J18" i="27"/>
  <c r="L18" i="27"/>
  <c r="L30" i="27"/>
  <c r="E19" i="27"/>
  <c r="H19" i="27"/>
  <c r="H21" i="27"/>
  <c r="J21" i="27"/>
  <c r="K21" i="27"/>
  <c r="M21" i="27" s="1"/>
  <c r="N21" i="27" s="1"/>
  <c r="L21" i="27"/>
  <c r="H23" i="27"/>
  <c r="J23" i="27"/>
  <c r="H24" i="27"/>
  <c r="J24" i="27"/>
  <c r="K24" i="27"/>
  <c r="M24" i="27" s="1"/>
  <c r="N24" i="27" s="1"/>
  <c r="L24" i="27"/>
  <c r="E26" i="27"/>
  <c r="H26" i="27"/>
  <c r="E28" i="27"/>
  <c r="H28" i="27"/>
  <c r="J28" i="27"/>
  <c r="C30" i="27"/>
  <c r="D30" i="27"/>
  <c r="D53" i="27" s="1"/>
  <c r="F30" i="27"/>
  <c r="H35" i="27"/>
  <c r="K35" i="27"/>
  <c r="M35" i="27" s="1"/>
  <c r="N35" i="27" s="1"/>
  <c r="L35" i="27"/>
  <c r="H36" i="27"/>
  <c r="K36" i="27"/>
  <c r="M36" i="27" s="1"/>
  <c r="N36" i="27" s="1"/>
  <c r="L36" i="27"/>
  <c r="L40" i="27" s="1"/>
  <c r="L53" i="27" s="1"/>
  <c r="E37" i="27"/>
  <c r="H37" i="27"/>
  <c r="J37" i="27" s="1"/>
  <c r="E38" i="27"/>
  <c r="H38" i="27"/>
  <c r="J38" i="27"/>
  <c r="C40" i="27"/>
  <c r="D40" i="27"/>
  <c r="F40" i="27"/>
  <c r="F53" i="27" s="1"/>
  <c r="H40" i="27"/>
  <c r="K46" i="27"/>
  <c r="K47" i="27"/>
  <c r="J48" i="27"/>
  <c r="K48" i="27"/>
  <c r="J49" i="27"/>
  <c r="K49" i="27"/>
  <c r="C53" i="27"/>
  <c r="K13" i="26"/>
  <c r="H17" i="26"/>
  <c r="J17" i="26" s="1"/>
  <c r="L17" i="26"/>
  <c r="F18" i="26"/>
  <c r="H18" i="26"/>
  <c r="J18" i="26"/>
  <c r="E19" i="26"/>
  <c r="H19" i="26"/>
  <c r="J19" i="26"/>
  <c r="H21" i="26"/>
  <c r="J21" i="26"/>
  <c r="K21" i="26"/>
  <c r="L21" i="26"/>
  <c r="E23" i="26"/>
  <c r="H23" i="26"/>
  <c r="J23" i="26"/>
  <c r="H24" i="26"/>
  <c r="J24" i="26" s="1"/>
  <c r="K24" i="26"/>
  <c r="M24" i="26" s="1"/>
  <c r="L24" i="26"/>
  <c r="E26" i="26"/>
  <c r="H26" i="26"/>
  <c r="J26" i="26"/>
  <c r="E28" i="26"/>
  <c r="H28" i="26"/>
  <c r="J28" i="26"/>
  <c r="C30" i="26"/>
  <c r="D30" i="26"/>
  <c r="D53" i="26" s="1"/>
  <c r="E35" i="26"/>
  <c r="H35" i="26"/>
  <c r="L35" i="26"/>
  <c r="M35" i="26"/>
  <c r="N35" i="26"/>
  <c r="F36" i="26"/>
  <c r="H36" i="26"/>
  <c r="E37" i="26"/>
  <c r="H37" i="26"/>
  <c r="J37" i="26"/>
  <c r="E38" i="26"/>
  <c r="H38" i="26"/>
  <c r="J38" i="26"/>
  <c r="C40" i="26"/>
  <c r="C53" i="26" s="1"/>
  <c r="D40" i="26"/>
  <c r="J48" i="26"/>
  <c r="J49" i="26"/>
  <c r="K13" i="12"/>
  <c r="H17" i="12"/>
  <c r="E18" i="12"/>
  <c r="H18" i="12"/>
  <c r="L18" i="12"/>
  <c r="E19" i="12"/>
  <c r="H19" i="12"/>
  <c r="J19" i="12"/>
  <c r="H21" i="12"/>
  <c r="J21" i="12"/>
  <c r="K21" i="12"/>
  <c r="M21" i="12" s="1"/>
  <c r="L21" i="12"/>
  <c r="E23" i="12"/>
  <c r="H23" i="12"/>
  <c r="J23" i="12" s="1"/>
  <c r="H24" i="12"/>
  <c r="J24" i="12"/>
  <c r="K24" i="12"/>
  <c r="M24" i="12" s="1"/>
  <c r="L24" i="12"/>
  <c r="E26" i="12"/>
  <c r="H26" i="12"/>
  <c r="J26" i="12" s="1"/>
  <c r="E28" i="12"/>
  <c r="H28" i="12"/>
  <c r="J28" i="12"/>
  <c r="C30" i="12"/>
  <c r="C53" i="12" s="1"/>
  <c r="D30" i="12"/>
  <c r="F30" i="12"/>
  <c r="F53" i="12"/>
  <c r="L30" i="12"/>
  <c r="L53" i="12" s="1"/>
  <c r="E35" i="12"/>
  <c r="H35" i="12"/>
  <c r="L35" i="12"/>
  <c r="M35" i="12"/>
  <c r="N35" i="12" s="1"/>
  <c r="E36" i="12"/>
  <c r="H36" i="12"/>
  <c r="L36" i="12"/>
  <c r="M36" i="12" s="1"/>
  <c r="N36" i="12" s="1"/>
  <c r="E37" i="12"/>
  <c r="H37" i="12"/>
  <c r="J37" i="12" s="1"/>
  <c r="J40" i="12" s="1"/>
  <c r="E38" i="12"/>
  <c r="H38" i="12"/>
  <c r="J38" i="12" s="1"/>
  <c r="C40" i="12"/>
  <c r="D40" i="12"/>
  <c r="D53" i="12"/>
  <c r="F40" i="12"/>
  <c r="J48" i="12"/>
  <c r="J49" i="12"/>
  <c r="K13" i="13"/>
  <c r="H17" i="13"/>
  <c r="L17" i="13"/>
  <c r="E18" i="13"/>
  <c r="H18" i="13"/>
  <c r="J18" i="13"/>
  <c r="L18" i="13"/>
  <c r="E19" i="13"/>
  <c r="H19" i="13"/>
  <c r="J19" i="13" s="1"/>
  <c r="H21" i="13"/>
  <c r="J21" i="13"/>
  <c r="K21" i="13"/>
  <c r="M21" i="13" s="1"/>
  <c r="L21" i="13"/>
  <c r="E23" i="13"/>
  <c r="H23" i="13"/>
  <c r="J23" i="13" s="1"/>
  <c r="H24" i="13"/>
  <c r="J24" i="13"/>
  <c r="K24" i="13"/>
  <c r="M24" i="13" s="1"/>
  <c r="L24" i="13"/>
  <c r="E26" i="13"/>
  <c r="H26" i="13"/>
  <c r="J26" i="13" s="1"/>
  <c r="E28" i="13"/>
  <c r="H28" i="13"/>
  <c r="J28" i="13"/>
  <c r="C30" i="13"/>
  <c r="C53" i="13"/>
  <c r="D30" i="13"/>
  <c r="F30" i="13"/>
  <c r="L30" i="13"/>
  <c r="E35" i="13"/>
  <c r="H35" i="13"/>
  <c r="L35" i="13"/>
  <c r="M35" i="13" s="1"/>
  <c r="N35" i="13"/>
  <c r="E36" i="13"/>
  <c r="H36" i="13"/>
  <c r="L36" i="13"/>
  <c r="M36" i="13" s="1"/>
  <c r="N36" i="13" s="1"/>
  <c r="E37" i="13"/>
  <c r="H37" i="13"/>
  <c r="J37" i="13"/>
  <c r="E38" i="13"/>
  <c r="H38" i="13"/>
  <c r="J38" i="13" s="1"/>
  <c r="K38" i="13"/>
  <c r="M38" i="13" s="1"/>
  <c r="C40" i="13"/>
  <c r="D40" i="13"/>
  <c r="D53" i="13"/>
  <c r="F40" i="13"/>
  <c r="F53" i="13" s="1"/>
  <c r="J48" i="13"/>
  <c r="J49" i="13"/>
  <c r="J14" i="14"/>
  <c r="E54" i="14"/>
  <c r="I54" i="14"/>
  <c r="J54" i="14"/>
  <c r="K54" i="14"/>
  <c r="L54" i="14"/>
  <c r="M54" i="14"/>
  <c r="J13" i="15"/>
  <c r="J13" i="16"/>
  <c r="J13" i="17"/>
  <c r="J13" i="18"/>
  <c r="J13" i="19"/>
  <c r="J13" i="20"/>
  <c r="J13" i="21"/>
  <c r="J13" i="22"/>
  <c r="A10" i="25"/>
  <c r="A11" i="25" s="1"/>
  <c r="A13" i="25" s="1"/>
  <c r="A14" i="25" s="1"/>
  <c r="A15" i="25" s="1"/>
  <c r="A16" i="25" s="1"/>
  <c r="A17" i="25" s="1"/>
  <c r="A19" i="25" s="1"/>
  <c r="A22" i="25" s="1"/>
  <c r="A24" i="25" s="1"/>
  <c r="A27" i="25" s="1"/>
  <c r="A28" i="25" s="1"/>
  <c r="A29" i="25" s="1"/>
  <c r="A36" i="25" s="1"/>
  <c r="A37" i="25" s="1"/>
  <c r="A38" i="25" s="1"/>
  <c r="A40" i="25" s="1"/>
  <c r="A41" i="25" s="1"/>
  <c r="A42" i="25" s="1"/>
  <c r="A43" i="25" s="1"/>
  <c r="C46" i="25"/>
  <c r="D37" i="25" s="1"/>
  <c r="H61" i="25"/>
  <c r="C67" i="25"/>
  <c r="C72" i="25" s="1"/>
  <c r="F81" i="25"/>
  <c r="L40" i="12"/>
  <c r="J17" i="12"/>
  <c r="J40" i="26"/>
  <c r="H30" i="26"/>
  <c r="J12" i="29"/>
  <c r="J16" i="32"/>
  <c r="N39" i="42"/>
  <c r="M43" i="42"/>
  <c r="J19" i="27"/>
  <c r="J15" i="34"/>
  <c r="J33" i="34" s="1"/>
  <c r="H33" i="34"/>
  <c r="H56" i="34" s="1"/>
  <c r="J21" i="35"/>
  <c r="H33" i="35"/>
  <c r="F15" i="51"/>
  <c r="M15" i="51"/>
  <c r="G54" i="51"/>
  <c r="J30" i="26"/>
  <c r="J53" i="26" s="1"/>
  <c r="J43" i="29"/>
  <c r="L56" i="31"/>
  <c r="K12" i="51"/>
  <c r="H43" i="31"/>
  <c r="J43" i="32"/>
  <c r="H43" i="32"/>
  <c r="L56" i="33"/>
  <c r="J33" i="35"/>
  <c r="J43" i="36"/>
  <c r="L33" i="37"/>
  <c r="O47" i="45"/>
  <c r="N51" i="45"/>
  <c r="J15" i="36"/>
  <c r="H33" i="36"/>
  <c r="H56" i="36"/>
  <c r="J15" i="42"/>
  <c r="H33" i="42"/>
  <c r="H56" i="42" s="1"/>
  <c r="O48" i="47"/>
  <c r="K51" i="47"/>
  <c r="N46" i="47"/>
  <c r="N51" i="47" s="1"/>
  <c r="M51" i="47"/>
  <c r="K15" i="49"/>
  <c r="F74" i="50"/>
  <c r="G86" i="50"/>
  <c r="M99" i="50"/>
  <c r="F16" i="51"/>
  <c r="M16" i="51"/>
  <c r="H33" i="40"/>
  <c r="H56" i="40"/>
  <c r="I87" i="48"/>
  <c r="F48" i="51"/>
  <c r="L43" i="37"/>
  <c r="L41" i="41"/>
  <c r="N40" i="44"/>
  <c r="J43" i="44"/>
  <c r="M38" i="44"/>
  <c r="L43" i="44"/>
  <c r="L56" i="44" s="1"/>
  <c r="K15" i="45"/>
  <c r="I41" i="45"/>
  <c r="O48" i="49"/>
  <c r="K51" i="49"/>
  <c r="O46" i="49"/>
  <c r="O51" i="49"/>
  <c r="N51" i="49"/>
  <c r="K29" i="48"/>
  <c r="I54" i="48"/>
  <c r="F35" i="51"/>
  <c r="J43" i="40"/>
  <c r="J15" i="40"/>
  <c r="L43" i="42"/>
  <c r="M51" i="45"/>
  <c r="M64" i="45"/>
  <c r="M54" i="53"/>
  <c r="I51" i="49"/>
  <c r="O70" i="48"/>
  <c r="K87" i="48"/>
  <c r="K41" i="33"/>
  <c r="M41" i="33" s="1"/>
  <c r="N41" i="33" s="1"/>
  <c r="AU32" i="11"/>
  <c r="CL32" i="11" s="1"/>
  <c r="L31" i="50" s="1"/>
  <c r="N31" i="50" s="1"/>
  <c r="O31" i="50" s="1"/>
  <c r="F31" i="50"/>
  <c r="M41" i="49"/>
  <c r="M64" i="49"/>
  <c r="D100" i="48"/>
  <c r="K54" i="48"/>
  <c r="K100" i="48" s="1"/>
  <c r="I54" i="50"/>
  <c r="I99" i="50"/>
  <c r="K12" i="50"/>
  <c r="G86" i="51"/>
  <c r="K54" i="52"/>
  <c r="O16" i="52"/>
  <c r="K54" i="53"/>
  <c r="K99" i="53" s="1"/>
  <c r="O48" i="53"/>
  <c r="O47" i="53"/>
  <c r="G86" i="52"/>
  <c r="M73" i="52"/>
  <c r="I54" i="53"/>
  <c r="I99" i="53" s="1"/>
  <c r="M43" i="52"/>
  <c r="G54" i="52"/>
  <c r="G99" i="52" s="1"/>
  <c r="O78" i="52"/>
  <c r="O74" i="52"/>
  <c r="O84" i="53"/>
  <c r="O47" i="54"/>
  <c r="G54" i="54"/>
  <c r="AZ16" i="11"/>
  <c r="CQ16" i="11" s="1"/>
  <c r="F35" i="55"/>
  <c r="AZ36" i="11"/>
  <c r="CQ36" i="11" s="1"/>
  <c r="L35" i="55" s="1"/>
  <c r="N35" i="55" s="1"/>
  <c r="M73" i="54"/>
  <c r="M86" i="54" s="1"/>
  <c r="G54" i="55"/>
  <c r="M16" i="55"/>
  <c r="N16" i="55" s="1"/>
  <c r="F42" i="55"/>
  <c r="M73" i="55"/>
  <c r="N73" i="55" s="1"/>
  <c r="G86" i="55"/>
  <c r="C86" i="55"/>
  <c r="F74" i="55"/>
  <c r="I100" i="48"/>
  <c r="N38" i="44"/>
  <c r="N43" i="44"/>
  <c r="M43" i="44"/>
  <c r="J33" i="40"/>
  <c r="J56" i="40" s="1"/>
  <c r="J33" i="36"/>
  <c r="J56" i="36"/>
  <c r="N73" i="52"/>
  <c r="K54" i="50"/>
  <c r="K99" i="50"/>
  <c r="O46" i="47"/>
  <c r="O51" i="47" s="1"/>
  <c r="J33" i="42"/>
  <c r="L56" i="37"/>
  <c r="G99" i="51"/>
  <c r="K41" i="45"/>
  <c r="M54" i="51"/>
  <c r="O73" i="52"/>
  <c r="F80" i="56"/>
  <c r="F25" i="56"/>
  <c r="M47" i="56"/>
  <c r="N47" i="56" s="1"/>
  <c r="K12" i="56"/>
  <c r="M48" i="56"/>
  <c r="N48" i="56" s="1"/>
  <c r="F48" i="56"/>
  <c r="G54" i="56"/>
  <c r="N78" i="56"/>
  <c r="F78" i="56"/>
  <c r="F15" i="56"/>
  <c r="F28" i="56"/>
  <c r="G86" i="56"/>
  <c r="F16" i="55"/>
  <c r="F37" i="55"/>
  <c r="AZ29" i="11"/>
  <c r="CQ29" i="11" s="1"/>
  <c r="L28" i="55" s="1"/>
  <c r="N28" i="55" s="1"/>
  <c r="C54" i="54"/>
  <c r="F42" i="54"/>
  <c r="F31" i="54"/>
  <c r="F15" i="54"/>
  <c r="C54" i="56"/>
  <c r="CR91" i="11" l="1"/>
  <c r="L80" i="56" s="1"/>
  <c r="N80" i="56" s="1"/>
  <c r="O80" i="56" s="1"/>
  <c r="N31" i="57"/>
  <c r="O31" i="57" s="1"/>
  <c r="CR43" i="11"/>
  <c r="L42" i="56" s="1"/>
  <c r="N42" i="56" s="1"/>
  <c r="O42" i="56" s="1"/>
  <c r="CR80" i="11"/>
  <c r="L68" i="58" s="1"/>
  <c r="CR35" i="11"/>
  <c r="L34" i="56" s="1"/>
  <c r="N34" i="56" s="1"/>
  <c r="O34" i="56" s="1"/>
  <c r="CR81" i="11"/>
  <c r="N18" i="57"/>
  <c r="O18" i="57" s="1"/>
  <c r="CR26" i="11"/>
  <c r="L25" i="56" s="1"/>
  <c r="N25" i="56" s="1"/>
  <c r="O25" i="56" s="1"/>
  <c r="N26" i="57"/>
  <c r="O26" i="57" s="1"/>
  <c r="CR38" i="11"/>
  <c r="L37" i="56" s="1"/>
  <c r="N37" i="56" s="1"/>
  <c r="O37" i="56" s="1"/>
  <c r="O59" i="56"/>
  <c r="O64" i="57"/>
  <c r="O4" i="57"/>
  <c r="O47" i="56"/>
  <c r="BB8" i="11"/>
  <c r="BC8" i="11" s="1"/>
  <c r="BI8" i="11" s="1"/>
  <c r="BJ8" i="11" s="1"/>
  <c r="BK8" i="11" s="1"/>
  <c r="BL8" i="11" s="1"/>
  <c r="BM8" i="11" s="1"/>
  <c r="BN8" i="11" s="1"/>
  <c r="BO8" i="11" s="1"/>
  <c r="BP8" i="11" s="1"/>
  <c r="BQ8" i="11" s="1"/>
  <c r="BR8" i="11" s="1"/>
  <c r="BS8" i="11" s="1"/>
  <c r="BT8" i="11" s="1"/>
  <c r="BU8" i="11" s="1"/>
  <c r="BV8" i="11" s="1"/>
  <c r="BW8" i="11" s="1"/>
  <c r="BX8" i="11" s="1"/>
  <c r="BY8" i="11" s="1"/>
  <c r="BZ8" i="11" s="1"/>
  <c r="CA8" i="11" s="1"/>
  <c r="CB8" i="11" s="1"/>
  <c r="CC8" i="11" s="1"/>
  <c r="CD8" i="11" s="1"/>
  <c r="CE8" i="11" s="1"/>
  <c r="CF8" i="11" s="1"/>
  <c r="CG8" i="11" s="1"/>
  <c r="CH8" i="11" s="1"/>
  <c r="CI8" i="11" s="1"/>
  <c r="CJ8" i="11" s="1"/>
  <c r="CK8" i="11" s="1"/>
  <c r="CL8" i="11" s="1"/>
  <c r="CM8" i="11" s="1"/>
  <c r="CN8" i="11" s="1"/>
  <c r="CO8" i="11" s="1"/>
  <c r="CP8" i="11" s="1"/>
  <c r="CQ8" i="11" s="1"/>
  <c r="CR8" i="11" s="1"/>
  <c r="CS8" i="11" s="1"/>
  <c r="CT8" i="11" s="1"/>
  <c r="N15" i="57"/>
  <c r="O4" i="55"/>
  <c r="O4" i="58"/>
  <c r="O58" i="58"/>
  <c r="K40" i="31"/>
  <c r="M40" i="31" s="1"/>
  <c r="N40" i="31" s="1"/>
  <c r="CD110" i="11"/>
  <c r="AC127" i="11"/>
  <c r="L51" i="56"/>
  <c r="N51" i="56" s="1"/>
  <c r="O51" i="56" s="1"/>
  <c r="L43" i="58"/>
  <c r="N43" i="58" s="1"/>
  <c r="O43" i="58" s="1"/>
  <c r="L51" i="52"/>
  <c r="N51" i="52" s="1"/>
  <c r="O51" i="52" s="1"/>
  <c r="L52" i="56"/>
  <c r="N52" i="56" s="1"/>
  <c r="O52" i="56" s="1"/>
  <c r="L44" i="58"/>
  <c r="N44" i="58" s="1"/>
  <c r="O44" i="58" s="1"/>
  <c r="L52" i="54"/>
  <c r="N52" i="54" s="1"/>
  <c r="O52" i="54" s="1"/>
  <c r="N25" i="37"/>
  <c r="CC110" i="11"/>
  <c r="BY110" i="11"/>
  <c r="L69" i="54"/>
  <c r="N69" i="54" s="1"/>
  <c r="O69" i="54" s="1"/>
  <c r="BS110" i="11"/>
  <c r="N29" i="33"/>
  <c r="O39" i="48"/>
  <c r="N67" i="56"/>
  <c r="O67" i="56" s="1"/>
  <c r="L70" i="54"/>
  <c r="N70" i="54" s="1"/>
  <c r="O70" i="54" s="1"/>
  <c r="L70" i="55"/>
  <c r="N70" i="55" s="1"/>
  <c r="O70" i="55" s="1"/>
  <c r="L52" i="55"/>
  <c r="N52" i="55" s="1"/>
  <c r="O52" i="55" s="1"/>
  <c r="AR128" i="11"/>
  <c r="CJ110" i="11"/>
  <c r="BX110" i="11"/>
  <c r="AG127" i="11"/>
  <c r="K37" i="26"/>
  <c r="K40" i="26" s="1"/>
  <c r="BT110" i="11"/>
  <c r="L34" i="47"/>
  <c r="N34" i="47" s="1"/>
  <c r="O34" i="47" s="1"/>
  <c r="CI73" i="11"/>
  <c r="N34" i="58"/>
  <c r="O34" i="58" s="1"/>
  <c r="N12" i="44"/>
  <c r="AP128" i="11"/>
  <c r="AH128" i="11"/>
  <c r="L35" i="56"/>
  <c r="N35" i="56" s="1"/>
  <c r="O35" i="56" s="1"/>
  <c r="N27" i="58"/>
  <c r="O27" i="58" s="1"/>
  <c r="L69" i="58"/>
  <c r="N69" i="58" s="1"/>
  <c r="O69" i="58" s="1"/>
  <c r="L15" i="56"/>
  <c r="N15" i="56" s="1"/>
  <c r="O15" i="56" s="1"/>
  <c r="L51" i="55"/>
  <c r="N51" i="55" s="1"/>
  <c r="O51" i="55" s="1"/>
  <c r="N28" i="26"/>
  <c r="N18" i="44"/>
  <c r="CL110" i="11"/>
  <c r="CH110" i="11"/>
  <c r="N19" i="58"/>
  <c r="O19" i="58" s="1"/>
  <c r="N19" i="27"/>
  <c r="N31" i="33"/>
  <c r="L28" i="56"/>
  <c r="N28" i="56" s="1"/>
  <c r="O28" i="56" s="1"/>
  <c r="N22" i="58"/>
  <c r="O22" i="58" s="1"/>
  <c r="L31" i="56"/>
  <c r="N31" i="56" s="1"/>
  <c r="O31" i="56" s="1"/>
  <c r="N28" i="34"/>
  <c r="M18" i="34"/>
  <c r="N18" i="34" s="1"/>
  <c r="O39" i="47"/>
  <c r="O34" i="49"/>
  <c r="O37" i="50"/>
  <c r="N68" i="53"/>
  <c r="O68" i="53" s="1"/>
  <c r="O21" i="55"/>
  <c r="CP32" i="11"/>
  <c r="L31" i="54" s="1"/>
  <c r="N31" i="54" s="1"/>
  <c r="O31" i="54" s="1"/>
  <c r="N29" i="58"/>
  <c r="O29" i="58" s="1"/>
  <c r="O4" i="47"/>
  <c r="O4" i="49"/>
  <c r="O60" i="48"/>
  <c r="O4" i="53"/>
  <c r="N7" i="27"/>
  <c r="N4" i="31"/>
  <c r="O59" i="50"/>
  <c r="O4" i="54"/>
  <c r="CX4" i="11"/>
  <c r="E67" i="25"/>
  <c r="N4" i="36"/>
  <c r="O4" i="51"/>
  <c r="O59" i="53"/>
  <c r="AP4" i="11"/>
  <c r="N7" i="13"/>
  <c r="N4" i="29"/>
  <c r="N4" i="32"/>
  <c r="N4" i="44"/>
  <c r="O4" i="50"/>
  <c r="M7" i="21"/>
  <c r="M7" i="19"/>
  <c r="M7" i="17"/>
  <c r="M7" i="15"/>
  <c r="M8" i="14"/>
  <c r="N7" i="12"/>
  <c r="N4" i="33"/>
  <c r="N4" i="34"/>
  <c r="N4" i="35"/>
  <c r="N4" i="41"/>
  <c r="N4" i="42"/>
  <c r="O4" i="52"/>
  <c r="O4" i="56"/>
  <c r="O59" i="55"/>
  <c r="M7" i="22"/>
  <c r="M7" i="20"/>
  <c r="M7" i="18"/>
  <c r="M7" i="16"/>
  <c r="N7" i="26"/>
  <c r="N4" i="40"/>
  <c r="O4" i="45"/>
  <c r="O4" i="48"/>
  <c r="O59" i="51"/>
  <c r="O59" i="52"/>
  <c r="O59" i="54"/>
  <c r="CC4" i="11"/>
  <c r="H67" i="25"/>
  <c r="H72" i="25" s="1"/>
  <c r="E2" i="10"/>
  <c r="D99" i="56"/>
  <c r="C99" i="56"/>
  <c r="O74" i="55"/>
  <c r="O16" i="55"/>
  <c r="M54" i="55"/>
  <c r="O51" i="54"/>
  <c r="E10" i="10"/>
  <c r="E14" i="10" s="1"/>
  <c r="E18" i="10" s="1"/>
  <c r="E22" i="10" s="1"/>
  <c r="E24" i="10" s="1"/>
  <c r="K35" i="10"/>
  <c r="L35" i="10" s="1"/>
  <c r="C14" i="10"/>
  <c r="C18" i="10" s="1"/>
  <c r="K20" i="10"/>
  <c r="L20" i="10" s="1"/>
  <c r="N74" i="48"/>
  <c r="O74" i="48" s="1"/>
  <c r="L87" i="48"/>
  <c r="M15" i="44"/>
  <c r="N15" i="44" s="1"/>
  <c r="K33" i="44"/>
  <c r="K56" i="44" s="1"/>
  <c r="AK126" i="11"/>
  <c r="AI127" i="11"/>
  <c r="CO73" i="11"/>
  <c r="N25" i="31"/>
  <c r="O16" i="49"/>
  <c r="CO110" i="11"/>
  <c r="K41" i="29"/>
  <c r="M41" i="29" s="1"/>
  <c r="N41" i="29" s="1"/>
  <c r="K41" i="31"/>
  <c r="M41" i="31" s="1"/>
  <c r="N41" i="31" s="1"/>
  <c r="BV110" i="11"/>
  <c r="AH126" i="11"/>
  <c r="AD126" i="11"/>
  <c r="CD16" i="11"/>
  <c r="K15" i="41" s="1"/>
  <c r="K41" i="41" s="1"/>
  <c r="AM126" i="11"/>
  <c r="BX73" i="11"/>
  <c r="CQ110" i="11"/>
  <c r="CG110" i="11"/>
  <c r="AP127" i="11"/>
  <c r="AH127" i="11"/>
  <c r="N22" i="44"/>
  <c r="CN110" i="11"/>
  <c r="CP110" i="11"/>
  <c r="M39" i="31"/>
  <c r="N39" i="31" s="1"/>
  <c r="M18" i="36"/>
  <c r="N18" i="36" s="1"/>
  <c r="O39" i="51"/>
  <c r="O70" i="52"/>
  <c r="AI128" i="11"/>
  <c r="CI110" i="11"/>
  <c r="CE110" i="11"/>
  <c r="L86" i="52"/>
  <c r="N16" i="33"/>
  <c r="N22" i="41"/>
  <c r="M18" i="40"/>
  <c r="N18" i="40" s="1"/>
  <c r="M18" i="42"/>
  <c r="N18" i="42" s="1"/>
  <c r="O48" i="48"/>
  <c r="O21" i="52"/>
  <c r="AG126" i="11"/>
  <c r="O43" i="53"/>
  <c r="O18" i="54"/>
  <c r="M33" i="33"/>
  <c r="K30" i="13"/>
  <c r="O28" i="52"/>
  <c r="M43" i="33"/>
  <c r="N16" i="36"/>
  <c r="O21" i="48"/>
  <c r="N24" i="26"/>
  <c r="M18" i="35"/>
  <c r="N18" i="35" s="1"/>
  <c r="N28" i="36"/>
  <c r="N28" i="41"/>
  <c r="O37" i="45"/>
  <c r="O25" i="47"/>
  <c r="N18" i="52"/>
  <c r="O18" i="52" s="1"/>
  <c r="O28" i="53"/>
  <c r="O29" i="45"/>
  <c r="O37" i="49"/>
  <c r="O31" i="48"/>
  <c r="M18" i="13"/>
  <c r="N18" i="13" s="1"/>
  <c r="N26" i="13"/>
  <c r="N31" i="36"/>
  <c r="N28" i="40"/>
  <c r="O21" i="49"/>
  <c r="O21" i="51"/>
  <c r="N22" i="54"/>
  <c r="O22" i="54" s="1"/>
  <c r="N22" i="56"/>
  <c r="O22" i="56" s="1"/>
  <c r="L37" i="51"/>
  <c r="N37" i="51" s="1"/>
  <c r="O37" i="51" s="1"/>
  <c r="CM73" i="11"/>
  <c r="K41" i="34"/>
  <c r="BZ110" i="11"/>
  <c r="N38" i="12"/>
  <c r="N40" i="12" s="1"/>
  <c r="M40" i="12"/>
  <c r="BZ26" i="11"/>
  <c r="K25" i="34" s="1"/>
  <c r="M25" i="34" s="1"/>
  <c r="N25" i="34" s="1"/>
  <c r="AI126" i="11"/>
  <c r="AT126" i="11"/>
  <c r="K15" i="29"/>
  <c r="M15" i="29" s="1"/>
  <c r="N15" i="29" s="1"/>
  <c r="BV73" i="11"/>
  <c r="AO127" i="11"/>
  <c r="AQ127" i="11"/>
  <c r="N68" i="55"/>
  <c r="O68" i="55" s="1"/>
  <c r="AV126" i="11"/>
  <c r="CE73" i="11"/>
  <c r="M38" i="35"/>
  <c r="N38" i="35" s="1"/>
  <c r="M17" i="27"/>
  <c r="M21" i="26"/>
  <c r="N21" i="26" s="1"/>
  <c r="M38" i="29"/>
  <c r="N38" i="29" s="1"/>
  <c r="N28" i="29"/>
  <c r="N29" i="34"/>
  <c r="N16" i="34"/>
  <c r="O39" i="45"/>
  <c r="N68" i="50"/>
  <c r="O68" i="50" s="1"/>
  <c r="O39" i="50"/>
  <c r="AV128" i="11"/>
  <c r="AJ128" i="11"/>
  <c r="AT128" i="11"/>
  <c r="BU81" i="11"/>
  <c r="AD127" i="11"/>
  <c r="CB80" i="11"/>
  <c r="K40" i="36" s="1"/>
  <c r="AK127" i="11"/>
  <c r="K40" i="12"/>
  <c r="AB127" i="11"/>
  <c r="AR127" i="11"/>
  <c r="AN127" i="11"/>
  <c r="AJ127" i="11"/>
  <c r="CC73" i="11"/>
  <c r="CH29" i="11"/>
  <c r="AQ126" i="11"/>
  <c r="BU73" i="11"/>
  <c r="K28" i="27"/>
  <c r="M28" i="27" s="1"/>
  <c r="N28" i="27" s="1"/>
  <c r="AR126" i="11"/>
  <c r="CF17" i="11"/>
  <c r="AO126" i="11"/>
  <c r="N21" i="53"/>
  <c r="O21" i="53" s="1"/>
  <c r="L54" i="53"/>
  <c r="M15" i="42"/>
  <c r="N15" i="42" s="1"/>
  <c r="AQ128" i="11"/>
  <c r="AO128" i="11"/>
  <c r="BR110" i="11"/>
  <c r="K37" i="13"/>
  <c r="AT127" i="11"/>
  <c r="CK80" i="11"/>
  <c r="CK110" i="11" s="1"/>
  <c r="CA110" i="11"/>
  <c r="K40" i="35"/>
  <c r="M40" i="35" s="1"/>
  <c r="N40" i="35" s="1"/>
  <c r="AP126" i="11"/>
  <c r="K21" i="35"/>
  <c r="CA73" i="11"/>
  <c r="CA123" i="11" s="1"/>
  <c r="AE126" i="11"/>
  <c r="K41" i="37"/>
  <c r="M41" i="37" s="1"/>
  <c r="N41" i="37" s="1"/>
  <c r="K41" i="40"/>
  <c r="M41" i="40" s="1"/>
  <c r="N41" i="40" s="1"/>
  <c r="N43" i="33"/>
  <c r="N19" i="13"/>
  <c r="N28" i="37"/>
  <c r="N21" i="37"/>
  <c r="N25" i="40"/>
  <c r="O28" i="49"/>
  <c r="O77" i="50"/>
  <c r="AL126" i="11"/>
  <c r="BS13" i="11"/>
  <c r="AB126" i="11"/>
  <c r="CG73" i="11"/>
  <c r="CB73" i="11"/>
  <c r="AN126" i="11"/>
  <c r="CN73" i="11"/>
  <c r="AL127" i="11"/>
  <c r="O12" i="56"/>
  <c r="M18" i="12"/>
  <c r="K33" i="33"/>
  <c r="K51" i="41"/>
  <c r="O29" i="49"/>
  <c r="O18" i="49"/>
  <c r="O47" i="48"/>
  <c r="O52" i="51"/>
  <c r="O29" i="51"/>
  <c r="BT17" i="11"/>
  <c r="AC126" i="11"/>
  <c r="CJ73" i="11"/>
  <c r="N67" i="53"/>
  <c r="O67" i="53" s="1"/>
  <c r="L86" i="53"/>
  <c r="N15" i="36"/>
  <c r="N12" i="29"/>
  <c r="N38" i="13"/>
  <c r="N28" i="13"/>
  <c r="N24" i="12"/>
  <c r="N23" i="12"/>
  <c r="N22" i="29"/>
  <c r="N21" i="29"/>
  <c r="N21" i="33"/>
  <c r="M22" i="36"/>
  <c r="N22" i="36" s="1"/>
  <c r="N29" i="37"/>
  <c r="M47" i="41"/>
  <c r="N47" i="41" s="1"/>
  <c r="N29" i="41"/>
  <c r="N21" i="44"/>
  <c r="O35" i="45"/>
  <c r="O25" i="45"/>
  <c r="O18" i="45"/>
  <c r="O16" i="45"/>
  <c r="O31" i="47"/>
  <c r="O78" i="48"/>
  <c r="O25" i="50"/>
  <c r="O34" i="51"/>
  <c r="N22" i="51"/>
  <c r="O22" i="51" s="1"/>
  <c r="AK128" i="11"/>
  <c r="AM128" i="11"/>
  <c r="CF110" i="11"/>
  <c r="O21" i="54"/>
  <c r="O15" i="49"/>
  <c r="N15" i="51"/>
  <c r="O15" i="51" s="1"/>
  <c r="N38" i="26"/>
  <c r="N26" i="26"/>
  <c r="N25" i="29"/>
  <c r="N25" i="33"/>
  <c r="N18" i="33"/>
  <c r="N22" i="34"/>
  <c r="N21" i="34"/>
  <c r="N25" i="35"/>
  <c r="N29" i="36"/>
  <c r="N22" i="37"/>
  <c r="N16" i="37"/>
  <c r="N25" i="41"/>
  <c r="N31" i="40"/>
  <c r="N31" i="42"/>
  <c r="N25" i="44"/>
  <c r="N15" i="45"/>
  <c r="O15" i="45" s="1"/>
  <c r="O22" i="47"/>
  <c r="O21" i="47"/>
  <c r="O31" i="49"/>
  <c r="O25" i="49"/>
  <c r="O37" i="48"/>
  <c r="O44" i="50"/>
  <c r="O42" i="50"/>
  <c r="O47" i="51"/>
  <c r="O25" i="51"/>
  <c r="N67" i="52"/>
  <c r="O67" i="52" s="1"/>
  <c r="O29" i="52"/>
  <c r="O29" i="53"/>
  <c r="BW110" i="11"/>
  <c r="AM127" i="11"/>
  <c r="AE127" i="11"/>
  <c r="O35" i="53"/>
  <c r="N12" i="54"/>
  <c r="O12" i="54" s="1"/>
  <c r="O18" i="55"/>
  <c r="O69" i="55"/>
  <c r="O29" i="55"/>
  <c r="O48" i="56"/>
  <c r="N16" i="32"/>
  <c r="K43" i="32"/>
  <c r="M38" i="32"/>
  <c r="M43" i="32" s="1"/>
  <c r="N31" i="32"/>
  <c r="O35" i="55"/>
  <c r="O31" i="55"/>
  <c r="L15" i="55"/>
  <c r="CQ73" i="11"/>
  <c r="M33" i="31"/>
  <c r="N12" i="31"/>
  <c r="O84" i="50"/>
  <c r="N28" i="47"/>
  <c r="O28" i="47" s="1"/>
  <c r="N15" i="37"/>
  <c r="A46" i="25"/>
  <c r="A49" i="25" s="1"/>
  <c r="A51" i="25" s="1"/>
  <c r="A54" i="25" s="1"/>
  <c r="A55" i="25" s="1"/>
  <c r="A56" i="25" s="1"/>
  <c r="A63" i="25" s="1"/>
  <c r="A64" i="25" s="1"/>
  <c r="A65" i="25" s="1"/>
  <c r="A67" i="25" s="1"/>
  <c r="A68" i="25" s="1"/>
  <c r="A69" i="25" s="1"/>
  <c r="A70" i="25" s="1"/>
  <c r="A72" i="25" s="1"/>
  <c r="A75" i="25" s="1"/>
  <c r="A77" i="25" s="1"/>
  <c r="A80" i="25" s="1"/>
  <c r="A81" i="25" s="1"/>
  <c r="A82" i="25" s="1"/>
  <c r="A88" i="25" s="1"/>
  <c r="A44" i="25"/>
  <c r="M16" i="29"/>
  <c r="N16" i="29" s="1"/>
  <c r="K64" i="45"/>
  <c r="N21" i="41"/>
  <c r="J41" i="41"/>
  <c r="K31" i="37"/>
  <c r="M31" i="37" s="1"/>
  <c r="N31" i="37" s="1"/>
  <c r="L40" i="13"/>
  <c r="L53" i="13" s="1"/>
  <c r="J49" i="41"/>
  <c r="H51" i="41"/>
  <c r="H64" i="41" s="1"/>
  <c r="N16" i="44"/>
  <c r="J33" i="44"/>
  <c r="J56" i="44" s="1"/>
  <c r="H33" i="44"/>
  <c r="H56" i="44" s="1"/>
  <c r="K51" i="45"/>
  <c r="O48" i="45"/>
  <c r="O51" i="45" s="1"/>
  <c r="N35" i="47"/>
  <c r="O35" i="47" s="1"/>
  <c r="M41" i="47"/>
  <c r="M64" i="47" s="1"/>
  <c r="F34" i="50"/>
  <c r="O34" i="50"/>
  <c r="G54" i="50"/>
  <c r="G99" i="50" s="1"/>
  <c r="K84" i="51"/>
  <c r="O84" i="51" s="1"/>
  <c r="I86" i="51"/>
  <c r="K86" i="51"/>
  <c r="K40" i="37"/>
  <c r="K40" i="40"/>
  <c r="BW73" i="11"/>
  <c r="K12" i="36"/>
  <c r="L54" i="48"/>
  <c r="AF126" i="11"/>
  <c r="BY73" i="11"/>
  <c r="I41" i="47"/>
  <c r="I64" i="47" s="1"/>
  <c r="K41" i="47"/>
  <c r="K64" i="47" s="1"/>
  <c r="I41" i="49"/>
  <c r="I64" i="49" s="1"/>
  <c r="H53" i="26"/>
  <c r="N21" i="13"/>
  <c r="J26" i="27"/>
  <c r="H30" i="27"/>
  <c r="H53" i="27" s="1"/>
  <c r="M21" i="32"/>
  <c r="N21" i="32" s="1"/>
  <c r="K33" i="32"/>
  <c r="L33" i="32"/>
  <c r="L56" i="32" s="1"/>
  <c r="M15" i="32"/>
  <c r="J15" i="33"/>
  <c r="N15" i="33" s="1"/>
  <c r="H33" i="33"/>
  <c r="J33" i="33"/>
  <c r="J56" i="33" s="1"/>
  <c r="L43" i="36"/>
  <c r="M38" i="36"/>
  <c r="J33" i="37"/>
  <c r="J17" i="13"/>
  <c r="H30" i="13"/>
  <c r="AU29" i="11"/>
  <c r="CL29" i="11" s="1"/>
  <c r="L28" i="50" s="1"/>
  <c r="N28" i="50" s="1"/>
  <c r="O28" i="50" s="1"/>
  <c r="F28" i="50"/>
  <c r="K33" i="40"/>
  <c r="O12" i="52"/>
  <c r="K43" i="33"/>
  <c r="K33" i="31"/>
  <c r="L41" i="49"/>
  <c r="L64" i="49" s="1"/>
  <c r="L86" i="50"/>
  <c r="CK73" i="11"/>
  <c r="H33" i="37"/>
  <c r="H56" i="37" s="1"/>
  <c r="J40" i="13"/>
  <c r="E18" i="26"/>
  <c r="F30" i="26"/>
  <c r="L18" i="26"/>
  <c r="K41" i="49"/>
  <c r="K64" i="49" s="1"/>
  <c r="N24" i="13"/>
  <c r="H40" i="12"/>
  <c r="N21" i="12"/>
  <c r="N18" i="27"/>
  <c r="L43" i="29"/>
  <c r="M39" i="29"/>
  <c r="M18" i="29"/>
  <c r="N18" i="29" s="1"/>
  <c r="L33" i="29"/>
  <c r="N28" i="31"/>
  <c r="J21" i="31"/>
  <c r="H33" i="31"/>
  <c r="H56" i="31" s="1"/>
  <c r="N15" i="31"/>
  <c r="J15" i="32"/>
  <c r="H33" i="32"/>
  <c r="H56" i="32" s="1"/>
  <c r="H43" i="33"/>
  <c r="D56" i="35"/>
  <c r="N41" i="36"/>
  <c r="L33" i="36"/>
  <c r="L56" i="36" s="1"/>
  <c r="L51" i="41"/>
  <c r="L64" i="41" s="1"/>
  <c r="M46" i="41"/>
  <c r="E15" i="41"/>
  <c r="F41" i="41"/>
  <c r="F64" i="41" s="1"/>
  <c r="C56" i="40"/>
  <c r="N29" i="40"/>
  <c r="C56" i="42"/>
  <c r="N29" i="42"/>
  <c r="N22" i="42"/>
  <c r="N21" i="42"/>
  <c r="N12" i="42"/>
  <c r="O22" i="45"/>
  <c r="O12" i="47"/>
  <c r="K42" i="51"/>
  <c r="I54" i="51"/>
  <c r="I99" i="51" s="1"/>
  <c r="O18" i="51"/>
  <c r="J29" i="29"/>
  <c r="N29" i="29" s="1"/>
  <c r="H33" i="29"/>
  <c r="H56" i="29" s="1"/>
  <c r="N28" i="33"/>
  <c r="J43" i="42"/>
  <c r="J56" i="42" s="1"/>
  <c r="N40" i="42"/>
  <c r="N43" i="42" s="1"/>
  <c r="L33" i="42"/>
  <c r="L56" i="42" s="1"/>
  <c r="N28" i="44"/>
  <c r="C64" i="45"/>
  <c r="O34" i="48"/>
  <c r="N22" i="48"/>
  <c r="O22" i="48" s="1"/>
  <c r="M54" i="48"/>
  <c r="M100" i="48" s="1"/>
  <c r="H40" i="13"/>
  <c r="J18" i="12"/>
  <c r="H30" i="12"/>
  <c r="H53" i="12" s="1"/>
  <c r="L36" i="26"/>
  <c r="E36" i="26"/>
  <c r="F40" i="26"/>
  <c r="H40" i="26"/>
  <c r="L30" i="26"/>
  <c r="N37" i="27"/>
  <c r="J40" i="27"/>
  <c r="H43" i="29"/>
  <c r="N31" i="31"/>
  <c r="N22" i="31"/>
  <c r="N18" i="31"/>
  <c r="N16" i="31"/>
  <c r="J43" i="34"/>
  <c r="J56" i="34" s="1"/>
  <c r="N40" i="34"/>
  <c r="J41" i="35"/>
  <c r="H43" i="35"/>
  <c r="H56" i="35" s="1"/>
  <c r="N15" i="35"/>
  <c r="N21" i="36"/>
  <c r="J40" i="37"/>
  <c r="H43" i="37"/>
  <c r="D56" i="37"/>
  <c r="N18" i="41"/>
  <c r="N12" i="41"/>
  <c r="N22" i="40"/>
  <c r="N21" i="40"/>
  <c r="M12" i="40"/>
  <c r="L33" i="40"/>
  <c r="L56" i="40" s="1"/>
  <c r="N25" i="42"/>
  <c r="N29" i="44"/>
  <c r="O29" i="47"/>
  <c r="O75" i="48"/>
  <c r="O43" i="48"/>
  <c r="O42" i="48"/>
  <c r="O74" i="50"/>
  <c r="O70" i="50"/>
  <c r="O69" i="52"/>
  <c r="K86" i="52"/>
  <c r="K99" i="52" s="1"/>
  <c r="M18" i="26"/>
  <c r="F34" i="54"/>
  <c r="AY35" i="11"/>
  <c r="CP35" i="11" s="1"/>
  <c r="C54" i="55"/>
  <c r="C99" i="55" s="1"/>
  <c r="F15" i="55"/>
  <c r="O79" i="48"/>
  <c r="O25" i="48"/>
  <c r="O43" i="50"/>
  <c r="O35" i="50"/>
  <c r="F35" i="50"/>
  <c r="O29" i="50"/>
  <c r="N68" i="51"/>
  <c r="O51" i="51"/>
  <c r="N35" i="49"/>
  <c r="O35" i="49" s="1"/>
  <c r="N16" i="51"/>
  <c r="BR73" i="11"/>
  <c r="N29" i="35"/>
  <c r="N16" i="40"/>
  <c r="O73" i="50"/>
  <c r="O48" i="51"/>
  <c r="C99" i="52"/>
  <c r="AN128" i="11"/>
  <c r="AL128" i="11"/>
  <c r="L69" i="51"/>
  <c r="CM110" i="11"/>
  <c r="AU17" i="11"/>
  <c r="CL17" i="11" s="1"/>
  <c r="C54" i="50"/>
  <c r="C99" i="50" s="1"/>
  <c r="M47" i="52"/>
  <c r="F47" i="52"/>
  <c r="O39" i="52"/>
  <c r="F39" i="52"/>
  <c r="O31" i="52"/>
  <c r="F15" i="52"/>
  <c r="M77" i="52"/>
  <c r="N77" i="52" s="1"/>
  <c r="O77" i="52" s="1"/>
  <c r="F77" i="52"/>
  <c r="O48" i="50"/>
  <c r="O78" i="51"/>
  <c r="M86" i="51"/>
  <c r="M99" i="51" s="1"/>
  <c r="O43" i="51"/>
  <c r="AV127" i="11"/>
  <c r="AF127" i="11"/>
  <c r="N35" i="48"/>
  <c r="O35" i="48" s="1"/>
  <c r="AJ126" i="11"/>
  <c r="N74" i="53"/>
  <c r="M86" i="53"/>
  <c r="M99" i="53" s="1"/>
  <c r="O37" i="52"/>
  <c r="N15" i="52"/>
  <c r="O15" i="52" s="1"/>
  <c r="O25" i="53"/>
  <c r="O44" i="54"/>
  <c r="N22" i="55"/>
  <c r="O22" i="55" s="1"/>
  <c r="O31" i="53"/>
  <c r="O39" i="53"/>
  <c r="O73" i="53"/>
  <c r="BA17" i="11"/>
  <c r="CR17" i="11" s="1"/>
  <c r="L16" i="56" s="1"/>
  <c r="N16" i="56" s="1"/>
  <c r="O16" i="56" s="1"/>
  <c r="F16" i="56"/>
  <c r="BA44" i="11"/>
  <c r="F43" i="56"/>
  <c r="I86" i="52"/>
  <c r="I54" i="52"/>
  <c r="I99" i="52" s="1"/>
  <c r="O44" i="53"/>
  <c r="O77" i="53"/>
  <c r="O25" i="54"/>
  <c r="O43" i="55"/>
  <c r="O37" i="55"/>
  <c r="O34" i="52"/>
  <c r="O12" i="55"/>
  <c r="O29" i="54"/>
  <c r="O43" i="54"/>
  <c r="O44" i="56"/>
  <c r="F39" i="56"/>
  <c r="BA40" i="11"/>
  <c r="O28" i="55"/>
  <c r="O77" i="55"/>
  <c r="O39" i="55"/>
  <c r="O34" i="55"/>
  <c r="L34" i="10"/>
  <c r="D10" i="10" s="1"/>
  <c r="K50" i="10"/>
  <c r="L50" i="10" s="1"/>
  <c r="O37" i="54"/>
  <c r="O42" i="55"/>
  <c r="O74" i="56"/>
  <c r="C99" i="54"/>
  <c r="O42" i="54"/>
  <c r="O35" i="54"/>
  <c r="O25" i="55"/>
  <c r="O78" i="56"/>
  <c r="M86" i="56"/>
  <c r="G99" i="56"/>
  <c r="O73" i="56"/>
  <c r="M54" i="56"/>
  <c r="O80" i="55"/>
  <c r="O78" i="55"/>
  <c r="O73" i="55"/>
  <c r="M86" i="55"/>
  <c r="G99" i="55"/>
  <c r="O48" i="55"/>
  <c r="O44" i="55"/>
  <c r="O80" i="54"/>
  <c r="O78" i="54"/>
  <c r="O77" i="54"/>
  <c r="N73" i="54"/>
  <c r="G99" i="54"/>
  <c r="M54" i="54"/>
  <c r="M99" i="54" s="1"/>
  <c r="O48" i="54"/>
  <c r="O16" i="54"/>
  <c r="O15" i="54"/>
  <c r="O77" i="56"/>
  <c r="K86" i="56"/>
  <c r="I86" i="56"/>
  <c r="K54" i="56"/>
  <c r="I54" i="56"/>
  <c r="D99" i="55"/>
  <c r="I86" i="55"/>
  <c r="K86" i="55"/>
  <c r="I54" i="55"/>
  <c r="K54" i="55"/>
  <c r="I86" i="54"/>
  <c r="K74" i="54"/>
  <c r="D99" i="54"/>
  <c r="K54" i="54"/>
  <c r="I54" i="54"/>
  <c r="L75" i="59" l="1"/>
  <c r="N75" i="59" s="1"/>
  <c r="O75" i="59" s="1"/>
  <c r="L74" i="57"/>
  <c r="CR110" i="11"/>
  <c r="N28" i="57"/>
  <c r="O28" i="57" s="1"/>
  <c r="CR40" i="11"/>
  <c r="L39" i="56" s="1"/>
  <c r="N39" i="56" s="1"/>
  <c r="O39" i="56" s="1"/>
  <c r="L74" i="59"/>
  <c r="L70" i="56"/>
  <c r="N70" i="56" s="1"/>
  <c r="O70" i="56" s="1"/>
  <c r="L75" i="57"/>
  <c r="N75" i="57" s="1"/>
  <c r="O75" i="57" s="1"/>
  <c r="N32" i="57"/>
  <c r="O32" i="57" s="1"/>
  <c r="CR44" i="11"/>
  <c r="L69" i="56"/>
  <c r="N69" i="56" s="1"/>
  <c r="O69" i="56" s="1"/>
  <c r="M99" i="55"/>
  <c r="M43" i="31"/>
  <c r="M56" i="31" s="1"/>
  <c r="L54" i="52"/>
  <c r="L99" i="52" s="1"/>
  <c r="N54" i="53"/>
  <c r="O15" i="57"/>
  <c r="L58" i="57"/>
  <c r="N15" i="58"/>
  <c r="O15" i="58" s="1"/>
  <c r="L89" i="58"/>
  <c r="K56" i="32"/>
  <c r="L86" i="55"/>
  <c r="BY123" i="11"/>
  <c r="CD73" i="11"/>
  <c r="CD123" i="11" s="1"/>
  <c r="L86" i="54"/>
  <c r="CI123" i="11"/>
  <c r="CC123" i="11"/>
  <c r="BX123" i="11"/>
  <c r="K43" i="31"/>
  <c r="K56" i="31" s="1"/>
  <c r="K33" i="29"/>
  <c r="M37" i="26"/>
  <c r="N37" i="26" s="1"/>
  <c r="K33" i="37"/>
  <c r="CJ123" i="11"/>
  <c r="K43" i="29"/>
  <c r="BV123" i="11"/>
  <c r="K64" i="41"/>
  <c r="N31" i="58"/>
  <c r="O31" i="58" s="1"/>
  <c r="N35" i="58"/>
  <c r="O35" i="58" s="1"/>
  <c r="N68" i="58"/>
  <c r="L41" i="47"/>
  <c r="L64" i="47" s="1"/>
  <c r="M15" i="41"/>
  <c r="M41" i="41" s="1"/>
  <c r="O86" i="52"/>
  <c r="L100" i="48"/>
  <c r="N43" i="31"/>
  <c r="CN123" i="11"/>
  <c r="N26" i="58"/>
  <c r="O26" i="58" s="1"/>
  <c r="N38" i="32"/>
  <c r="N43" i="32" s="1"/>
  <c r="E72" i="25"/>
  <c r="F64" i="25" s="1"/>
  <c r="D59" i="10"/>
  <c r="D20" i="10" s="1"/>
  <c r="E44" i="10"/>
  <c r="E46" i="10" s="1"/>
  <c r="G77" i="25" s="1"/>
  <c r="E33" i="10"/>
  <c r="E35" i="10" s="1"/>
  <c r="F77" i="25" s="1"/>
  <c r="K33" i="34"/>
  <c r="M33" i="34"/>
  <c r="CQ123" i="11"/>
  <c r="CG123" i="11"/>
  <c r="M56" i="33"/>
  <c r="M30" i="13"/>
  <c r="N87" i="48"/>
  <c r="CO123" i="11"/>
  <c r="M33" i="40"/>
  <c r="BZ73" i="11"/>
  <c r="BZ123" i="11" s="1"/>
  <c r="CE123" i="11"/>
  <c r="BR123" i="11"/>
  <c r="BW123" i="11"/>
  <c r="M33" i="44"/>
  <c r="M56" i="44" s="1"/>
  <c r="N41" i="47"/>
  <c r="N64" i="47" s="1"/>
  <c r="L99" i="53"/>
  <c r="K56" i="33"/>
  <c r="N33" i="34"/>
  <c r="M21" i="35"/>
  <c r="K33" i="35"/>
  <c r="K16" i="42"/>
  <c r="CF73" i="11"/>
  <c r="CF123" i="11" s="1"/>
  <c r="M43" i="35"/>
  <c r="CH73" i="11"/>
  <c r="CH123" i="11" s="1"/>
  <c r="L28" i="45"/>
  <c r="CM123" i="11"/>
  <c r="O41" i="49"/>
  <c r="O64" i="49" s="1"/>
  <c r="N86" i="55"/>
  <c r="CB110" i="11"/>
  <c r="CB123" i="11" s="1"/>
  <c r="O86" i="50"/>
  <c r="O87" i="48"/>
  <c r="N86" i="52"/>
  <c r="K38" i="27"/>
  <c r="BU110" i="11"/>
  <c r="BU123" i="11" s="1"/>
  <c r="K30" i="27"/>
  <c r="M41" i="34"/>
  <c r="K43" i="34"/>
  <c r="O54" i="48"/>
  <c r="N86" i="50"/>
  <c r="M40" i="36"/>
  <c r="N40" i="36" s="1"/>
  <c r="K43" i="36"/>
  <c r="O41" i="47"/>
  <c r="O64" i="47" s="1"/>
  <c r="CK123" i="11"/>
  <c r="K19" i="26"/>
  <c r="BT73" i="11"/>
  <c r="BT123" i="11" s="1"/>
  <c r="K17" i="12"/>
  <c r="M17" i="12" s="1"/>
  <c r="BS73" i="11"/>
  <c r="M37" i="13"/>
  <c r="K40" i="13"/>
  <c r="K53" i="13" s="1"/>
  <c r="N17" i="27"/>
  <c r="M30" i="27"/>
  <c r="K43" i="35"/>
  <c r="L54" i="51"/>
  <c r="K99" i="56"/>
  <c r="O86" i="55"/>
  <c r="D14" i="10"/>
  <c r="D18" i="10" s="1"/>
  <c r="O16" i="51"/>
  <c r="N54" i="51"/>
  <c r="N41" i="35"/>
  <c r="N43" i="35" s="1"/>
  <c r="J43" i="35"/>
  <c r="J56" i="35" s="1"/>
  <c r="N33" i="44"/>
  <c r="N56" i="44" s="1"/>
  <c r="M33" i="29"/>
  <c r="J43" i="37"/>
  <c r="M36" i="26"/>
  <c r="L40" i="26"/>
  <c r="N12" i="40"/>
  <c r="N33" i="40" s="1"/>
  <c r="K54" i="51"/>
  <c r="K99" i="51" s="1"/>
  <c r="O42" i="51"/>
  <c r="L56" i="29"/>
  <c r="F53" i="26"/>
  <c r="H53" i="13"/>
  <c r="M33" i="32"/>
  <c r="M56" i="32" s="1"/>
  <c r="M40" i="37"/>
  <c r="M43" i="37" s="1"/>
  <c r="K43" i="37"/>
  <c r="J33" i="29"/>
  <c r="J56" i="29" s="1"/>
  <c r="M33" i="37"/>
  <c r="N41" i="49"/>
  <c r="N64" i="49" s="1"/>
  <c r="M86" i="52"/>
  <c r="L16" i="50"/>
  <c r="CL73" i="11"/>
  <c r="CL123" i="11" s="1"/>
  <c r="N47" i="52"/>
  <c r="M54" i="52"/>
  <c r="M99" i="52" s="1"/>
  <c r="L34" i="54"/>
  <c r="CP73" i="11"/>
  <c r="CP123" i="11" s="1"/>
  <c r="N18" i="12"/>
  <c r="J30" i="12"/>
  <c r="J53" i="12" s="1"/>
  <c r="N21" i="31"/>
  <c r="N33" i="31" s="1"/>
  <c r="J33" i="31"/>
  <c r="J56" i="31" s="1"/>
  <c r="N39" i="29"/>
  <c r="N43" i="29" s="1"/>
  <c r="M43" i="29"/>
  <c r="N18" i="26"/>
  <c r="J56" i="37"/>
  <c r="H56" i="33"/>
  <c r="N54" i="48"/>
  <c r="O68" i="51"/>
  <c r="J30" i="13"/>
  <c r="J53" i="13" s="1"/>
  <c r="N17" i="13"/>
  <c r="N30" i="13" s="1"/>
  <c r="M12" i="36"/>
  <c r="K33" i="36"/>
  <c r="O54" i="53"/>
  <c r="N86" i="53"/>
  <c r="O74" i="53"/>
  <c r="O86" i="53" s="1"/>
  <c r="N69" i="51"/>
  <c r="O69" i="51" s="1"/>
  <c r="L86" i="51"/>
  <c r="N33" i="29"/>
  <c r="L53" i="26"/>
  <c r="N46" i="41"/>
  <c r="M51" i="41"/>
  <c r="N15" i="32"/>
  <c r="N33" i="32" s="1"/>
  <c r="J33" i="32"/>
  <c r="J56" i="32" s="1"/>
  <c r="N38" i="36"/>
  <c r="N33" i="33"/>
  <c r="N56" i="33" s="1"/>
  <c r="N26" i="27"/>
  <c r="J30" i="27"/>
  <c r="J53" i="27" s="1"/>
  <c r="M40" i="40"/>
  <c r="K43" i="40"/>
  <c r="K56" i="40" s="1"/>
  <c r="N49" i="41"/>
  <c r="J51" i="41"/>
  <c r="J64" i="41"/>
  <c r="N33" i="37"/>
  <c r="L54" i="55"/>
  <c r="N15" i="55"/>
  <c r="M99" i="56"/>
  <c r="O73" i="54"/>
  <c r="N86" i="54"/>
  <c r="I99" i="56"/>
  <c r="I99" i="55"/>
  <c r="K99" i="55"/>
  <c r="I99" i="54"/>
  <c r="K86" i="54"/>
  <c r="K99" i="54" s="1"/>
  <c r="O74" i="54"/>
  <c r="E9" i="25" l="1"/>
  <c r="H9" i="25" s="1"/>
  <c r="O52" i="58"/>
  <c r="D9" i="25" s="1"/>
  <c r="O86" i="56"/>
  <c r="N86" i="56"/>
  <c r="L86" i="56"/>
  <c r="N52" i="58"/>
  <c r="CR73" i="11"/>
  <c r="CR123" i="11" s="1"/>
  <c r="N58" i="57"/>
  <c r="N89" i="58"/>
  <c r="O68" i="58"/>
  <c r="O89" i="58" s="1"/>
  <c r="L43" i="56"/>
  <c r="N43" i="56" s="1"/>
  <c r="O43" i="56" s="1"/>
  <c r="O54" i="56" s="1"/>
  <c r="N74" i="59"/>
  <c r="L95" i="59"/>
  <c r="L108" i="59" s="1"/>
  <c r="N74" i="57"/>
  <c r="L95" i="57"/>
  <c r="L108" i="57" s="1"/>
  <c r="L91" i="61"/>
  <c r="L104" i="61" s="1"/>
  <c r="F67" i="25"/>
  <c r="F72" i="25" s="1"/>
  <c r="G64" i="25" s="1"/>
  <c r="L99" i="55"/>
  <c r="N99" i="53"/>
  <c r="O100" i="48"/>
  <c r="K56" i="29"/>
  <c r="L52" i="58"/>
  <c r="L102" i="58" s="1"/>
  <c r="N56" i="32"/>
  <c r="K56" i="37"/>
  <c r="M64" i="41"/>
  <c r="N15" i="41"/>
  <c r="N41" i="41" s="1"/>
  <c r="L54" i="56"/>
  <c r="N56" i="31"/>
  <c r="N30" i="27"/>
  <c r="D22" i="10"/>
  <c r="D24" i="10" s="1"/>
  <c r="N56" i="29"/>
  <c r="K56" i="34"/>
  <c r="N100" i="48"/>
  <c r="N86" i="51"/>
  <c r="N99" i="51" s="1"/>
  <c r="M43" i="36"/>
  <c r="N28" i="45"/>
  <c r="L41" i="45"/>
  <c r="L64" i="45" s="1"/>
  <c r="M40" i="13"/>
  <c r="M53" i="13" s="1"/>
  <c r="N37" i="13"/>
  <c r="N40" i="13" s="1"/>
  <c r="N53" i="13" s="1"/>
  <c r="K56" i="35"/>
  <c r="BS123" i="11"/>
  <c r="K30" i="12"/>
  <c r="K53" i="12" s="1"/>
  <c r="N41" i="34"/>
  <c r="N43" i="34" s="1"/>
  <c r="N56" i="34" s="1"/>
  <c r="M43" i="34"/>
  <c r="M56" i="34" s="1"/>
  <c r="M38" i="27"/>
  <c r="K40" i="27"/>
  <c r="K53" i="27" s="1"/>
  <c r="K56" i="36"/>
  <c r="N17" i="12"/>
  <c r="N30" i="12" s="1"/>
  <c r="N53" i="12" s="1"/>
  <c r="M30" i="12"/>
  <c r="M53" i="12" s="1"/>
  <c r="M16" i="42"/>
  <c r="K33" i="42"/>
  <c r="K56" i="42" s="1"/>
  <c r="L99" i="51"/>
  <c r="M19" i="26"/>
  <c r="K30" i="26"/>
  <c r="K53" i="26" s="1"/>
  <c r="N43" i="36"/>
  <c r="M56" i="29"/>
  <c r="N21" i="35"/>
  <c r="N33" i="35" s="1"/>
  <c r="N56" i="35" s="1"/>
  <c r="M33" i="35"/>
  <c r="M56" i="35" s="1"/>
  <c r="N54" i="55"/>
  <c r="N99" i="55" s="1"/>
  <c r="O15" i="55"/>
  <c r="O54" i="55" s="1"/>
  <c r="M43" i="40"/>
  <c r="M56" i="40" s="1"/>
  <c r="N40" i="40"/>
  <c r="N43" i="40" s="1"/>
  <c r="M33" i="36"/>
  <c r="N12" i="36"/>
  <c r="N33" i="36" s="1"/>
  <c r="L54" i="50"/>
  <c r="L99" i="50" s="1"/>
  <c r="N16" i="50"/>
  <c r="M56" i="37"/>
  <c r="O47" i="52"/>
  <c r="O54" i="52" s="1"/>
  <c r="O99" i="52" s="1"/>
  <c r="N54" i="52"/>
  <c r="N99" i="52" s="1"/>
  <c r="N56" i="40"/>
  <c r="O99" i="53"/>
  <c r="N51" i="41"/>
  <c r="O86" i="51"/>
  <c r="N34" i="54"/>
  <c r="L54" i="54"/>
  <c r="L99" i="54" s="1"/>
  <c r="M40" i="26"/>
  <c r="N36" i="26"/>
  <c r="N40" i="26" s="1"/>
  <c r="O54" i="51"/>
  <c r="N40" i="37"/>
  <c r="N43" i="37" s="1"/>
  <c r="N56" i="37" s="1"/>
  <c r="O86" i="54"/>
  <c r="L99" i="56" l="1"/>
  <c r="D33" i="10"/>
  <c r="D35" i="10" s="1"/>
  <c r="F51" i="25" s="1"/>
  <c r="F42" i="25" s="1"/>
  <c r="N54" i="56"/>
  <c r="N99" i="56" s="1"/>
  <c r="O74" i="59"/>
  <c r="O95" i="59" s="1"/>
  <c r="N95" i="59"/>
  <c r="N108" i="59" s="1"/>
  <c r="O91" i="61"/>
  <c r="N91" i="61"/>
  <c r="N104" i="61" s="1"/>
  <c r="O74" i="57"/>
  <c r="O95" i="57" s="1"/>
  <c r="E36" i="25" s="1"/>
  <c r="N95" i="57"/>
  <c r="N108" i="57" s="1"/>
  <c r="D36" i="25"/>
  <c r="D40" i="25" s="1"/>
  <c r="D46" i="25" s="1"/>
  <c r="E37" i="25" s="1"/>
  <c r="D13" i="25"/>
  <c r="D19" i="25" s="1"/>
  <c r="E10" i="25" s="1"/>
  <c r="G67" i="25"/>
  <c r="O99" i="56"/>
  <c r="O102" i="58"/>
  <c r="M56" i="36"/>
  <c r="N64" i="41"/>
  <c r="N102" i="58"/>
  <c r="D44" i="10"/>
  <c r="D46" i="10" s="1"/>
  <c r="G51" i="25" s="1"/>
  <c r="N16" i="42"/>
  <c r="N33" i="42" s="1"/>
  <c r="N56" i="42" s="1"/>
  <c r="M33" i="42"/>
  <c r="M56" i="42" s="1"/>
  <c r="O28" i="45"/>
  <c r="O41" i="45" s="1"/>
  <c r="O64" i="45" s="1"/>
  <c r="N41" i="45"/>
  <c r="N64" i="45" s="1"/>
  <c r="N56" i="36"/>
  <c r="N38" i="27"/>
  <c r="N40" i="27" s="1"/>
  <c r="N53" i="27" s="1"/>
  <c r="M40" i="27"/>
  <c r="M53" i="27" s="1"/>
  <c r="N19" i="26"/>
  <c r="N30" i="26" s="1"/>
  <c r="M30" i="26"/>
  <c r="M53" i="26" s="1"/>
  <c r="O99" i="51"/>
  <c r="O34" i="54"/>
  <c r="O54" i="54" s="1"/>
  <c r="N54" i="54"/>
  <c r="N99" i="54" s="1"/>
  <c r="O99" i="55"/>
  <c r="N54" i="50"/>
  <c r="N99" i="50" s="1"/>
  <c r="O16" i="50"/>
  <c r="O54" i="50" s="1"/>
  <c r="O99" i="50" s="1"/>
  <c r="F36" i="25" l="1"/>
  <c r="O108" i="59"/>
  <c r="O108" i="57"/>
  <c r="G36" i="25"/>
  <c r="O104" i="61"/>
  <c r="N53" i="26"/>
  <c r="E88" i="25"/>
  <c r="E13" i="25"/>
  <c r="E19" i="25" s="1"/>
  <c r="F10" i="25" s="1"/>
  <c r="G72" i="25"/>
  <c r="G75" i="25"/>
  <c r="O99" i="54"/>
  <c r="F13" i="25" l="1"/>
  <c r="H36" i="25"/>
  <c r="H40" i="25" s="1"/>
  <c r="E40" i="25"/>
  <c r="E46" i="25" s="1"/>
  <c r="K102" i="58" l="1"/>
  <c r="C59" i="10"/>
  <c r="C20" i="10" s="1"/>
  <c r="I102" i="58"/>
  <c r="C22" i="10" l="1"/>
  <c r="C24" i="10" s="1"/>
  <c r="C33" i="10" s="1"/>
  <c r="C44" i="10" l="1"/>
  <c r="C46" i="10" s="1"/>
  <c r="G24" i="25" s="1"/>
  <c r="C35" i="10"/>
  <c r="F24" i="25" s="1"/>
  <c r="F15" i="25" s="1"/>
  <c r="D102" i="58"/>
  <c r="C102" i="58"/>
  <c r="F19" i="25" l="1"/>
  <c r="F37" i="25"/>
  <c r="F88" i="25" s="1"/>
  <c r="G10" i="25" l="1"/>
  <c r="G27" i="25" s="1"/>
  <c r="F40" i="25"/>
  <c r="G13" i="25" l="1"/>
  <c r="G22" i="25" s="1"/>
  <c r="H13" i="25"/>
  <c r="G29" i="25" l="1"/>
  <c r="G28" i="25" s="1"/>
  <c r="G15" i="25" s="1"/>
  <c r="H15" i="25" s="1"/>
  <c r="H19" i="25" s="1"/>
  <c r="F46" i="25"/>
  <c r="G19" i="25" l="1"/>
  <c r="G37" i="25"/>
  <c r="G54" i="25" l="1"/>
  <c r="G40" i="25"/>
  <c r="G56" i="25" s="1"/>
  <c r="G49" i="25" l="1"/>
  <c r="G55" i="25"/>
  <c r="G42" i="25" l="1"/>
  <c r="H42" i="25" l="1"/>
  <c r="H46" i="25" s="1"/>
  <c r="G46" i="25"/>
</calcChain>
</file>

<file path=xl/sharedStrings.xml><?xml version="1.0" encoding="utf-8"?>
<sst xmlns="http://schemas.openxmlformats.org/spreadsheetml/2006/main" count="8143" uniqueCount="579">
  <si>
    <t>KENTUCKY POWER COMPANY</t>
  </si>
  <si>
    <t xml:space="preserve">        Exhibit C</t>
  </si>
  <si>
    <t xml:space="preserve">DERIVATION OF 3 SECTOR SURCHARGES FOR 3 YR EXPERIMENT </t>
  </si>
  <si>
    <t>RESIDENTIAL SECTOR</t>
  </si>
  <si>
    <t>TOTAL</t>
  </si>
  <si>
    <t>(1)</t>
  </si>
  <si>
    <t>CURRENT PERIOD AMOUNT TO BE RECOVERED</t>
  </si>
  <si>
    <t>18  MOS. RETROACTIVE(OVER)/UNDER ADJUSTMENT</t>
  </si>
  <si>
    <t>TOTAL TO BE RECOVERED</t>
  </si>
  <si>
    <t>EXPECTED FUTURE RECOVERIES</t>
  </si>
  <si>
    <t xml:space="preserve">TRANSFER PORTION OF BALANCE FROM INDUSTRIAL </t>
  </si>
  <si>
    <t>(OVER)/UNDER COLLECTION TO BE REFUNDED</t>
  </si>
  <si>
    <t xml:space="preserve">  ============</t>
  </si>
  <si>
    <t xml:space="preserve">AMOUNT TO BE RECOVERED  </t>
  </si>
  <si>
    <t>SURCHARGE RANGE  ( $ PER KWH )</t>
  </si>
  <si>
    <t xml:space="preserve">     FLOOR  (CARRYOVER)</t>
  </si>
  <si>
    <t xml:space="preserve">     MIDPOINT - proposed rate</t>
  </si>
  <si>
    <t xml:space="preserve">     CEILING  (TOTAL COST)</t>
  </si>
  <si>
    <t>COMMERCIAL SECTOR</t>
  </si>
  <si>
    <t xml:space="preserve">CUMULATIVE (OVER)/UNDER COLLECTION </t>
  </si>
  <si>
    <t>INDUSTRIAL SECTOR</t>
  </si>
  <si>
    <t>TRANSFER BALANCE TO RESIDENTIAL &amp; COMMERCIAL</t>
  </si>
  <si>
    <t xml:space="preserve">     MIDPOINT </t>
  </si>
  <si>
    <t xml:space="preserve">     CEILING  (TOTAL COST) - proposed rate</t>
  </si>
  <si>
    <t>Cumulative under/(over) recovery</t>
  </si>
  <si>
    <t xml:space="preserve">PAGE 1 of </t>
  </si>
  <si>
    <t>YEAR 2 (  1st HALF )</t>
  </si>
  <si>
    <t>PROGRAM</t>
  </si>
  <si>
    <t>PROGRAM DESCRIPTIONS</t>
  </si>
  <si>
    <t>RESIDENTIAL PROGRAMS</t>
  </si>
  <si>
    <t>Energy Fitness</t>
  </si>
  <si>
    <t>Targeted Energy Efficiency - All Electric</t>
  </si>
  <si>
    <t xml:space="preserve">                                               - Non-All Electric</t>
  </si>
  <si>
    <t>Compact Fluorescent Bulb</t>
  </si>
  <si>
    <t>High - Efficiency Heat Pump - Resistance Heat</t>
  </si>
  <si>
    <t xml:space="preserve">                                      - Non Resistance Heat</t>
  </si>
  <si>
    <t>High - Efficiency Heat Pump - Mobile Home</t>
  </si>
  <si>
    <t xml:space="preserve">Mobile Home New Construction </t>
  </si>
  <si>
    <t>n/a</t>
  </si>
  <si>
    <t xml:space="preserve">        TOTAL RESIDENTIAL PROGRAMS</t>
  </si>
  <si>
    <t>COMMERCIAL PROGRAMS</t>
  </si>
  <si>
    <t>Smart Audit - Class 1</t>
  </si>
  <si>
    <t xml:space="preserve">                   - Class 2 </t>
  </si>
  <si>
    <t>Smart Financing - Existing Building</t>
  </si>
  <si>
    <t>Smart Financing - New Building</t>
  </si>
  <si>
    <t xml:space="preserve">        TOTAL COMMERCIAL PROGRAMS</t>
  </si>
  <si>
    <t>INDUSTRIAL PROGRAMS -</t>
  </si>
  <si>
    <t xml:space="preserve">                             (w/Est. Opt-Outs Removed)</t>
  </si>
  <si>
    <t>Smart Audit - Class 2</t>
  </si>
  <si>
    <t xml:space="preserve">Smart Financing - General </t>
  </si>
  <si>
    <t>Smart Financing - Compressed Air System</t>
  </si>
  <si>
    <t xml:space="preserve">        TOTAL INDUSTRIAL PROGRAMS</t>
  </si>
  <si>
    <t xml:space="preserve">          TOTAL COMPANY</t>
  </si>
  <si>
    <t xml:space="preserve">    *    Lost revenue and efficiency incentives are based on initial values per the settlement agreement.</t>
  </si>
  <si>
    <t>ESTIMATED SECTOR SURCHARGES FOR 3 YR PROGRAM</t>
  </si>
  <si>
    <t>Page 2 of</t>
  </si>
  <si>
    <t>YEAR 1</t>
  </si>
  <si>
    <t>NEW</t>
  </si>
  <si>
    <t>CUMULATIVE</t>
  </si>
  <si>
    <t>TOTAL ESTIMATED</t>
  </si>
  <si>
    <t>TOTAL ACT.</t>
  </si>
  <si>
    <t>NET LOST</t>
  </si>
  <si>
    <t>TOTAL NET *</t>
  </si>
  <si>
    <t>EFFICIENCY</t>
  </si>
  <si>
    <t>MAXIMIZING</t>
  </si>
  <si>
    <t>TOTAL EST.</t>
  </si>
  <si>
    <t>PARTICIPANT</t>
  </si>
  <si>
    <t>PROGRAM COSTS</t>
  </si>
  <si>
    <t>REV/YR</t>
  </si>
  <si>
    <t>ENERGY SAVINGS</t>
  </si>
  <si>
    <t>REVENUE</t>
  </si>
  <si>
    <t>LOST</t>
  </si>
  <si>
    <t>INCENTIVE</t>
  </si>
  <si>
    <t>TOTAL *</t>
  </si>
  <si>
    <t>COSTS TO BE</t>
  </si>
  <si>
    <t>NUMBER</t>
  </si>
  <si>
    <t>PER PARTICIPANT</t>
  </si>
  <si>
    <t>COSTS</t>
  </si>
  <si>
    <t>(KWH/PARTIC)</t>
  </si>
  <si>
    <t>KWH/YR</t>
  </si>
  <si>
    <t>($/KWH)</t>
  </si>
  <si>
    <t>REVENUES</t>
  </si>
  <si>
    <t xml:space="preserve">(5% of COSTS) </t>
  </si>
  <si>
    <t>RECOVERED</t>
  </si>
  <si>
    <t>(1)X(3)</t>
  </si>
  <si>
    <t>(2)X(5)</t>
  </si>
  <si>
    <t>(6)X(7)</t>
  </si>
  <si>
    <t>(4)X( 5%)</t>
  </si>
  <si>
    <t>(9)+(10)</t>
  </si>
  <si>
    <t>(4)+(8)+(11)</t>
  </si>
  <si>
    <t xml:space="preserve"> --------------------</t>
  </si>
  <si>
    <t xml:space="preserve">                     --------------</t>
  </si>
  <si>
    <t xml:space="preserve">              ------------</t>
  </si>
  <si>
    <t xml:space="preserve"> ===========</t>
  </si>
  <si>
    <t xml:space="preserve">                    ========</t>
  </si>
  <si>
    <t xml:space="preserve">            =======</t>
  </si>
  <si>
    <t xml:space="preserve">                                        - Non-All Electric</t>
  </si>
  <si>
    <t xml:space="preserve">                                          - Non Resistance Heat</t>
  </si>
  <si>
    <t>ESTIMATED SECTOR SURCHARGES FOR 1997</t>
  </si>
  <si>
    <t>PAGE 3A of</t>
  </si>
  <si>
    <t>REV/6 MOS</t>
  </si>
  <si>
    <t>KWH/6 MOS</t>
  </si>
  <si>
    <t xml:space="preserve">                  --------------</t>
  </si>
  <si>
    <t xml:space="preserve">                 ========</t>
  </si>
  <si>
    <t>PAGE 3B of</t>
  </si>
  <si>
    <t>YEAR 2 ( 3rd QTR )</t>
  </si>
  <si>
    <t>REV/QTR</t>
  </si>
  <si>
    <t>KWH/QTR</t>
  </si>
  <si>
    <t xml:space="preserve">    *    Lost revenue and efficiency incentives are based on prospective values.</t>
  </si>
  <si>
    <t xml:space="preserve">PAGE 3C of </t>
  </si>
  <si>
    <t>YEAR 2 ( 4th QTR )</t>
  </si>
  <si>
    <t>ESTIMATED SECTOR SURCHARGES FOR 3 YEAR PROGRAM</t>
  </si>
  <si>
    <t xml:space="preserve">PAGE 4A of </t>
  </si>
  <si>
    <t>YEAR 3( 1st HALF )</t>
  </si>
  <si>
    <t xml:space="preserve">PAGE 4B of </t>
  </si>
  <si>
    <t>YEAR 3( 2nd HALF )</t>
  </si>
  <si>
    <t>PAGE 5A of</t>
  </si>
  <si>
    <t>YEAR 4 ( 1st HALF )</t>
  </si>
  <si>
    <t>REV/HALF</t>
  </si>
  <si>
    <t>NUMBER **</t>
  </si>
  <si>
    <t>KWH/HALF</t>
  </si>
  <si>
    <t>Mobile Home New Construction  ***</t>
  </si>
  <si>
    <t xml:space="preserve">    **  Cumulative participants include a reduction for the cumulative participants as of 06/30/96.</t>
  </si>
  <si>
    <t xml:space="preserve">  ***  Participants since 09/01/98.</t>
  </si>
  <si>
    <t>PAGE 5B of</t>
  </si>
  <si>
    <t>YEAR 4 ( 2nd HALF )</t>
  </si>
  <si>
    <t xml:space="preserve">    **  Cumulative participants include a reduction for the cumulative participants as of 12/31/96.</t>
  </si>
  <si>
    <t>Year 2000</t>
  </si>
  <si>
    <t xml:space="preserve">ESTIMATED SECTOR SURCHARGES FOR 3 YEAR PROGRAM </t>
  </si>
  <si>
    <t xml:space="preserve">PAGE 6A of </t>
  </si>
  <si>
    <t>YEAR 5 (1st half)</t>
  </si>
  <si>
    <t xml:space="preserve">    **  Cumulative participants include a reduction for the cumulative participants as of 06/30/97.</t>
  </si>
  <si>
    <t xml:space="preserve">   ***  Participants since 09/01/98</t>
  </si>
  <si>
    <t>PAGE 6B of</t>
  </si>
  <si>
    <t>YEAR 5 (2nd half)</t>
  </si>
  <si>
    <t xml:space="preserve">   **   Cumulative participants include a reduction for the cumulative participants as of 12/31/97</t>
  </si>
  <si>
    <t>Year 2001</t>
  </si>
  <si>
    <t xml:space="preserve">PAGE 7A of </t>
  </si>
  <si>
    <t xml:space="preserve"> </t>
  </si>
  <si>
    <t xml:space="preserve">KENTUCKY POWER COMPANY </t>
  </si>
  <si>
    <t>Exhibit C</t>
  </si>
  <si>
    <t>NUMBER OF NEW PARTICIPANTS</t>
  </si>
  <si>
    <t>ANNUAL SHARED SAVINGS ($)</t>
  </si>
  <si>
    <t xml:space="preserve">INITIAL </t>
  </si>
  <si>
    <t>PROSP.</t>
  </si>
  <si>
    <t>1st</t>
  </si>
  <si>
    <t>2nd</t>
  </si>
  <si>
    <t>VALUES</t>
  </si>
  <si>
    <t>half</t>
  </si>
  <si>
    <t>Mobile Home New Construction   ***</t>
  </si>
  <si>
    <t xml:space="preserve">  --------------</t>
  </si>
  <si>
    <t xml:space="preserve">        *** Participants since 09/01/98</t>
  </si>
  <si>
    <t>FOR RESIDENTIAL, COMMERCIAL AND INDUSTRIAL SECTORS</t>
  </si>
  <si>
    <t>LINE</t>
  </si>
  <si>
    <t>RESIDENTIAL</t>
  </si>
  <si>
    <t>COMMERCIAL</t>
  </si>
  <si>
    <t>INDUSTRIAL</t>
  </si>
  <si>
    <t>NO.</t>
  </si>
  <si>
    <t>YEAR</t>
  </si>
  <si>
    <t>SECTOR</t>
  </si>
  <si>
    <t xml:space="preserve">    LESS NON-METERED **</t>
  </si>
  <si>
    <t xml:space="preserve">  ----------------------</t>
  </si>
  <si>
    <t>TOTAL ESTIMATED RETAIL KWH SALES</t>
  </si>
  <si>
    <t xml:space="preserve">    LESS OPT - OUT CUSTOMERS KWH</t>
  </si>
  <si>
    <t>KWH BEFORE LOST REVENUE IMPACTS</t>
  </si>
  <si>
    <t xml:space="preserve">        ADJUSTED KWH BY SECTOR</t>
  </si>
  <si>
    <t>LINE 7/LINE 1</t>
  </si>
  <si>
    <t>LINE 8</t>
  </si>
  <si>
    <t>*</t>
  </si>
  <si>
    <t xml:space="preserve">AEP CORPORATE PLANNING AND BUDGETING DEPT. </t>
  </si>
  <si>
    <t>**</t>
  </si>
  <si>
    <t xml:space="preserve">FROM BILLED JURISDICTIONAL TARIFF SUMMARY FOR </t>
  </si>
  <si>
    <t xml:space="preserve"> KENTUCKY POWER COMPANY</t>
  </si>
  <si>
    <t>YEAR 6 (1st Half)</t>
  </si>
  <si>
    <t xml:space="preserve">PAGE 7B of </t>
  </si>
  <si>
    <t xml:space="preserve">CURRENT PERIOD AMOUNT TO BE RECOVERED  </t>
  </si>
  <si>
    <t>Year 2002</t>
  </si>
  <si>
    <t>YEAR 6 (2nd Half)</t>
  </si>
  <si>
    <t xml:space="preserve">PAGE  8A of </t>
  </si>
  <si>
    <t xml:space="preserve">PAGE  8B of </t>
  </si>
  <si>
    <r>
      <t xml:space="preserve">  ***  Participants since </t>
    </r>
    <r>
      <rPr>
        <sz val="10"/>
        <color indexed="10"/>
        <rFont val="Arial"/>
        <family val="2"/>
      </rPr>
      <t>01/01/98.</t>
    </r>
  </si>
  <si>
    <r>
      <t xml:space="preserve">   **   Cumulative participants include a reduction for the cumulative participants as of </t>
    </r>
    <r>
      <rPr>
        <sz val="10"/>
        <color indexed="10"/>
        <rFont val="Arial"/>
        <family val="2"/>
      </rPr>
      <t>06/30/98.</t>
    </r>
  </si>
  <si>
    <r>
      <t xml:space="preserve">   **   Cumulative participants include a reduction for the cumulative participants as of </t>
    </r>
    <r>
      <rPr>
        <sz val="10"/>
        <color indexed="10"/>
        <rFont val="Arial"/>
        <family val="2"/>
      </rPr>
      <t>12/31/98</t>
    </r>
  </si>
  <si>
    <r>
      <t xml:space="preserve">  ***  Participants since </t>
    </r>
    <r>
      <rPr>
        <sz val="10"/>
        <color indexed="10"/>
        <rFont val="Arial"/>
        <family val="2"/>
      </rPr>
      <t>07/01/98.</t>
    </r>
  </si>
  <si>
    <t>Targeted Energy Efficiency      - All Electric</t>
  </si>
  <si>
    <t>YEAR            1</t>
  </si>
  <si>
    <t>YEAR            2</t>
  </si>
  <si>
    <t>YEAR          4</t>
  </si>
  <si>
    <t xml:space="preserve">  ----------</t>
  </si>
  <si>
    <t xml:space="preserve">  ==========</t>
  </si>
  <si>
    <t>YEAR              3</t>
  </si>
  <si>
    <t>YEAR              5</t>
  </si>
  <si>
    <t>YEAR                 6</t>
  </si>
  <si>
    <t>YEAR                 7</t>
  </si>
  <si>
    <t>NET   LOST</t>
  </si>
  <si>
    <t>TOTAL     NET *</t>
  </si>
  <si>
    <t>YEAR 7 ( 1st Half )</t>
  </si>
  <si>
    <t>TOTAL ACTUAL</t>
  </si>
  <si>
    <t>TOTAL    NET *</t>
  </si>
  <si>
    <t>TOTAL      NET *</t>
  </si>
  <si>
    <t>NET      LOST</t>
  </si>
  <si>
    <t xml:space="preserve"> -------------</t>
  </si>
  <si>
    <t xml:space="preserve">  ------------------</t>
  </si>
  <si>
    <t>Year 2003</t>
  </si>
  <si>
    <t>YEAR                8</t>
  </si>
  <si>
    <t>TOTAL   ACTUAL</t>
  </si>
  <si>
    <t xml:space="preserve">ESTIMATED SECTOR SURCHARGES               FOR 3 YEAR PROGRAM </t>
  </si>
  <si>
    <t xml:space="preserve">       - Heat Pump</t>
  </si>
  <si>
    <t xml:space="preserve">       - Air Conditioner</t>
  </si>
  <si>
    <t>Modified Energy Fitness</t>
  </si>
  <si>
    <r>
      <t xml:space="preserve">  ***  Participants since   </t>
    </r>
    <r>
      <rPr>
        <b/>
        <sz val="10"/>
        <color indexed="10"/>
        <rFont val="Arial"/>
        <family val="2"/>
      </rPr>
      <t>01/01/2000.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</si>
  <si>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12/31/1999.</t>
    </r>
  </si>
  <si>
    <r>
      <t xml:space="preserve">  ***  Participants since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07/01/1999.</t>
    </r>
  </si>
  <si>
    <r>
      <t xml:space="preserve">   **   Cumulative participants include a reduction for the cumulative participants as of</t>
    </r>
    <r>
      <rPr>
        <sz val="10"/>
        <color indexed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>06/30/1999.</t>
    </r>
  </si>
  <si>
    <r>
      <t xml:space="preserve">  ***  Participants since   </t>
    </r>
    <r>
      <rPr>
        <b/>
        <sz val="10"/>
        <color indexed="10"/>
        <rFont val="Arial"/>
        <family val="2"/>
      </rPr>
      <t>01/01/1999.</t>
    </r>
  </si>
  <si>
    <t>TOTAL                   ACTUAL</t>
  </si>
  <si>
    <t>YEAR 7 (2nd Half)</t>
  </si>
  <si>
    <t xml:space="preserve">(5% of                             COSTS) </t>
  </si>
  <si>
    <t>YEAR 8 (1st HALF)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</si>
  <si>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06/30/2000.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</si>
  <si>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07/01/2000.</t>
    </r>
  </si>
  <si>
    <r>
      <t xml:space="preserve">TOTAL                  </t>
    </r>
    <r>
      <rPr>
        <sz val="10"/>
        <color indexed="10"/>
        <rFont val="Arial"/>
        <family val="2"/>
      </rPr>
      <t>ACTUAL</t>
    </r>
  </si>
  <si>
    <t>Year 2004</t>
  </si>
  <si>
    <t>YEAR 8 (2nd HALF)</t>
  </si>
  <si>
    <r>
      <t xml:space="preserve">TOTAL                 </t>
    </r>
    <r>
      <rPr>
        <sz val="10"/>
        <color indexed="10"/>
        <rFont val="Arial"/>
        <family val="2"/>
      </rPr>
      <t>ACTUAL</t>
    </r>
  </si>
  <si>
    <t>YEAR                9</t>
  </si>
  <si>
    <t>YEAR      1</t>
  </si>
  <si>
    <t>YEAR            3</t>
  </si>
  <si>
    <t>YEAR           4</t>
  </si>
  <si>
    <t>YEAR            5</t>
  </si>
  <si>
    <t>YEAR            6</t>
  </si>
  <si>
    <t>YEAR            7</t>
  </si>
  <si>
    <t>YEAR             8</t>
  </si>
  <si>
    <t>YEAR            9</t>
  </si>
  <si>
    <t xml:space="preserve">   - All Electric</t>
  </si>
  <si>
    <t xml:space="preserve">   - Non-All Electric</t>
  </si>
  <si>
    <t>High - Efficiency Heat Pump</t>
  </si>
  <si>
    <t xml:space="preserve">   - Resistance Heat</t>
  </si>
  <si>
    <t xml:space="preserve">   - Non Resistance Heat</t>
  </si>
  <si>
    <t xml:space="preserve">High - Efficiency Heat Pump    </t>
  </si>
  <si>
    <t xml:space="preserve">   - Mobile Home</t>
  </si>
  <si>
    <t xml:space="preserve">   - Heat Pump</t>
  </si>
  <si>
    <t xml:space="preserve">   - Air Conditioner</t>
  </si>
  <si>
    <t xml:space="preserve">       (w/Est. Opt-Outs Removed)</t>
  </si>
  <si>
    <t>$ /                  PARTICIPANT</t>
  </si>
  <si>
    <t xml:space="preserve">PAGE                  9A of </t>
  </si>
  <si>
    <t xml:space="preserve">PAGE                  9B of </t>
  </si>
  <si>
    <t>(KWH/           PARTICIPANT)</t>
  </si>
  <si>
    <t>REV/QTRS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</si>
  <si>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12/31/2000.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</si>
  <si>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12/31/2001.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</si>
  <si>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01/01/2001.</t>
    </r>
  </si>
  <si>
    <t xml:space="preserve">Targeted Energy Efficiency </t>
  </si>
  <si>
    <t xml:space="preserve">       - All Electric</t>
  </si>
  <si>
    <t xml:space="preserve">       - Non-All Electric</t>
  </si>
  <si>
    <t xml:space="preserve">       - Resistance Heat</t>
  </si>
  <si>
    <t xml:space="preserve">       - Non Resistance Heat</t>
  </si>
  <si>
    <t xml:space="preserve">       - Mobile Home</t>
  </si>
  <si>
    <t>(w/Est. Opt-Outs Removed)</t>
  </si>
  <si>
    <t xml:space="preserve">High - Efficiency Heat Pump </t>
  </si>
  <si>
    <t>Targeted Energy Efficiency</t>
  </si>
  <si>
    <t xml:space="preserve">Targeted Energy Efficiency   </t>
  </si>
  <si>
    <t>Year 2005</t>
  </si>
  <si>
    <t>YEAR                10</t>
  </si>
  <si>
    <t>YEAR            10</t>
  </si>
  <si>
    <t xml:space="preserve">PAGE            11A of </t>
  </si>
  <si>
    <t xml:space="preserve">PAGE            11B of </t>
  </si>
  <si>
    <t>KWH/                                    QTR</t>
  </si>
  <si>
    <t>(4)X(22)</t>
  </si>
  <si>
    <t xml:space="preserve">PAGE  10A of </t>
  </si>
  <si>
    <t>YEAR 9 (1st HALF)</t>
  </si>
  <si>
    <t>KWH/                  HALF</t>
  </si>
  <si>
    <t xml:space="preserve">Targeted Energy Efficiency  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</si>
  <si>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06/30/2001.</t>
    </r>
  </si>
  <si>
    <t>YEAR 9 (2nd HALF)</t>
  </si>
  <si>
    <t>YEAR 10 (1st Half)</t>
  </si>
  <si>
    <t>KWH/                                    HALF</t>
  </si>
  <si>
    <t>Year 2006</t>
  </si>
  <si>
    <t>YEAR 10 (2nd HALF)</t>
  </si>
  <si>
    <t xml:space="preserve">PAGE            12A of </t>
  </si>
  <si>
    <t xml:space="preserve">PAGE            12B of </t>
  </si>
  <si>
    <t xml:space="preserve">TOTAL AMOUNT RECOVERED </t>
  </si>
  <si>
    <r>
      <t xml:space="preserve">TOTAL                                  </t>
    </r>
    <r>
      <rPr>
        <b/>
        <sz val="10"/>
        <color indexed="10"/>
        <rFont val="Arial"/>
        <family val="2"/>
      </rPr>
      <t>ACTUAL</t>
    </r>
  </si>
  <si>
    <r>
      <t xml:space="preserve">TOTAL                                   </t>
    </r>
    <r>
      <rPr>
        <b/>
        <sz val="10"/>
        <color indexed="10"/>
        <rFont val="Arial"/>
        <family val="2"/>
      </rPr>
      <t>ACTUAL</t>
    </r>
  </si>
  <si>
    <t>YEAR            11</t>
  </si>
  <si>
    <t>YEAR                11</t>
  </si>
  <si>
    <t>2002/      2003</t>
  </si>
  <si>
    <t>2005</t>
  </si>
  <si>
    <t>TOTAL                                   ESTIMATED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</si>
  <si>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06/30/2002.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</si>
  <si>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01/01/2002.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</si>
  <si>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12/31/2002.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</si>
  <si>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07/01/2002.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</si>
  <si>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01/01/2003.</t>
    </r>
  </si>
  <si>
    <t>TRANSFER PORTION OF BALANCE FROM COMMERCIAL</t>
  </si>
  <si>
    <t>TRANSFER BALANCE TO RESIDENTIAL</t>
  </si>
  <si>
    <t>(3)X(16)</t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</si>
  <si>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07/01/2001.</t>
    </r>
  </si>
  <si>
    <t>TOTAL                                   ACTUAL</t>
  </si>
  <si>
    <t>TOTAL                                  ESTIMATED</t>
  </si>
  <si>
    <t xml:space="preserve">PAGE  10B of </t>
  </si>
  <si>
    <t>YEAR 11 (1st HALF)</t>
  </si>
  <si>
    <r>
      <t xml:space="preserve">   **   Cumulative participants include a reduction for the cumulative participants as of  </t>
    </r>
    <r>
      <rPr>
        <b/>
        <sz val="10"/>
        <color indexed="10"/>
        <rFont val="Arial"/>
        <family val="2"/>
      </rPr>
      <t xml:space="preserve"> 06/30/2003.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</si>
  <si>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07/01/2003.</t>
    </r>
  </si>
  <si>
    <t>Year 2007</t>
  </si>
  <si>
    <t>YEAR 11 (2nd HALF)</t>
  </si>
  <si>
    <t>(5)X(28)</t>
  </si>
  <si>
    <t>YEAR                12</t>
  </si>
  <si>
    <t xml:space="preserve">PAGE            13A of </t>
  </si>
  <si>
    <t>KWH/                                        HALF</t>
  </si>
  <si>
    <t>YEAR            12</t>
  </si>
  <si>
    <t xml:space="preserve">PAGE            13B of </t>
  </si>
  <si>
    <t>TOTAL                                       ESTIMATED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</si>
  <si>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12/31/2003.</t>
    </r>
  </si>
  <si>
    <t>TOTAL                                       ACTUAL</t>
  </si>
  <si>
    <t>YEAR 12 (1st HALF)</t>
  </si>
  <si>
    <t>(5)X(29)</t>
  </si>
  <si>
    <t>Case No 2006 - 00373, Dated December 14, 2006:</t>
  </si>
  <si>
    <t xml:space="preserve">       - HEAP - Kentucky Power Company's</t>
  </si>
  <si>
    <t xml:space="preserve">         Information Technology Implementation Costs</t>
  </si>
  <si>
    <t xml:space="preserve">      - HEAP - KACA's </t>
  </si>
  <si>
    <t xml:space="preserve">        Information Technology Implementation Costs</t>
  </si>
  <si>
    <r>
      <t xml:space="preserve">   **   Cumulative participants include a reduction for the cumulative participants as of  </t>
    </r>
    <r>
      <rPr>
        <b/>
        <sz val="10"/>
        <color indexed="10"/>
        <rFont val="Arial"/>
        <family val="2"/>
      </rPr>
      <t xml:space="preserve"> 06/30/2005.</t>
    </r>
  </si>
  <si>
    <r>
      <t xml:space="preserve">  ***  Participants since 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07/01/2005.</t>
    </r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</si>
  <si>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06/30/2005.</t>
    </r>
  </si>
  <si>
    <t xml:space="preserve">PAGE            14A of </t>
  </si>
  <si>
    <t>Year 2008</t>
  </si>
  <si>
    <t>YEAR 12 (2nd Half)</t>
  </si>
  <si>
    <t>YEAR                13</t>
  </si>
  <si>
    <t>YEAR            13</t>
  </si>
  <si>
    <t xml:space="preserve"> =======</t>
  </si>
  <si>
    <t xml:space="preserve">  -------------</t>
  </si>
  <si>
    <t xml:space="preserve">PAGE            14B of </t>
  </si>
  <si>
    <t>YEAR 13 (1st HALF)</t>
  </si>
  <si>
    <t>2008</t>
  </si>
  <si>
    <t>(3)X(17)</t>
  </si>
  <si>
    <t>(4)X(23)</t>
  </si>
  <si>
    <t>Year 2009</t>
  </si>
  <si>
    <t>YEAR 13 (2nd HALF)</t>
  </si>
  <si>
    <t>YEAR            14</t>
  </si>
  <si>
    <t>YEAR                14</t>
  </si>
  <si>
    <t>KWH/                                       HALF</t>
  </si>
  <si>
    <t xml:space="preserve">PAGE              15A of </t>
  </si>
  <si>
    <t xml:space="preserve">PAGE              15B of </t>
  </si>
  <si>
    <t>DERIVATION FOR                                                    3 YEAR DSM EXPERIMENT</t>
  </si>
  <si>
    <t>CALCULATION OF                                                   EFFICIENCY INCENTIVE</t>
  </si>
  <si>
    <t xml:space="preserve">Mobile Home New Construction  </t>
  </si>
  <si>
    <r>
      <t xml:space="preserve">   **   Cumulative participants include a reduction for the cumulative participants as of   </t>
    </r>
    <r>
      <rPr>
        <b/>
        <sz val="10"/>
        <color indexed="10"/>
        <rFont val="Arial"/>
        <family val="2"/>
      </rPr>
      <t>01/01/2006.</t>
    </r>
  </si>
  <si>
    <t>High Efficiency Heat Pump</t>
  </si>
  <si>
    <t xml:space="preserve">       - Heat Pump Replacement</t>
  </si>
  <si>
    <t>Energy Education for Student Program (NEED)</t>
  </si>
  <si>
    <t xml:space="preserve">Community Outreach Program (CFL) </t>
  </si>
  <si>
    <t>2009</t>
  </si>
  <si>
    <t xml:space="preserve">       - Resistance Heat Replacement</t>
  </si>
  <si>
    <t xml:space="preserve">       - Resistance Heat </t>
  </si>
  <si>
    <t xml:space="preserve">       - Non Resistance Heat </t>
  </si>
  <si>
    <t xml:space="preserve">    *     Lost revenue and efficiency incentives are based on prospective values.</t>
  </si>
  <si>
    <r>
      <t xml:space="preserve">   **    Cumulative participants include a reduction for the cumulative participants as of   </t>
    </r>
    <r>
      <rPr>
        <b/>
        <sz val="10"/>
        <color indexed="10"/>
        <rFont val="Arial"/>
        <family val="2"/>
      </rPr>
      <t>01/01/2007.</t>
    </r>
  </si>
  <si>
    <t>***</t>
  </si>
  <si>
    <t xml:space="preserve">NUMBER                                    </t>
  </si>
  <si>
    <r>
      <t xml:space="preserve">   ***   Cumulative participants include a reduction for the cumulative participants as of   </t>
    </r>
    <r>
      <rPr>
        <b/>
        <sz val="10"/>
        <color indexed="10"/>
        <rFont val="Arial"/>
        <family val="2"/>
      </rPr>
      <t xml:space="preserve">01/01/2009 </t>
    </r>
    <r>
      <rPr>
        <sz val="10"/>
        <color indexed="8"/>
        <rFont val="Arial"/>
        <family val="2"/>
      </rPr>
      <t>(High Efficiency Heat Pump, Energy Education for Students and Community Outreach Program (CFL)).</t>
    </r>
  </si>
  <si>
    <r>
      <t xml:space="preserve">   **    Cumulative participants include a reduction for the cumulative participants as of   </t>
    </r>
    <r>
      <rPr>
        <b/>
        <sz val="10"/>
        <color indexed="10"/>
        <rFont val="Arial"/>
        <family val="2"/>
      </rPr>
      <t>07/01/2006.</t>
    </r>
  </si>
  <si>
    <t>YEAR 14 (2nd HALF)</t>
  </si>
  <si>
    <t>Year 2010</t>
  </si>
  <si>
    <t>KWH/                                    QTRs</t>
  </si>
  <si>
    <t>YEAR            15</t>
  </si>
  <si>
    <t>YEAR                15</t>
  </si>
  <si>
    <t>(3)X(18)</t>
  </si>
  <si>
    <t>(4)X(24)</t>
  </si>
  <si>
    <t>(5)X(30)</t>
  </si>
  <si>
    <t>(7)X(36)</t>
  </si>
  <si>
    <t xml:space="preserve">PAGE              16A of </t>
  </si>
  <si>
    <t>(4) / (1)</t>
  </si>
  <si>
    <t>AVERAGE                                                                 ACTUAL</t>
  </si>
  <si>
    <t>AVERAGE                                                                ESTIMATED</t>
  </si>
  <si>
    <t>LOST REVENUE IMPACTS</t>
  </si>
  <si>
    <t xml:space="preserve">    LESS LOST REVENUE IMPACTS ***</t>
  </si>
  <si>
    <t>TOTAL ULTIMATE SALES (KWH) *</t>
  </si>
  <si>
    <r>
      <t xml:space="preserve">   **    Cumulative participants include a reduction for the cumulative participants as of   </t>
    </r>
    <r>
      <rPr>
        <b/>
        <sz val="10"/>
        <color indexed="10"/>
        <rFont val="Arial"/>
        <family val="2"/>
      </rPr>
      <t>04/01/2007.</t>
    </r>
  </si>
  <si>
    <t>YEAR 15 (1st HALF)</t>
  </si>
  <si>
    <t>AVERAGE                                                                ACTUAL</t>
  </si>
  <si>
    <t>2010</t>
  </si>
  <si>
    <t>YEAR            16</t>
  </si>
  <si>
    <t>YEAR 15  (2nd HALF)</t>
  </si>
  <si>
    <t>Year 2011</t>
  </si>
  <si>
    <t>YEAR                16</t>
  </si>
  <si>
    <t>Residential Efficient Products</t>
  </si>
  <si>
    <t xml:space="preserve">       - Compact Flourescent Lamp (CFL)</t>
  </si>
  <si>
    <t>HVAC Diagnostic &amp; Tune-Up</t>
  </si>
  <si>
    <t>Commercial A/C &amp; Heat Pump Program</t>
  </si>
  <si>
    <t xml:space="preserve">       - Air Conditioner Replacement</t>
  </si>
  <si>
    <t>Residential Load Management</t>
  </si>
  <si>
    <t>Commercial Load Management</t>
  </si>
  <si>
    <t xml:space="preserve">   - Compact Flourescent Lamp (CFL)</t>
  </si>
  <si>
    <t xml:space="preserve">   - Air Conditioner Replacement</t>
  </si>
  <si>
    <t xml:space="preserve">   - Heat Pump Replacement</t>
  </si>
  <si>
    <t>Commercial Incentive</t>
  </si>
  <si>
    <t xml:space="preserve">       - Water Heating</t>
  </si>
  <si>
    <t xml:space="preserve">       - LED Lights</t>
  </si>
  <si>
    <t xml:space="preserve">       - Specialty Bulbs</t>
  </si>
  <si>
    <t xml:space="preserve">   - LED Lights</t>
  </si>
  <si>
    <t xml:space="preserve">PAGE              16B-1 of </t>
  </si>
  <si>
    <t xml:space="preserve">PAGE              16B-2 of </t>
  </si>
  <si>
    <t xml:space="preserve">PAGE              17A-1 of </t>
  </si>
  <si>
    <t xml:space="preserve">PAGE              17A-2 of </t>
  </si>
  <si>
    <t xml:space="preserve">PAGE              17B-1 of </t>
  </si>
  <si>
    <t xml:space="preserve">PAGE              17B-2 of </t>
  </si>
  <si>
    <t>2011</t>
  </si>
  <si>
    <t>(1)X(11)</t>
  </si>
  <si>
    <t>(2)X(13)</t>
  </si>
  <si>
    <t>(2)X(14)</t>
  </si>
  <si>
    <t>(3)X(19)</t>
  </si>
  <si>
    <t>(3)X(20)</t>
  </si>
  <si>
    <t>(4)X(25)</t>
  </si>
  <si>
    <t>(4)X(26)</t>
  </si>
  <si>
    <t>(5)X(31)</t>
  </si>
  <si>
    <t>(5)X(32)</t>
  </si>
  <si>
    <t>(6)X(34)</t>
  </si>
  <si>
    <t>(8)X(38)</t>
  </si>
  <si>
    <t>(9)X(40)</t>
  </si>
  <si>
    <t>(9)X(41)</t>
  </si>
  <si>
    <t>YEAR 16 (1st HALF)</t>
  </si>
  <si>
    <t xml:space="preserve">   **    Cumulative participants include a reduction for the cumulative participants as of   01/01/2009 (High Efficiency Heat Pump, Energy Education for Students and Community Outreach Program (CFL)).</t>
  </si>
  <si>
    <t>YEAR 16 (2nd HALF)</t>
  </si>
  <si>
    <t>Year 2012</t>
  </si>
  <si>
    <t xml:space="preserve">PAGE              18A-1 of </t>
  </si>
  <si>
    <t xml:space="preserve">PAGE              18A-2 of </t>
  </si>
  <si>
    <t xml:space="preserve">PAGE              18B-1 of </t>
  </si>
  <si>
    <t xml:space="preserve">PAGE              18B-2 of </t>
  </si>
  <si>
    <t>YEAR                17</t>
  </si>
  <si>
    <t>YEAR            17</t>
  </si>
  <si>
    <t>(10)X(42)</t>
  </si>
  <si>
    <t>(10)X(43)</t>
  </si>
  <si>
    <t>(8)X(39)</t>
  </si>
  <si>
    <t>(7)X(37)</t>
  </si>
  <si>
    <t>(6)X(35)</t>
  </si>
  <si>
    <t>(5)X(33)</t>
  </si>
  <si>
    <t>(4)X(27)</t>
  </si>
  <si>
    <t>(3)X(21)</t>
  </si>
  <si>
    <t>(2)X(15)</t>
  </si>
  <si>
    <t>(1)X(12)</t>
  </si>
  <si>
    <t>Residential Load Management (Pilot Program)</t>
  </si>
  <si>
    <t>Commercial Load Management (Pilot Program)</t>
  </si>
  <si>
    <t>1st                                             HALF</t>
  </si>
  <si>
    <t>COL. 4, L 2 / COL. 4, L 11</t>
  </si>
  <si>
    <t>COL. 4, L 4 / COL. 4, L 11</t>
  </si>
  <si>
    <t xml:space="preserve">       - Non Resistance Heat Pump Replacement</t>
  </si>
  <si>
    <t>Year 2013</t>
  </si>
  <si>
    <t xml:space="preserve">PAGE              19A-1 of </t>
  </si>
  <si>
    <t xml:space="preserve">PAGE              19A-2 of </t>
  </si>
  <si>
    <t xml:space="preserve">PAGE              19B-1 of </t>
  </si>
  <si>
    <t xml:space="preserve">PAGE              19B-2 of </t>
  </si>
  <si>
    <t>YEAR            18</t>
  </si>
  <si>
    <t>YEAR                18</t>
  </si>
  <si>
    <t>YEAR 17 (1st HALF)</t>
  </si>
  <si>
    <t>YEAR 17 (2nd HALF)</t>
  </si>
  <si>
    <t>YEAR 18 (1st HALF)</t>
  </si>
  <si>
    <t>YEAR 18 (2nd HALF)</t>
  </si>
  <si>
    <t xml:space="preserve">       - Specialty CFL's</t>
  </si>
  <si>
    <t xml:space="preserve">   - Specialty CFL's</t>
  </si>
  <si>
    <t>YEAR            19</t>
  </si>
  <si>
    <t>YEAR                19</t>
  </si>
  <si>
    <t>YEAR 19       (2014)</t>
  </si>
  <si>
    <t xml:space="preserve">PAGE              20A-1 of </t>
  </si>
  <si>
    <t xml:space="preserve">PAGE              20A-2 of 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</si>
  <si>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</si>
  <si>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</si>
  <si>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</si>
  <si>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</si>
  <si>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</si>
  <si>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</si>
  <si>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</si>
  <si>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</si>
  <si>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</si>
  <si>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</si>
  <si>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</si>
  <si>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COM</t>
  </si>
  <si>
    <t>RES</t>
  </si>
  <si>
    <t>IND</t>
  </si>
  <si>
    <t xml:space="preserve">       - Mobile Home Retrofit</t>
  </si>
  <si>
    <t>Year 2014</t>
  </si>
  <si>
    <t>YEAR 19 (1st HALF)</t>
  </si>
  <si>
    <t>(EX. C,                            PG.21C)</t>
  </si>
  <si>
    <t>(10)X(44)</t>
  </si>
  <si>
    <t>(10)X(45)</t>
  </si>
  <si>
    <t>(10)X(46)</t>
  </si>
  <si>
    <t xml:space="preserve">       </t>
  </si>
  <si>
    <t xml:space="preserve">ACTUAL SECTOR SURCHARGES FOR 3 YEAR PROGRAM </t>
  </si>
  <si>
    <t xml:space="preserve">TOTAL YEARS            </t>
  </si>
  <si>
    <t>Sept</t>
  </si>
  <si>
    <t>2013 / 2014</t>
  </si>
  <si>
    <t>1st Half</t>
  </si>
  <si>
    <t>2nd Half</t>
  </si>
  <si>
    <t>YEAR 19 (2nd HALF)</t>
  </si>
  <si>
    <t>YEAR 20 (1st HALF)</t>
  </si>
  <si>
    <t>Year 2015</t>
  </si>
  <si>
    <t>YEAR 20</t>
  </si>
  <si>
    <t>YEAR       20</t>
  </si>
  <si>
    <t xml:space="preserve">PAGE              20B-1 of </t>
  </si>
  <si>
    <t>(10)X(47)</t>
  </si>
  <si>
    <t>(11)X(48)</t>
  </si>
  <si>
    <t>2nd             HALF</t>
  </si>
  <si>
    <t>1st               HALF</t>
  </si>
  <si>
    <t>2nd                                             HALF</t>
  </si>
  <si>
    <t>YEAR 20       (2015)</t>
  </si>
  <si>
    <t>General Administrative and Promotion</t>
  </si>
  <si>
    <t xml:space="preserve"> Mobile Home High - Efficiency Heat Pump</t>
  </si>
  <si>
    <t>2014/2015</t>
  </si>
  <si>
    <t>`</t>
  </si>
  <si>
    <t xml:space="preserve">       - Specialty LED</t>
  </si>
  <si>
    <t xml:space="preserve">       - Clothes Washer</t>
  </si>
  <si>
    <t xml:space="preserve">       - Dehumidifiers</t>
  </si>
  <si>
    <t xml:space="preserve">       - Refrigerators</t>
  </si>
  <si>
    <t xml:space="preserve">       - Freezers</t>
  </si>
  <si>
    <t xml:space="preserve">       - Heat Pump Water Heaters</t>
  </si>
  <si>
    <t>Residential Home Performance</t>
  </si>
  <si>
    <t xml:space="preserve">       - Customer Participants</t>
  </si>
  <si>
    <t>Appliance Recycling</t>
  </si>
  <si>
    <t xml:space="preserve">       - Units Recycled</t>
  </si>
  <si>
    <t>Revenues Recovered - Residential</t>
  </si>
  <si>
    <t>Revenues Recovered -  Commercial</t>
  </si>
  <si>
    <t>TOTAL                                      ACTUAL</t>
  </si>
  <si>
    <t>TOTAL                      NET *</t>
  </si>
  <si>
    <t xml:space="preserve">PAGE              21B-1 of </t>
  </si>
  <si>
    <t xml:space="preserve">PAGE              21A-2 of </t>
  </si>
  <si>
    <t xml:space="preserve">PAGE              22B of </t>
  </si>
  <si>
    <r>
      <t xml:space="preserve">ADJ. ESTIMATED SECTOR KWH  -  </t>
    </r>
    <r>
      <rPr>
        <b/>
        <sz val="10"/>
        <color indexed="10"/>
        <rFont val="Arial"/>
        <family val="2"/>
      </rPr>
      <t>YEAR 20</t>
    </r>
  </si>
  <si>
    <r>
      <t xml:space="preserve">ADJ. ESTIMATED SECTOR KWH  -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YEAR 20</t>
    </r>
  </si>
  <si>
    <t>2012 thru 2013</t>
  </si>
  <si>
    <t>NET                      LOST</t>
  </si>
  <si>
    <r>
      <t xml:space="preserve">FORECAST OF 2015 2nd HALF / </t>
    </r>
    <r>
      <rPr>
        <sz val="8"/>
        <color indexed="10"/>
        <rFont val="Arial"/>
        <family val="2"/>
      </rPr>
      <t>2016 1st HALF</t>
    </r>
    <r>
      <rPr>
        <sz val="8"/>
        <rFont val="Arial"/>
        <family val="2"/>
      </rPr>
      <t xml:space="preserve"> KENTUCKY RETAIL ENERGY SALES IN KWH</t>
    </r>
  </si>
  <si>
    <t>2015/2016</t>
  </si>
  <si>
    <t>PROGRAM YR 20 2015 2nd HALF &amp; YR 21 2016 1st HALF</t>
  </si>
  <si>
    <t>PROGRAM YR 20 (2nd HALF)</t>
  </si>
  <si>
    <t>PROGRAM YR 21 (1st HALF)</t>
  </si>
  <si>
    <r>
      <t>SOURCE:</t>
    </r>
    <r>
      <rPr>
        <sz val="10"/>
        <color rgb="FFFF0000"/>
        <rFont val="Arial"/>
        <family val="2"/>
      </rPr>
      <t xml:space="preserve"> 2015 / </t>
    </r>
    <r>
      <rPr>
        <sz val="10"/>
        <color indexed="10"/>
        <rFont val="Arial"/>
        <family val="2"/>
      </rPr>
      <t>2016</t>
    </r>
    <r>
      <rPr>
        <sz val="10"/>
        <rFont val="Arial"/>
        <family val="2"/>
      </rPr>
      <t xml:space="preserve"> LOAD FORECAST COMPILED BY</t>
    </r>
  </si>
  <si>
    <r>
      <t xml:space="preserve">12 MOS. ENDED JUNE </t>
    </r>
    <r>
      <rPr>
        <sz val="10"/>
        <color indexed="10"/>
        <rFont val="Arial"/>
        <family val="2"/>
      </rPr>
      <t>2015</t>
    </r>
    <r>
      <rPr>
        <sz val="10"/>
        <rFont val="Arial"/>
        <family val="2"/>
      </rPr>
      <t>.</t>
    </r>
  </si>
  <si>
    <t xml:space="preserve">PAGE              21A-1 of </t>
  </si>
  <si>
    <t xml:space="preserve">PAGE              22A-1 of </t>
  </si>
  <si>
    <t xml:space="preserve">PAGE              22A-2 of </t>
  </si>
  <si>
    <t xml:space="preserve">PAGE              21B-2 of </t>
  </si>
  <si>
    <t>TOTAL        NET *</t>
  </si>
  <si>
    <r>
      <t>.66%</t>
    </r>
    <r>
      <rPr>
        <sz val="10"/>
        <rFont val="Arial"/>
        <family val="2"/>
      </rPr>
      <t xml:space="preserve"> ESTIMATED TO BE NON-METERED (OL) DETERMINED </t>
    </r>
  </si>
  <si>
    <t>YEAR 20 (2nd HALF)</t>
  </si>
  <si>
    <t>YEAR 21 (1st HALF)</t>
  </si>
  <si>
    <t>Year 2016</t>
  </si>
  <si>
    <t xml:space="preserve"> 1 thru year 19 1st HALF</t>
  </si>
  <si>
    <t>YEAR 21 (2016)</t>
  </si>
  <si>
    <t>YEAR 21</t>
  </si>
  <si>
    <t>YEAR       21</t>
  </si>
  <si>
    <t>(11)X(49)</t>
  </si>
  <si>
    <t>(12)X(50)</t>
  </si>
  <si>
    <t>Express Install</t>
  </si>
  <si>
    <t>New Construction</t>
  </si>
  <si>
    <t>Retro-Commissioning</t>
  </si>
  <si>
    <t>CI Prescriptive Custom</t>
  </si>
  <si>
    <t xml:space="preserve">       - Air Purifier</t>
  </si>
  <si>
    <t>New Manufactured Homes</t>
  </si>
  <si>
    <t>Whole House Efficiency</t>
  </si>
  <si>
    <t>2016</t>
  </si>
  <si>
    <t>Retrocommissioning</t>
  </si>
  <si>
    <t>School Energy Manager</t>
  </si>
  <si>
    <t xml:space="preserve">PAGE              23C of </t>
  </si>
  <si>
    <t>PAGE              23A of</t>
  </si>
  <si>
    <t xml:space="preserve">PAGE 24 of </t>
  </si>
  <si>
    <t>(EX. C,                            PG.23C)</t>
  </si>
  <si>
    <t>2014</t>
  </si>
  <si>
    <t>2015</t>
  </si>
  <si>
    <t>REV/RPT PERIOD</t>
  </si>
  <si>
    <t>(KWH// PARTICIPANT)</t>
  </si>
  <si>
    <t xml:space="preserve">    - Clothes Washer</t>
  </si>
  <si>
    <t xml:space="preserve">    - Dehumidifiers</t>
  </si>
  <si>
    <t xml:space="preserve">    - Refrigerators</t>
  </si>
  <si>
    <t xml:space="preserve">    - Freezers</t>
  </si>
  <si>
    <t xml:space="preserve">    - Heat Pump Water Heaters</t>
  </si>
  <si>
    <t xml:space="preserve">    - Air Purifier</t>
  </si>
  <si>
    <t>Forecasted Sales</t>
  </si>
  <si>
    <t>Page 20B of 24, Column 6 - TOTAL RESIDENTIAL PROGRAMS</t>
  </si>
  <si>
    <t>Page 21A of 24, Column 6 - TOTAL RESIDENTIAL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</si>
</sst>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00000_);\(#,##0.000000\)"/>
    <numFmt numFmtId="165" formatCode="&quot;$&quot;#,##0.00000_);\(&quot;$&quot;#,##0.00000\)"/>
    <numFmt numFmtId="166" formatCode="&quot;$&quot;#,##0.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4" fillId="6" borderId="0" applyNumberFormat="0" applyBorder="0" applyAlignment="0" applyProtection="0"/>
    <xf numFmtId="0" fontId="3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7" fontId="0" fillId="0" borderId="0" xfId="0" applyNumberFormat="1"/>
    <xf numFmtId="164" fontId="0" fillId="0" borderId="0" xfId="0" applyNumberFormat="1"/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5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5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/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/>
    <xf numFmtId="49" fontId="10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6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 horizontal="right"/>
    </xf>
    <xf numFmtId="6" fontId="11" fillId="0" borderId="0" xfId="0" applyNumberFormat="1" applyFont="1" applyAlignment="1">
      <alignment horizontal="right"/>
    </xf>
    <xf numFmtId="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/>
    <xf numFmtId="37" fontId="0" fillId="0" borderId="0" xfId="0" applyNumberFormat="1" applyFill="1" applyAlignment="1">
      <alignment horizontal="right"/>
    </xf>
    <xf numFmtId="37" fontId="0" fillId="0" borderId="0" xfId="0" applyNumberFormat="1" applyFill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11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164" fontId="7" fillId="0" borderId="0" xfId="0" applyNumberFormat="1" applyFont="1"/>
    <xf numFmtId="5" fontId="7" fillId="0" borderId="0" xfId="0" applyNumberFormat="1" applyFont="1"/>
    <xf numFmtId="49" fontId="7" fillId="0" borderId="0" xfId="0" applyNumberFormat="1" applyFont="1" applyAlignment="1">
      <alignment horizontal="center" wrapText="1"/>
    </xf>
    <xf numFmtId="8" fontId="11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5" fontId="11" fillId="0" borderId="0" xfId="0" applyNumberFormat="1" applyFont="1" applyFill="1"/>
    <xf numFmtId="5" fontId="11" fillId="0" borderId="0" xfId="0" applyNumberFormat="1" applyFont="1" applyAlignment="1">
      <alignment horizontal="right"/>
    </xf>
    <xf numFmtId="37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Font="1"/>
    <xf numFmtId="49" fontId="19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/>
    </xf>
    <xf numFmtId="8" fontId="19" fillId="0" borderId="0" xfId="0" applyNumberFormat="1" applyFont="1" applyAlignment="1">
      <alignment horizontal="right"/>
    </xf>
    <xf numFmtId="37" fontId="19" fillId="0" borderId="0" xfId="0" applyNumberFormat="1" applyFont="1"/>
    <xf numFmtId="0" fontId="11" fillId="0" borderId="0" xfId="0" applyFont="1"/>
    <xf numFmtId="37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 wrapText="1"/>
    </xf>
    <xf numFmtId="0" fontId="0" fillId="0" borderId="0" xfId="0" applyAlignment="1"/>
    <xf numFmtId="169" fontId="0" fillId="0" borderId="0" xfId="1" applyNumberFormat="1" applyFont="1" applyAlignment="1">
      <alignment horizontal="right"/>
    </xf>
    <xf numFmtId="6" fontId="0" fillId="0" borderId="0" xfId="0" applyNumberFormat="1" applyFill="1" applyAlignment="1">
      <alignment horizontal="right"/>
    </xf>
    <xf numFmtId="37" fontId="11" fillId="0" borderId="0" xfId="0" applyNumberFormat="1" applyFont="1" applyFill="1" applyAlignment="1">
      <alignment horizontal="right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0" xfId="1" applyNumberFormat="1" applyFont="1"/>
    <xf numFmtId="169" fontId="0" fillId="0" borderId="1" xfId="1" applyNumberFormat="1" applyFont="1" applyBorder="1"/>
    <xf numFmtId="169" fontId="5" fillId="0" borderId="0" xfId="1" applyNumberFormat="1" applyAlignment="1">
      <alignment horizontal="right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8" fontId="11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8" fontId="13" fillId="0" borderId="0" xfId="0" applyNumberFormat="1" applyFont="1" applyBorder="1" applyAlignment="1">
      <alignment horizontal="right"/>
    </xf>
    <xf numFmtId="37" fontId="11" fillId="0" borderId="0" xfId="0" applyNumberFormat="1" applyFont="1" applyBorder="1"/>
    <xf numFmtId="49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 wrapText="1"/>
    </xf>
    <xf numFmtId="8" fontId="0" fillId="0" borderId="0" xfId="0" applyNumberFormat="1" applyFill="1" applyAlignment="1">
      <alignment horizontal="right"/>
    </xf>
    <xf numFmtId="8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8" fontId="13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0" fontId="5" fillId="0" borderId="0" xfId="0" applyFont="1"/>
    <xf numFmtId="170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 wrapText="1"/>
    </xf>
    <xf numFmtId="5" fontId="5" fillId="0" borderId="0" xfId="0" applyNumberFormat="1" applyFont="1" applyFill="1" applyAlignment="1">
      <alignment horizontal="right"/>
    </xf>
    <xf numFmtId="43" fontId="0" fillId="0" borderId="0" xfId="1" applyFont="1"/>
    <xf numFmtId="49" fontId="5" fillId="0" borderId="0" xfId="0" applyNumberFormat="1" applyFont="1" applyFill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7" fontId="0" fillId="0" borderId="0" xfId="0" applyNumberFormat="1" applyFill="1" applyBorder="1" applyAlignment="1">
      <alignment horizontal="right"/>
    </xf>
    <xf numFmtId="37" fontId="5" fillId="0" borderId="0" xfId="0" applyNumberFormat="1" applyFont="1"/>
    <xf numFmtId="0" fontId="5" fillId="0" borderId="0" xfId="0" applyFont="1" applyFill="1"/>
    <xf numFmtId="49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43" fontId="0" fillId="2" borderId="0" xfId="1" applyNumberFormat="1" applyFont="1" applyFill="1"/>
    <xf numFmtId="4" fontId="0" fillId="2" borderId="0" xfId="0" applyNumberFormat="1" applyFill="1"/>
    <xf numFmtId="37" fontId="0" fillId="2" borderId="0" xfId="0" applyNumberFormat="1" applyFont="1" applyFill="1" applyAlignment="1">
      <alignment horizontal="right"/>
    </xf>
    <xf numFmtId="43" fontId="0" fillId="2" borderId="0" xfId="0" applyNumberFormat="1" applyFill="1"/>
    <xf numFmtId="43" fontId="6" fillId="2" borderId="0" xfId="0" applyNumberFormat="1" applyFont="1" applyFill="1"/>
    <xf numFmtId="0" fontId="0" fillId="2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10" fillId="3" borderId="5" xfId="0" applyFont="1" applyFill="1" applyBorder="1"/>
    <xf numFmtId="168" fontId="0" fillId="3" borderId="0" xfId="1" applyNumberFormat="1" applyFont="1" applyFill="1" applyBorder="1"/>
    <xf numFmtId="0" fontId="0" fillId="3" borderId="6" xfId="0" applyFill="1" applyBorder="1"/>
    <xf numFmtId="169" fontId="0" fillId="3" borderId="6" xfId="1" applyNumberFormat="1" applyFont="1" applyFill="1" applyBorder="1"/>
    <xf numFmtId="168" fontId="0" fillId="3" borderId="0" xfId="0" applyNumberFormat="1" applyFill="1" applyBorder="1"/>
    <xf numFmtId="168" fontId="10" fillId="3" borderId="0" xfId="0" applyNumberFormat="1" applyFont="1" applyFill="1" applyBorder="1"/>
    <xf numFmtId="0" fontId="0" fillId="3" borderId="5" xfId="0" applyFill="1" applyBorder="1"/>
    <xf numFmtId="0" fontId="0" fillId="3" borderId="0" xfId="0" applyFill="1" applyBorder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8" fontId="10" fillId="3" borderId="0" xfId="1" applyNumberFormat="1" applyFont="1" applyFill="1" applyBorder="1"/>
    <xf numFmtId="0" fontId="10" fillId="3" borderId="7" xfId="0" applyFont="1" applyFill="1" applyBorder="1"/>
    <xf numFmtId="168" fontId="0" fillId="3" borderId="8" xfId="0" applyNumberFormat="1" applyFill="1" applyBorder="1"/>
    <xf numFmtId="168" fontId="10" fillId="3" borderId="8" xfId="0" applyNumberFormat="1" applyFont="1" applyFill="1" applyBorder="1"/>
    <xf numFmtId="169" fontId="0" fillId="3" borderId="9" xfId="1" applyNumberFormat="1" applyFont="1" applyFill="1" applyBorder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10" fillId="4" borderId="5" xfId="0" applyFont="1" applyFill="1" applyBorder="1"/>
    <xf numFmtId="170" fontId="0" fillId="4" borderId="0" xfId="0" applyNumberFormat="1" applyFill="1" applyBorder="1"/>
    <xf numFmtId="3" fontId="0" fillId="4" borderId="0" xfId="0" applyNumberFormat="1" applyFill="1" applyBorder="1" applyAlignment="1">
      <alignment horizontal="center"/>
    </xf>
    <xf numFmtId="0" fontId="0" fillId="4" borderId="6" xfId="0" applyFill="1" applyBorder="1"/>
    <xf numFmtId="168" fontId="0" fillId="4" borderId="0" xfId="1" applyNumberFormat="1" applyFont="1" applyFill="1" applyBorder="1"/>
    <xf numFmtId="169" fontId="0" fillId="4" borderId="6" xfId="1" applyNumberFormat="1" applyFont="1" applyFill="1" applyBorder="1"/>
    <xf numFmtId="0" fontId="0" fillId="4" borderId="5" xfId="0" applyFill="1" applyBorder="1"/>
    <xf numFmtId="168" fontId="10" fillId="4" borderId="0" xfId="0" applyNumberFormat="1" applyFont="1" applyFill="1" applyBorder="1"/>
    <xf numFmtId="0" fontId="0" fillId="4" borderId="0" xfId="0" applyFill="1" applyBorder="1"/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70" fontId="0" fillId="4" borderId="0" xfId="0" applyNumberFormat="1" applyFill="1"/>
    <xf numFmtId="168" fontId="0" fillId="4" borderId="0" xfId="0" applyNumberFormat="1" applyFill="1" applyBorder="1"/>
    <xf numFmtId="0" fontId="10" fillId="4" borderId="7" xfId="0" applyFont="1" applyFill="1" applyBorder="1"/>
    <xf numFmtId="168" fontId="0" fillId="4" borderId="8" xfId="0" applyNumberFormat="1" applyFill="1" applyBorder="1"/>
    <xf numFmtId="168" fontId="10" fillId="4" borderId="8" xfId="0" applyNumberFormat="1" applyFont="1" applyFill="1" applyBorder="1"/>
    <xf numFmtId="169" fontId="0" fillId="4" borderId="9" xfId="1" applyNumberFormat="1" applyFont="1" applyFill="1" applyBorder="1"/>
    <xf numFmtId="49" fontId="10" fillId="0" borderId="0" xfId="0" applyNumberFormat="1" applyFont="1" applyFill="1" applyAlignment="1">
      <alignment wrapText="1"/>
    </xf>
    <xf numFmtId="0" fontId="10" fillId="0" borderId="0" xfId="0" applyFont="1" applyFill="1"/>
    <xf numFmtId="165" fontId="0" fillId="0" borderId="0" xfId="0" applyNumberFormat="1" applyFill="1" applyBorder="1" applyAlignment="1">
      <alignment horizontal="right"/>
    </xf>
    <xf numFmtId="37" fontId="7" fillId="5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 wrapText="1"/>
    </xf>
    <xf numFmtId="165" fontId="0" fillId="0" borderId="0" xfId="0" applyNumberFormat="1" applyFill="1"/>
    <xf numFmtId="6" fontId="11" fillId="0" borderId="0" xfId="0" applyNumberFormat="1" applyFont="1" applyFill="1" applyAlignment="1">
      <alignment horizontal="right"/>
    </xf>
    <xf numFmtId="49" fontId="4" fillId="0" borderId="0" xfId="2" applyNumberFormat="1" applyFill="1" applyBorder="1" applyAlignment="1">
      <alignment horizontal="center" wrapText="1"/>
    </xf>
    <xf numFmtId="49" fontId="4" fillId="0" borderId="0" xfId="2" applyNumberFormat="1" applyFill="1" applyAlignment="1">
      <alignment horizontal="center"/>
    </xf>
    <xf numFmtId="0" fontId="4" fillId="0" borderId="0" xfId="2" applyNumberFormat="1" applyFill="1" applyAlignment="1">
      <alignment horizontal="center" wrapText="1"/>
    </xf>
    <xf numFmtId="37" fontId="4" fillId="0" borderId="0" xfId="2" applyNumberFormat="1" applyFill="1" applyAlignment="1">
      <alignment horizontal="center"/>
    </xf>
    <xf numFmtId="0" fontId="0" fillId="0" borderId="0" xfId="0" applyFill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5" fontId="0" fillId="0" borderId="0" xfId="0" applyNumberFormat="1" applyFill="1"/>
    <xf numFmtId="37" fontId="6" fillId="0" borderId="0" xfId="0" applyNumberFormat="1" applyFont="1" applyFill="1"/>
    <xf numFmtId="37" fontId="7" fillId="0" borderId="0" xfId="0" applyNumberFormat="1" applyFont="1" applyFill="1"/>
    <xf numFmtId="5" fontId="14" fillId="0" borderId="0" xfId="0" applyNumberFormat="1" applyFont="1" applyFill="1"/>
    <xf numFmtId="164" fontId="0" fillId="0" borderId="0" xfId="0" applyNumberFormat="1" applyFill="1" applyAlignment="1">
      <alignment wrapText="1"/>
    </xf>
    <xf numFmtId="164" fontId="7" fillId="0" borderId="0" xfId="0" applyNumberFormat="1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164" fontId="11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right"/>
    </xf>
    <xf numFmtId="169" fontId="0" fillId="0" borderId="0" xfId="1" applyNumberFormat="1" applyFont="1" applyFill="1"/>
    <xf numFmtId="37" fontId="0" fillId="0" borderId="0" xfId="0" applyNumberFormat="1" applyFill="1" applyBorder="1"/>
    <xf numFmtId="169" fontId="0" fillId="0" borderId="0" xfId="1" applyNumberFormat="1" applyFont="1" applyFill="1" applyBorder="1"/>
    <xf numFmtId="37" fontId="0" fillId="0" borderId="1" xfId="0" applyNumberFormat="1" applyFill="1" applyBorder="1"/>
    <xf numFmtId="169" fontId="0" fillId="0" borderId="1" xfId="1" applyNumberFormat="1" applyFont="1" applyFill="1" applyBorder="1"/>
    <xf numFmtId="49" fontId="0" fillId="0" borderId="0" xfId="0" applyNumberFormat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/>
    <xf numFmtId="0" fontId="0" fillId="7" borderId="4" xfId="0" applyFill="1" applyBorder="1"/>
    <xf numFmtId="0" fontId="10" fillId="7" borderId="5" xfId="0" applyFont="1" applyFill="1" applyBorder="1"/>
    <xf numFmtId="170" fontId="0" fillId="7" borderId="0" xfId="0" applyNumberFormat="1" applyFill="1" applyBorder="1"/>
    <xf numFmtId="3" fontId="0" fillId="7" borderId="0" xfId="0" applyNumberFormat="1" applyFill="1" applyBorder="1" applyAlignment="1">
      <alignment horizontal="center"/>
    </xf>
    <xf numFmtId="0" fontId="0" fillId="7" borderId="6" xfId="0" applyFill="1" applyBorder="1"/>
    <xf numFmtId="168" fontId="0" fillId="7" borderId="0" xfId="1" applyNumberFormat="1" applyFont="1" applyFill="1" applyBorder="1"/>
    <xf numFmtId="169" fontId="0" fillId="7" borderId="6" xfId="1" applyNumberFormat="1" applyFont="1" applyFill="1" applyBorder="1"/>
    <xf numFmtId="0" fontId="0" fillId="7" borderId="5" xfId="0" applyFill="1" applyBorder="1"/>
    <xf numFmtId="168" fontId="10" fillId="7" borderId="0" xfId="0" applyNumberFormat="1" applyFont="1" applyFill="1" applyBorder="1"/>
    <xf numFmtId="0" fontId="0" fillId="7" borderId="0" xfId="0" applyFill="1" applyBorder="1"/>
    <xf numFmtId="0" fontId="6" fillId="7" borderId="5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170" fontId="0" fillId="7" borderId="0" xfId="0" applyNumberFormat="1" applyFill="1"/>
    <xf numFmtId="168" fontId="0" fillId="7" borderId="0" xfId="0" applyNumberFormat="1" applyFill="1" applyBorder="1"/>
    <xf numFmtId="0" fontId="10" fillId="7" borderId="7" xfId="0" applyFont="1" applyFill="1" applyBorder="1"/>
    <xf numFmtId="168" fontId="0" fillId="7" borderId="8" xfId="0" applyNumberFormat="1" applyFill="1" applyBorder="1"/>
    <xf numFmtId="168" fontId="10" fillId="7" borderId="8" xfId="0" applyNumberFormat="1" applyFont="1" applyFill="1" applyBorder="1"/>
    <xf numFmtId="169" fontId="0" fillId="7" borderId="9" xfId="1" applyNumberFormat="1" applyFont="1" applyFill="1" applyBorder="1"/>
    <xf numFmtId="49" fontId="0" fillId="0" borderId="0" xfId="0" applyNumberFormat="1" applyAlignment="1">
      <alignment horizontal="center"/>
    </xf>
    <xf numFmtId="0" fontId="0" fillId="0" borderId="0" xfId="0" applyAlignment="1"/>
    <xf numFmtId="0" fontId="5" fillId="0" borderId="0" xfId="0" applyNumberFormat="1" applyFont="1" applyFill="1" applyAlignment="1">
      <alignment horizontal="center" wrapText="1"/>
    </xf>
    <xf numFmtId="6" fontId="0" fillId="0" borderId="0" xfId="0" applyNumberFormat="1"/>
    <xf numFmtId="0" fontId="0" fillId="8" borderId="0" xfId="0" applyFill="1"/>
    <xf numFmtId="49" fontId="0" fillId="8" borderId="0" xfId="0" applyNumberFormat="1" applyFill="1" applyAlignment="1">
      <alignment horizontal="center"/>
    </xf>
    <xf numFmtId="37" fontId="0" fillId="8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37" fontId="0" fillId="8" borderId="0" xfId="0" applyNumberFormat="1" applyFill="1"/>
    <xf numFmtId="49" fontId="5" fillId="0" borderId="0" xfId="0" applyNumberFormat="1" applyFont="1" applyAlignment="1">
      <alignment horizontal="center"/>
    </xf>
    <xf numFmtId="0" fontId="5" fillId="0" borderId="0" xfId="0" applyFont="1" applyAlignment="1"/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8" fontId="1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wrapText="1"/>
    </xf>
    <xf numFmtId="49" fontId="2" fillId="0" borderId="0" xfId="2" applyNumberFormat="1" applyFont="1" applyFill="1" applyBorder="1" applyAlignment="1">
      <alignment horizontal="center" wrapText="1"/>
    </xf>
    <xf numFmtId="7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3" fontId="0" fillId="0" borderId="0" xfId="1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20" fillId="0" borderId="0" xfId="0" applyFont="1" applyFill="1"/>
    <xf numFmtId="49" fontId="15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38" fontId="0" fillId="0" borderId="0" xfId="0" applyNumberFormat="1" applyFill="1" applyAlignment="1">
      <alignment horizontal="right"/>
    </xf>
    <xf numFmtId="49" fontId="1" fillId="0" borderId="0" xfId="2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0" fillId="9" borderId="0" xfId="0" applyFill="1"/>
    <xf numFmtId="49" fontId="10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9" fillId="9" borderId="0" xfId="0" applyFont="1" applyFill="1"/>
    <xf numFmtId="0" fontId="11" fillId="9" borderId="0" xfId="0" applyFont="1" applyFill="1"/>
    <xf numFmtId="0" fontId="11" fillId="9" borderId="0" xfId="0" applyFont="1" applyFill="1" applyBorder="1"/>
    <xf numFmtId="0" fontId="5" fillId="9" borderId="0" xfId="0" applyFont="1" applyFill="1"/>
    <xf numFmtId="49" fontId="0" fillId="9" borderId="0" xfId="0" applyNumberFormat="1" applyFill="1" applyAlignment="1">
      <alignment horizontal="center"/>
    </xf>
    <xf numFmtId="37" fontId="0" fillId="9" borderId="0" xfId="0" applyNumberFormat="1" applyFill="1"/>
    <xf numFmtId="6" fontId="22" fillId="0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0" fontId="0" fillId="0" borderId="0" xfId="0" applyAlignment="1"/>
    <xf numFmtId="0" fontId="23" fillId="2" borderId="0" xfId="0" applyFont="1" applyFill="1" applyAlignment="1">
      <alignment horizontal="center"/>
    </xf>
    <xf numFmtId="0" fontId="0" fillId="10" borderId="0" xfId="0" applyFill="1"/>
    <xf numFmtId="37" fontId="0" fillId="10" borderId="0" xfId="0" applyNumberFormat="1" applyFill="1"/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</cellXfs>
  <cellStyles count="4">
    <cellStyle name="40% - Accent6" xfId="2" builtinId="51"/>
    <cellStyle name="Comma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KSO00FP001\ffpublic\DSM%20-%20Demand%20Side%20Management\DSM%20-%20102%20Month\DSM%20102%20Months%20-%20Year%202004%20-%201st%20Half%20Plus%203rd%20&amp;%204th%20Qt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CPg1"/>
      <sheetName val="Y1"/>
      <sheetName val="Y2a"/>
      <sheetName val="Y2b"/>
      <sheetName val="Y2c"/>
      <sheetName val="Y3a"/>
      <sheetName val="Y3b"/>
      <sheetName val="Y4a"/>
      <sheetName val="Y4b"/>
      <sheetName val="Y5a"/>
      <sheetName val="Y5b"/>
      <sheetName val="Y6a"/>
      <sheetName val="Y6b"/>
      <sheetName val="Y7a"/>
      <sheetName val="Y7b"/>
      <sheetName val="Y8a"/>
      <sheetName val="Y8b"/>
      <sheetName val="Y9a"/>
      <sheetName val="Y9b"/>
      <sheetName val="Y9c"/>
      <sheetName val="11a&amp;b"/>
      <sheetName val="c12"/>
      <sheetName val="Exh E"/>
      <sheetName val="Recap-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7">
          <cell r="AP17">
            <v>0</v>
          </cell>
        </row>
        <row r="19">
          <cell r="AP19">
            <v>0</v>
          </cell>
        </row>
        <row r="20">
          <cell r="AP20">
            <v>43</v>
          </cell>
        </row>
        <row r="22">
          <cell r="AP22">
            <v>0</v>
          </cell>
        </row>
        <row r="25">
          <cell r="AP25">
            <v>0</v>
          </cell>
        </row>
        <row r="26">
          <cell r="AP26">
            <v>0</v>
          </cell>
        </row>
        <row r="29">
          <cell r="AP29">
            <v>1186</v>
          </cell>
        </row>
        <row r="32">
          <cell r="AP32">
            <v>276</v>
          </cell>
        </row>
        <row r="33">
          <cell r="AP33">
            <v>0</v>
          </cell>
        </row>
        <row r="35">
          <cell r="AP35">
            <v>7034</v>
          </cell>
        </row>
        <row r="42">
          <cell r="AP42">
            <v>0</v>
          </cell>
        </row>
        <row r="43">
          <cell r="AP43">
            <v>0</v>
          </cell>
        </row>
        <row r="44">
          <cell r="AP44">
            <v>0</v>
          </cell>
        </row>
        <row r="45">
          <cell r="AP45">
            <v>0</v>
          </cell>
        </row>
        <row r="53">
          <cell r="AP53">
            <v>0</v>
          </cell>
        </row>
        <row r="54">
          <cell r="AP54">
            <v>0</v>
          </cell>
        </row>
        <row r="55">
          <cell r="AP55">
            <v>0</v>
          </cell>
        </row>
        <row r="56">
          <cell r="AP56">
            <v>0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6"/>
  <sheetViews>
    <sheetView workbookViewId="0">
      <selection activeCell="J14" sqref="J14"/>
    </sheetView>
  </sheetViews>
  <sheetFormatPr defaultRowHeight="12.75" x14ac:dyDescent="0.2"/>
  <cols>
    <col min="1" max="1" width="44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9.28515625" customWidth="1"/>
    <col min="8" max="8" width="10" bestFit="1" customWidth="1"/>
    <col min="9" max="13" width="16" bestFit="1" customWidth="1"/>
  </cols>
  <sheetData>
    <row r="1" spans="1:13" x14ac:dyDescent="0.2">
      <c r="A1" s="14">
        <v>1996</v>
      </c>
    </row>
    <row r="6" spans="1:13" x14ac:dyDescent="0.2">
      <c r="A6" t="s">
        <v>0</v>
      </c>
      <c r="L6" s="1" t="s">
        <v>1</v>
      </c>
    </row>
    <row r="7" spans="1:13" x14ac:dyDescent="0.2">
      <c r="A7" t="s">
        <v>54</v>
      </c>
      <c r="L7" s="1" t="s">
        <v>55</v>
      </c>
      <c r="M7" s="180">
        <v>24</v>
      </c>
    </row>
    <row r="11" spans="1:13" x14ac:dyDescent="0.2">
      <c r="A11" t="s">
        <v>56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</row>
    <row r="12" spans="1:13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68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</row>
    <row r="13" spans="1:13" ht="25.5" x14ac:dyDescent="0.2">
      <c r="A13" t="s">
        <v>28</v>
      </c>
      <c r="B13" s="1" t="s">
        <v>75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79</v>
      </c>
      <c r="H13" s="1" t="s">
        <v>80</v>
      </c>
      <c r="I13" s="1" t="s">
        <v>81</v>
      </c>
      <c r="J13" s="61" t="s">
        <v>565</v>
      </c>
      <c r="K13" s="1" t="s">
        <v>82</v>
      </c>
      <c r="L13" s="1" t="s">
        <v>72</v>
      </c>
      <c r="M13" s="1" t="s">
        <v>83</v>
      </c>
    </row>
    <row r="14" spans="1:13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</row>
    <row r="15" spans="1:13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3" x14ac:dyDescent="0.2">
      <c r="A16" t="s">
        <v>29</v>
      </c>
    </row>
    <row r="17" spans="1:13" x14ac:dyDescent="0.2">
      <c r="A17" t="s">
        <v>30</v>
      </c>
      <c r="B17" s="3">
        <v>552</v>
      </c>
      <c r="C17" s="3">
        <v>148</v>
      </c>
      <c r="D17" s="9">
        <v>221.65</v>
      </c>
      <c r="E17" s="10">
        <v>122351</v>
      </c>
      <c r="F17" s="11">
        <v>2690</v>
      </c>
      <c r="G17" s="11">
        <v>398120</v>
      </c>
      <c r="H17" s="9">
        <v>3.1140000000000001E-2</v>
      </c>
      <c r="I17" s="10">
        <v>12397</v>
      </c>
      <c r="J17" s="10">
        <v>43177</v>
      </c>
      <c r="K17" s="3"/>
      <c r="L17" s="10">
        <v>43177</v>
      </c>
      <c r="M17" s="10">
        <v>177925</v>
      </c>
    </row>
    <row r="18" spans="1:13" x14ac:dyDescent="0.2">
      <c r="A18" t="s">
        <v>31</v>
      </c>
      <c r="B18" s="3">
        <v>223</v>
      </c>
      <c r="C18" s="3">
        <v>101</v>
      </c>
      <c r="D18" s="9">
        <v>1026.8800000000001</v>
      </c>
      <c r="E18" s="10">
        <v>228994</v>
      </c>
      <c r="F18" s="11">
        <v>5570</v>
      </c>
      <c r="G18" s="11">
        <v>562570</v>
      </c>
      <c r="H18" s="9">
        <v>3.1130000000000001E-2</v>
      </c>
      <c r="I18" s="10">
        <v>17513</v>
      </c>
      <c r="J18" s="10">
        <v>0</v>
      </c>
      <c r="K18" s="10">
        <v>11450</v>
      </c>
      <c r="L18" s="10">
        <v>11450</v>
      </c>
      <c r="M18" s="10">
        <v>257957</v>
      </c>
    </row>
    <row r="19" spans="1:13" x14ac:dyDescent="0.2">
      <c r="A19" t="s">
        <v>96</v>
      </c>
      <c r="B19" s="3">
        <v>74</v>
      </c>
      <c r="C19" s="3">
        <v>35</v>
      </c>
      <c r="D19" s="9">
        <v>372.19</v>
      </c>
      <c r="E19" s="10">
        <v>27542</v>
      </c>
      <c r="F19" s="3">
        <v>680</v>
      </c>
      <c r="G19" s="11">
        <v>23800</v>
      </c>
      <c r="H19" s="9">
        <v>3.124E-2</v>
      </c>
      <c r="I19" s="10">
        <v>744</v>
      </c>
      <c r="J19" s="10">
        <v>719</v>
      </c>
      <c r="K19" s="3"/>
      <c r="L19" s="10">
        <v>719</v>
      </c>
      <c r="M19" s="10">
        <v>29005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269</v>
      </c>
      <c r="C21" s="3">
        <v>73</v>
      </c>
      <c r="D21" s="9">
        <v>56.06</v>
      </c>
      <c r="E21" s="10">
        <v>15081</v>
      </c>
      <c r="F21" s="3">
        <v>62</v>
      </c>
      <c r="G21" s="11">
        <v>4526</v>
      </c>
      <c r="H21" s="9">
        <v>3.0970000000000001E-2</v>
      </c>
      <c r="I21" s="10">
        <v>140</v>
      </c>
      <c r="J21" s="10">
        <v>425</v>
      </c>
      <c r="K21" s="3"/>
      <c r="L21" s="10">
        <v>425</v>
      </c>
      <c r="M21" s="10">
        <v>15646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539</v>
      </c>
      <c r="C23" s="3">
        <v>216</v>
      </c>
      <c r="D23" s="9">
        <v>73.489999999999995</v>
      </c>
      <c r="E23" s="10">
        <v>39611</v>
      </c>
      <c r="F23" s="11">
        <v>2275</v>
      </c>
      <c r="G23" s="11">
        <v>491400</v>
      </c>
      <c r="H23" s="9">
        <v>3.1119999999999998E-2</v>
      </c>
      <c r="I23" s="10">
        <v>15292</v>
      </c>
      <c r="J23" s="10">
        <v>10634</v>
      </c>
      <c r="K23" s="3"/>
      <c r="L23" s="10">
        <v>10634</v>
      </c>
      <c r="M23" s="10">
        <v>65537</v>
      </c>
    </row>
    <row r="24" spans="1:13" x14ac:dyDescent="0.2">
      <c r="A24" t="s">
        <v>97</v>
      </c>
      <c r="B24" s="3">
        <v>527</v>
      </c>
      <c r="C24" s="3">
        <v>206</v>
      </c>
      <c r="D24" s="9">
        <v>61.31</v>
      </c>
      <c r="E24" s="10">
        <v>32310</v>
      </c>
      <c r="F24" s="3">
        <v>813</v>
      </c>
      <c r="G24" s="11">
        <v>167478</v>
      </c>
      <c r="H24" s="9">
        <v>3.1140000000000001E-2</v>
      </c>
      <c r="I24" s="10">
        <v>5215</v>
      </c>
      <c r="J24" s="10">
        <v>8796</v>
      </c>
      <c r="K24" s="3"/>
      <c r="L24" s="10">
        <v>8796</v>
      </c>
      <c r="M24" s="10">
        <v>46321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356</v>
      </c>
      <c r="C26" s="3">
        <v>158</v>
      </c>
      <c r="D26" s="9">
        <v>496.95</v>
      </c>
      <c r="E26" s="10">
        <v>176914</v>
      </c>
      <c r="F26" s="11">
        <v>2160</v>
      </c>
      <c r="G26" s="11">
        <v>341280</v>
      </c>
      <c r="H26" s="9">
        <v>3.1109999999999999E-2</v>
      </c>
      <c r="I26" s="10">
        <v>10617</v>
      </c>
      <c r="J26" s="10">
        <v>13834</v>
      </c>
      <c r="K26" s="3"/>
      <c r="L26" s="10">
        <v>13834</v>
      </c>
      <c r="M26" s="10">
        <v>201365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70</v>
      </c>
      <c r="C28" s="3">
        <v>22</v>
      </c>
      <c r="D28" s="9">
        <v>292.69</v>
      </c>
      <c r="E28" s="10">
        <v>20488</v>
      </c>
      <c r="F28" s="3">
        <v>0</v>
      </c>
      <c r="G28" s="3">
        <v>0</v>
      </c>
      <c r="H28" s="3"/>
      <c r="I28" s="3"/>
      <c r="J28" s="3"/>
      <c r="K28" s="10">
        <v>1024</v>
      </c>
      <c r="L28" s="10">
        <v>1024</v>
      </c>
      <c r="M28" s="10">
        <v>21512</v>
      </c>
    </row>
    <row r="29" spans="1:13" s="3" customFormat="1" x14ac:dyDescent="0.2">
      <c r="B29" s="3" t="s">
        <v>90</v>
      </c>
      <c r="C29" s="3" t="s">
        <v>90</v>
      </c>
      <c r="E29" s="3" t="s">
        <v>90</v>
      </c>
      <c r="G29" s="3" t="s">
        <v>91</v>
      </c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11">
        <v>2610</v>
      </c>
      <c r="C30" s="3">
        <v>959</v>
      </c>
      <c r="D30" s="3"/>
      <c r="E30" s="10">
        <v>663291</v>
      </c>
      <c r="F30" s="3"/>
      <c r="G30" s="11">
        <v>1989174</v>
      </c>
      <c r="H30" s="3"/>
      <c r="I30" s="10">
        <v>61918</v>
      </c>
      <c r="J30" s="10">
        <v>77585</v>
      </c>
      <c r="K30" s="10">
        <v>12474</v>
      </c>
      <c r="L30" s="10">
        <v>90059</v>
      </c>
      <c r="M30" s="10">
        <v>815268</v>
      </c>
    </row>
    <row r="31" spans="1:13" s="3" customFormat="1" x14ac:dyDescent="0.2">
      <c r="B31" s="3" t="s">
        <v>93</v>
      </c>
      <c r="C31" s="3" t="s">
        <v>93</v>
      </c>
      <c r="E31" s="3" t="s">
        <v>93</v>
      </c>
      <c r="G31" s="3" t="s">
        <v>94</v>
      </c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91</v>
      </c>
      <c r="C35" s="3">
        <v>19</v>
      </c>
      <c r="D35" s="9">
        <v>1258.51</v>
      </c>
      <c r="E35" s="10">
        <v>114524</v>
      </c>
      <c r="F35" s="3">
        <v>0</v>
      </c>
      <c r="G35" s="3">
        <v>0</v>
      </c>
      <c r="H35" s="3"/>
      <c r="I35" s="3"/>
      <c r="J35" s="10">
        <v>0</v>
      </c>
      <c r="K35" s="10">
        <v>5726</v>
      </c>
      <c r="L35" s="10">
        <v>5726</v>
      </c>
      <c r="M35" s="10">
        <v>120250</v>
      </c>
    </row>
    <row r="36" spans="1:13" x14ac:dyDescent="0.2">
      <c r="A36" t="s">
        <v>42</v>
      </c>
      <c r="B36" s="3">
        <v>5</v>
      </c>
      <c r="C36" s="3">
        <v>1</v>
      </c>
      <c r="D36" s="9">
        <v>1875.4</v>
      </c>
      <c r="E36" s="10">
        <v>9377</v>
      </c>
      <c r="F36" s="3">
        <v>0</v>
      </c>
      <c r="G36" s="3">
        <v>0</v>
      </c>
      <c r="H36" s="3"/>
      <c r="I36" s="3"/>
      <c r="J36" s="10">
        <v>0</v>
      </c>
      <c r="K36" s="10">
        <v>469</v>
      </c>
      <c r="L36" s="10">
        <v>469</v>
      </c>
      <c r="M36" s="10">
        <v>9846</v>
      </c>
    </row>
    <row r="37" spans="1:13" x14ac:dyDescent="0.2">
      <c r="A37" t="s">
        <v>43</v>
      </c>
      <c r="B37" s="3">
        <v>1</v>
      </c>
      <c r="C37" s="3">
        <v>0</v>
      </c>
      <c r="D37" s="9">
        <v>5794</v>
      </c>
      <c r="E37" s="10">
        <v>5794</v>
      </c>
      <c r="F37" s="11">
        <v>22000</v>
      </c>
      <c r="G37" s="3">
        <v>0</v>
      </c>
      <c r="H37" s="9">
        <v>4.267E-2</v>
      </c>
      <c r="I37" s="10">
        <v>0</v>
      </c>
      <c r="J37" s="10">
        <v>506</v>
      </c>
      <c r="K37" s="3"/>
      <c r="L37" s="10">
        <v>506</v>
      </c>
      <c r="M37" s="10">
        <v>6300</v>
      </c>
    </row>
    <row r="38" spans="1:13" x14ac:dyDescent="0.2">
      <c r="A38" t="s">
        <v>44</v>
      </c>
      <c r="B38" s="3">
        <v>0</v>
      </c>
      <c r="C38" s="3">
        <v>0</v>
      </c>
      <c r="D38" s="3"/>
      <c r="E38" s="10">
        <v>0</v>
      </c>
      <c r="F38" s="11">
        <v>30600</v>
      </c>
      <c r="G38" s="3">
        <v>0</v>
      </c>
      <c r="H38" s="9">
        <v>4.267E-2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1:13" s="3" customFormat="1" x14ac:dyDescent="0.2">
      <c r="B39" s="3" t="s">
        <v>90</v>
      </c>
      <c r="C39" s="3" t="s">
        <v>90</v>
      </c>
      <c r="E39" s="3" t="s">
        <v>90</v>
      </c>
      <c r="G39" s="3" t="s">
        <v>91</v>
      </c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97</v>
      </c>
      <c r="C40" s="3">
        <v>20</v>
      </c>
      <c r="D40" s="3"/>
      <c r="E40" s="10">
        <v>129695</v>
      </c>
      <c r="F40" s="3"/>
      <c r="G40" s="3">
        <v>0</v>
      </c>
      <c r="H40" s="3"/>
      <c r="I40" s="10">
        <v>0</v>
      </c>
      <c r="J40" s="10">
        <v>506</v>
      </c>
      <c r="K40" s="10">
        <v>6195</v>
      </c>
      <c r="L40" s="10">
        <v>6701</v>
      </c>
      <c r="M40" s="10">
        <v>136396</v>
      </c>
    </row>
    <row r="41" spans="1:13" s="3" customFormat="1" x14ac:dyDescent="0.2">
      <c r="B41" s="3" t="s">
        <v>93</v>
      </c>
      <c r="C41" s="3" t="s">
        <v>93</v>
      </c>
      <c r="E41" s="3" t="s">
        <v>93</v>
      </c>
      <c r="G41" s="3" t="s">
        <v>94</v>
      </c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15</v>
      </c>
      <c r="C46" s="3">
        <v>1</v>
      </c>
      <c r="D46" s="9">
        <v>149.4</v>
      </c>
      <c r="E46" s="10">
        <v>2241</v>
      </c>
      <c r="F46" s="3">
        <v>0</v>
      </c>
      <c r="G46" s="3">
        <v>0</v>
      </c>
      <c r="H46" s="3"/>
      <c r="I46" s="3"/>
      <c r="J46" s="10">
        <v>0</v>
      </c>
      <c r="K46" s="10">
        <v>112</v>
      </c>
      <c r="L46" s="10">
        <v>112</v>
      </c>
      <c r="M46" s="10">
        <v>2353</v>
      </c>
    </row>
    <row r="47" spans="1:13" x14ac:dyDescent="0.2">
      <c r="A47" t="s">
        <v>48</v>
      </c>
      <c r="B47" s="3">
        <v>2</v>
      </c>
      <c r="C47" s="3">
        <v>1</v>
      </c>
      <c r="D47" s="9">
        <v>8980</v>
      </c>
      <c r="E47" s="10">
        <v>17960</v>
      </c>
      <c r="F47" s="3">
        <v>0</v>
      </c>
      <c r="G47" s="3">
        <v>0</v>
      </c>
      <c r="H47" s="3"/>
      <c r="I47" s="3"/>
      <c r="J47" s="10">
        <v>0</v>
      </c>
      <c r="K47" s="10">
        <v>898</v>
      </c>
      <c r="L47" s="10">
        <v>898</v>
      </c>
      <c r="M47" s="10">
        <v>18858</v>
      </c>
    </row>
    <row r="48" spans="1:13" x14ac:dyDescent="0.2">
      <c r="A48" t="s">
        <v>49</v>
      </c>
      <c r="B48" s="3">
        <v>0</v>
      </c>
      <c r="C48" s="3">
        <v>0</v>
      </c>
      <c r="D48" s="3"/>
      <c r="E48" s="10">
        <v>3919</v>
      </c>
      <c r="F48" s="11">
        <v>28200</v>
      </c>
      <c r="G48" s="3">
        <v>0</v>
      </c>
      <c r="H48" s="9">
        <v>4.1079999999999998E-2</v>
      </c>
      <c r="I48" s="10">
        <v>0</v>
      </c>
      <c r="J48" s="10">
        <v>0</v>
      </c>
      <c r="K48" s="10">
        <v>196</v>
      </c>
      <c r="L48" s="10">
        <v>196</v>
      </c>
      <c r="M48" s="10">
        <v>4115</v>
      </c>
    </row>
    <row r="49" spans="1:13" x14ac:dyDescent="0.2">
      <c r="A49" t="s">
        <v>50</v>
      </c>
      <c r="B49" s="3">
        <v>0</v>
      </c>
      <c r="C49" s="3">
        <v>0</v>
      </c>
      <c r="D49" s="3"/>
      <c r="E49" s="10">
        <v>0</v>
      </c>
      <c r="F49" s="11">
        <v>164800</v>
      </c>
      <c r="G49" s="3">
        <v>0</v>
      </c>
      <c r="H49" s="9">
        <v>3.2710000000000003E-2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s="3" customFormat="1" x14ac:dyDescent="0.2">
      <c r="B50" s="3" t="s">
        <v>90</v>
      </c>
      <c r="C50" s="3" t="s">
        <v>90</v>
      </c>
      <c r="E50" s="3" t="s">
        <v>90</v>
      </c>
      <c r="G50" s="3" t="s">
        <v>91</v>
      </c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17</v>
      </c>
      <c r="C51" s="3">
        <v>2</v>
      </c>
      <c r="D51" s="3"/>
      <c r="E51" s="10">
        <v>24120</v>
      </c>
      <c r="F51" s="3"/>
      <c r="G51" s="3">
        <v>0</v>
      </c>
      <c r="H51" s="3"/>
      <c r="I51" s="10">
        <v>0</v>
      </c>
      <c r="J51" s="10">
        <v>0</v>
      </c>
      <c r="K51" s="10">
        <v>1206</v>
      </c>
      <c r="L51" s="10">
        <v>1206</v>
      </c>
      <c r="M51" s="10">
        <v>25326</v>
      </c>
    </row>
    <row r="52" spans="1:13" s="3" customFormat="1" x14ac:dyDescent="0.2">
      <c r="B52" s="3" t="s">
        <v>93</v>
      </c>
      <c r="C52" s="3" t="s">
        <v>93</v>
      </c>
      <c r="E52" s="3" t="s">
        <v>93</v>
      </c>
      <c r="G52" s="3" t="s">
        <v>94</v>
      </c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11">
        <v>2724</v>
      </c>
      <c r="C53" s="3">
        <v>981</v>
      </c>
      <c r="D53" s="3"/>
      <c r="E53" s="10">
        <v>817106</v>
      </c>
      <c r="F53" s="3"/>
      <c r="G53" s="11">
        <v>1989174</v>
      </c>
      <c r="H53" s="3"/>
      <c r="I53" s="10">
        <v>61918</v>
      </c>
      <c r="J53" s="10">
        <v>78091</v>
      </c>
      <c r="K53" s="10">
        <v>19875</v>
      </c>
      <c r="L53" s="10">
        <v>97966</v>
      </c>
      <c r="M53" s="10">
        <v>976990</v>
      </c>
    </row>
    <row r="54" spans="1:13" s="3" customFormat="1" x14ac:dyDescent="0.2">
      <c r="B54" s="3" t="s">
        <v>93</v>
      </c>
      <c r="C54" s="3" t="s">
        <v>93</v>
      </c>
      <c r="E54" s="3" t="s">
        <v>93</v>
      </c>
      <c r="G54" s="3" t="s">
        <v>94</v>
      </c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53</v>
      </c>
    </row>
  </sheetData>
  <phoneticPr fontId="0" type="noConversion"/>
  <printOptions horizontalCentered="1" verticalCentered="1" gridLines="1"/>
  <pageMargins left="0" right="0" top="0" bottom="0" header="0" footer="0"/>
  <pageSetup scale="6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58"/>
  <sheetViews>
    <sheetView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4" x14ac:dyDescent="0.2">
      <c r="A1" s="14" t="s">
        <v>127</v>
      </c>
    </row>
    <row r="7" spans="1:14" x14ac:dyDescent="0.2">
      <c r="A7" t="s">
        <v>0</v>
      </c>
      <c r="L7" t="s">
        <v>1</v>
      </c>
    </row>
    <row r="8" spans="1:14" x14ac:dyDescent="0.2">
      <c r="A8" t="s">
        <v>128</v>
      </c>
      <c r="L8" s="1" t="s">
        <v>133</v>
      </c>
      <c r="M8" s="2">
        <f>+'Y1'!M7</f>
        <v>24</v>
      </c>
    </row>
    <row r="12" spans="1:14" x14ac:dyDescent="0.2">
      <c r="A12" t="s">
        <v>134</v>
      </c>
      <c r="B12" s="12" t="s">
        <v>57</v>
      </c>
      <c r="C12" s="12" t="s">
        <v>58</v>
      </c>
      <c r="D12" s="12" t="s">
        <v>59</v>
      </c>
      <c r="E12" s="12" t="s">
        <v>60</v>
      </c>
      <c r="F12" s="12" t="s">
        <v>61</v>
      </c>
      <c r="G12" s="12" t="s">
        <v>4</v>
      </c>
      <c r="H12" s="12" t="s">
        <v>61</v>
      </c>
      <c r="I12" s="12" t="s">
        <v>62</v>
      </c>
      <c r="J12" s="12" t="s">
        <v>63</v>
      </c>
      <c r="K12" s="12" t="s">
        <v>64</v>
      </c>
      <c r="L12" s="12"/>
      <c r="M12" s="12" t="s">
        <v>65</v>
      </c>
      <c r="N12" s="12"/>
    </row>
    <row r="13" spans="1:14" x14ac:dyDescent="0.2">
      <c r="B13" s="12" t="s">
        <v>66</v>
      </c>
      <c r="C13" s="12" t="s">
        <v>66</v>
      </c>
      <c r="D13" s="12" t="s">
        <v>67</v>
      </c>
      <c r="E13" s="12" t="s">
        <v>27</v>
      </c>
      <c r="F13" s="12" t="s">
        <v>118</v>
      </c>
      <c r="G13" s="12" t="s">
        <v>69</v>
      </c>
      <c r="H13" s="12" t="s">
        <v>70</v>
      </c>
      <c r="I13" s="12" t="s">
        <v>71</v>
      </c>
      <c r="J13" s="12" t="s">
        <v>72</v>
      </c>
      <c r="K13" s="12" t="s">
        <v>72</v>
      </c>
      <c r="L13" s="12" t="s">
        <v>73</v>
      </c>
      <c r="M13" s="12" t="s">
        <v>74</v>
      </c>
      <c r="N13" s="12"/>
    </row>
    <row r="14" spans="1:14" ht="25.5" x14ac:dyDescent="0.2">
      <c r="A14" t="s">
        <v>28</v>
      </c>
      <c r="B14" s="12" t="s">
        <v>75</v>
      </c>
      <c r="C14" s="12" t="s">
        <v>119</v>
      </c>
      <c r="D14" s="12" t="s">
        <v>76</v>
      </c>
      <c r="E14" s="12" t="s">
        <v>77</v>
      </c>
      <c r="F14" s="12" t="s">
        <v>78</v>
      </c>
      <c r="G14" s="12" t="s">
        <v>120</v>
      </c>
      <c r="H14" s="12" t="s">
        <v>80</v>
      </c>
      <c r="I14" s="12" t="s">
        <v>81</v>
      </c>
      <c r="J14" s="8" t="str">
        <f>+'Y1'!J13</f>
        <v>(EX. C,                            PG.23C)</v>
      </c>
      <c r="K14" s="12" t="s">
        <v>82</v>
      </c>
      <c r="L14" s="12" t="s">
        <v>72</v>
      </c>
      <c r="M14" s="12" t="s">
        <v>83</v>
      </c>
      <c r="N14" s="12"/>
    </row>
    <row r="15" spans="1:14" x14ac:dyDescent="0.2">
      <c r="B15" s="7">
        <v>-1</v>
      </c>
      <c r="C15" s="7">
        <v>-2</v>
      </c>
      <c r="D15" s="7">
        <v>-3</v>
      </c>
      <c r="E15" s="7">
        <v>-4</v>
      </c>
      <c r="F15" s="7">
        <v>-5</v>
      </c>
      <c r="G15" s="7">
        <v>-6</v>
      </c>
      <c r="H15" s="7">
        <v>-7</v>
      </c>
      <c r="I15" s="7">
        <v>-8</v>
      </c>
      <c r="J15" s="7">
        <v>-9</v>
      </c>
      <c r="K15" s="7">
        <v>-10</v>
      </c>
      <c r="L15" s="7">
        <v>-11</v>
      </c>
      <c r="M15" s="7">
        <v>-12</v>
      </c>
      <c r="N15" s="12"/>
    </row>
    <row r="16" spans="1:14" x14ac:dyDescent="0.2">
      <c r="B16" s="12"/>
      <c r="C16" s="12"/>
      <c r="D16" s="12"/>
      <c r="E16" s="12" t="s">
        <v>84</v>
      </c>
      <c r="F16" s="12"/>
      <c r="G16" s="12" t="s">
        <v>85</v>
      </c>
      <c r="H16" s="12"/>
      <c r="I16" s="12" t="s">
        <v>86</v>
      </c>
      <c r="J16" s="12"/>
      <c r="K16" s="12" t="s">
        <v>87</v>
      </c>
      <c r="L16" s="12" t="s">
        <v>88</v>
      </c>
      <c r="M16" s="12" t="s">
        <v>89</v>
      </c>
      <c r="N16" s="12"/>
    </row>
    <row r="17" spans="1:13" x14ac:dyDescent="0.2">
      <c r="A17" t="s">
        <v>29</v>
      </c>
    </row>
    <row r="18" spans="1:13" x14ac:dyDescent="0.2">
      <c r="A18" t="s">
        <v>30</v>
      </c>
      <c r="B18" s="3">
        <v>0</v>
      </c>
      <c r="C18" s="11">
        <v>1525</v>
      </c>
      <c r="D18" s="9">
        <v>0</v>
      </c>
      <c r="E18" s="10">
        <v>0</v>
      </c>
      <c r="F18" s="3">
        <v>706</v>
      </c>
      <c r="G18" s="11">
        <v>1076650</v>
      </c>
      <c r="H18" s="9">
        <v>3.1119999999999998E-2</v>
      </c>
      <c r="I18" s="10">
        <v>33505</v>
      </c>
      <c r="J18" s="10">
        <v>0</v>
      </c>
      <c r="K18" s="10">
        <v>0</v>
      </c>
      <c r="L18" s="10">
        <v>0</v>
      </c>
      <c r="M18" s="10">
        <v>33505</v>
      </c>
    </row>
    <row r="19" spans="1:13" x14ac:dyDescent="0.2">
      <c r="A19" t="s">
        <v>31</v>
      </c>
      <c r="B19" s="3">
        <v>99</v>
      </c>
      <c r="C19" s="3">
        <v>583</v>
      </c>
      <c r="D19" s="9">
        <v>1115.4100000000001</v>
      </c>
      <c r="E19" s="10">
        <v>110426</v>
      </c>
      <c r="F19" s="3">
        <v>630</v>
      </c>
      <c r="G19" s="11">
        <v>367290</v>
      </c>
      <c r="H19" s="9">
        <v>3.1109999999999999E-2</v>
      </c>
      <c r="I19" s="10">
        <v>11426</v>
      </c>
      <c r="J19" s="10">
        <v>0</v>
      </c>
      <c r="K19" s="10">
        <v>5521</v>
      </c>
      <c r="L19" s="10">
        <v>5521</v>
      </c>
      <c r="M19" s="10">
        <v>127373</v>
      </c>
    </row>
    <row r="20" spans="1:13" x14ac:dyDescent="0.2">
      <c r="A20" t="s">
        <v>32</v>
      </c>
      <c r="B20" s="3">
        <v>21</v>
      </c>
      <c r="C20" s="3">
        <v>170</v>
      </c>
      <c r="D20" s="9">
        <v>94.67</v>
      </c>
      <c r="E20" s="10">
        <v>1988</v>
      </c>
      <c r="F20" s="3">
        <v>306</v>
      </c>
      <c r="G20" s="11">
        <v>52020</v>
      </c>
      <c r="H20" s="9">
        <v>3.124E-2</v>
      </c>
      <c r="I20" s="10">
        <v>1625</v>
      </c>
      <c r="J20" s="10">
        <v>105</v>
      </c>
      <c r="K20" s="10">
        <v>0</v>
      </c>
      <c r="L20" s="10">
        <v>105</v>
      </c>
      <c r="M20" s="10">
        <v>3718</v>
      </c>
    </row>
    <row r="21" spans="1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0"/>
    </row>
    <row r="22" spans="1:13" x14ac:dyDescent="0.2">
      <c r="A22" t="s">
        <v>33</v>
      </c>
      <c r="B22" s="3">
        <v>0</v>
      </c>
      <c r="C22" s="3">
        <v>0</v>
      </c>
      <c r="D22" s="9">
        <v>0</v>
      </c>
      <c r="E22" s="10">
        <v>0</v>
      </c>
      <c r="F22" s="3">
        <v>0</v>
      </c>
      <c r="G22" s="3">
        <v>0</v>
      </c>
      <c r="H22" s="9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0"/>
    </row>
    <row r="24" spans="1:13" x14ac:dyDescent="0.2">
      <c r="A24" t="s">
        <v>34</v>
      </c>
      <c r="B24" s="3">
        <v>25</v>
      </c>
      <c r="C24" s="3">
        <v>481</v>
      </c>
      <c r="D24" s="9">
        <v>200</v>
      </c>
      <c r="E24" s="10">
        <v>5000</v>
      </c>
      <c r="F24" s="11">
        <v>1200</v>
      </c>
      <c r="G24" s="11">
        <v>577200</v>
      </c>
      <c r="H24" s="9">
        <v>3.1140000000000001E-2</v>
      </c>
      <c r="I24" s="10">
        <v>17974</v>
      </c>
      <c r="J24" s="10">
        <v>1105</v>
      </c>
      <c r="K24" s="10">
        <v>0</v>
      </c>
      <c r="L24" s="10">
        <v>1105</v>
      </c>
      <c r="M24" s="10">
        <v>24079</v>
      </c>
    </row>
    <row r="25" spans="1:13" x14ac:dyDescent="0.2">
      <c r="A25" t="s">
        <v>35</v>
      </c>
      <c r="B25" s="3">
        <v>0</v>
      </c>
      <c r="C25" s="3">
        <v>147</v>
      </c>
      <c r="D25" s="9">
        <v>0</v>
      </c>
      <c r="E25" s="10">
        <v>0</v>
      </c>
      <c r="F25" s="3">
        <v>446</v>
      </c>
      <c r="G25" s="11">
        <v>65562</v>
      </c>
      <c r="H25" s="9">
        <v>3.116E-2</v>
      </c>
      <c r="I25" s="10">
        <v>2043</v>
      </c>
      <c r="J25" s="10">
        <v>0</v>
      </c>
      <c r="K25" s="10">
        <v>0</v>
      </c>
      <c r="L25" s="10">
        <v>0</v>
      </c>
      <c r="M25" s="10">
        <v>2043</v>
      </c>
    </row>
    <row r="26" spans="1:1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0"/>
    </row>
    <row r="27" spans="1:13" x14ac:dyDescent="0.2">
      <c r="A27" t="s">
        <v>36</v>
      </c>
      <c r="B27" s="3">
        <v>43</v>
      </c>
      <c r="C27" s="3">
        <v>572</v>
      </c>
      <c r="D27" s="9">
        <v>495.35</v>
      </c>
      <c r="E27" s="10">
        <v>21300</v>
      </c>
      <c r="F27" s="11">
        <v>1476</v>
      </c>
      <c r="G27" s="11">
        <v>844272</v>
      </c>
      <c r="H27" s="9">
        <v>3.1099999999999999E-2</v>
      </c>
      <c r="I27" s="10">
        <v>26257</v>
      </c>
      <c r="J27" s="10">
        <v>3621</v>
      </c>
      <c r="K27" s="10">
        <v>0</v>
      </c>
      <c r="L27" s="10">
        <v>3621</v>
      </c>
      <c r="M27" s="10">
        <v>51178</v>
      </c>
    </row>
    <row r="28" spans="1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0"/>
    </row>
    <row r="29" spans="1:13" x14ac:dyDescent="0.2">
      <c r="A29" t="s">
        <v>121</v>
      </c>
      <c r="B29" s="3">
        <v>94</v>
      </c>
      <c r="C29" s="3">
        <v>403</v>
      </c>
      <c r="D29" s="9">
        <v>575</v>
      </c>
      <c r="E29" s="10">
        <v>54050</v>
      </c>
      <c r="F29" s="11">
        <v>1755</v>
      </c>
      <c r="G29" s="11">
        <v>707265</v>
      </c>
      <c r="H29" s="9">
        <v>3.1099999999999999E-2</v>
      </c>
      <c r="I29" s="10">
        <v>21996</v>
      </c>
      <c r="J29" s="10">
        <v>4175</v>
      </c>
      <c r="K29" s="10">
        <v>0</v>
      </c>
      <c r="L29" s="10">
        <v>4175</v>
      </c>
      <c r="M29" s="10">
        <v>80221</v>
      </c>
    </row>
    <row r="30" spans="1:13" x14ac:dyDescent="0.2">
      <c r="B30" s="3" t="s">
        <v>90</v>
      </c>
      <c r="C30" s="3" t="s">
        <v>90</v>
      </c>
      <c r="D30" s="3"/>
      <c r="E30" s="3" t="s">
        <v>90</v>
      </c>
      <c r="F30" s="3"/>
      <c r="G30" s="3" t="s">
        <v>91</v>
      </c>
      <c r="H30" s="3"/>
      <c r="I30" s="3" t="s">
        <v>92</v>
      </c>
      <c r="J30" s="3" t="s">
        <v>92</v>
      </c>
      <c r="K30" s="3" t="s">
        <v>92</v>
      </c>
      <c r="L30" s="3" t="s">
        <v>92</v>
      </c>
      <c r="M30" s="3" t="s">
        <v>92</v>
      </c>
    </row>
    <row r="31" spans="1:13" x14ac:dyDescent="0.2">
      <c r="A31" t="s">
        <v>39</v>
      </c>
      <c r="B31" s="3">
        <v>282</v>
      </c>
      <c r="C31" s="11">
        <v>3881</v>
      </c>
      <c r="D31" s="3"/>
      <c r="E31" s="10">
        <v>192764</v>
      </c>
      <c r="F31" s="3"/>
      <c r="G31" s="11">
        <v>3690259</v>
      </c>
      <c r="H31" s="3"/>
      <c r="I31" s="10">
        <v>114826</v>
      </c>
      <c r="J31" s="10">
        <v>9006</v>
      </c>
      <c r="K31" s="10">
        <v>5521</v>
      </c>
      <c r="L31" s="10">
        <v>14527</v>
      </c>
      <c r="M31" s="10">
        <v>322117</v>
      </c>
    </row>
    <row r="32" spans="1:13" x14ac:dyDescent="0.2">
      <c r="B32" s="3" t="s">
        <v>93</v>
      </c>
      <c r="C32" s="3" t="s">
        <v>93</v>
      </c>
      <c r="D32" s="3"/>
      <c r="E32" s="3" t="s">
        <v>93</v>
      </c>
      <c r="F32" s="3"/>
      <c r="G32" s="3" t="s">
        <v>94</v>
      </c>
      <c r="H32" s="3"/>
      <c r="I32" s="3" t="s">
        <v>95</v>
      </c>
      <c r="J32" s="3" t="s">
        <v>95</v>
      </c>
      <c r="K32" s="3" t="s">
        <v>95</v>
      </c>
      <c r="L32" s="3" t="s">
        <v>95</v>
      </c>
      <c r="M32" s="3" t="s">
        <v>95</v>
      </c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t="s">
        <v>41</v>
      </c>
      <c r="B36" s="3">
        <v>159</v>
      </c>
      <c r="C36" s="11">
        <v>1026</v>
      </c>
      <c r="D36" s="9">
        <v>165.24</v>
      </c>
      <c r="E36" s="10">
        <v>26273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1314</v>
      </c>
      <c r="L36" s="10">
        <v>1314</v>
      </c>
      <c r="M36" s="10">
        <v>27587</v>
      </c>
    </row>
    <row r="37" spans="1:13" x14ac:dyDescent="0.2">
      <c r="A37" t="s">
        <v>42</v>
      </c>
      <c r="B37" s="3">
        <v>29</v>
      </c>
      <c r="C37" s="3">
        <v>98</v>
      </c>
      <c r="D37" s="9">
        <v>2705</v>
      </c>
      <c r="E37" s="10">
        <v>78445</v>
      </c>
      <c r="F37" s="3">
        <v>0</v>
      </c>
      <c r="G37" s="3">
        <v>0</v>
      </c>
      <c r="H37" s="3" t="s">
        <v>38</v>
      </c>
      <c r="I37" s="3"/>
      <c r="J37" s="10">
        <v>0</v>
      </c>
      <c r="K37" s="10">
        <v>3922</v>
      </c>
      <c r="L37" s="10">
        <v>3922</v>
      </c>
      <c r="M37" s="10">
        <v>82367</v>
      </c>
    </row>
    <row r="38" spans="1:13" x14ac:dyDescent="0.2">
      <c r="A38" t="s">
        <v>43</v>
      </c>
      <c r="B38" s="3">
        <v>24</v>
      </c>
      <c r="C38" s="3">
        <v>97</v>
      </c>
      <c r="D38" s="9">
        <v>914.54</v>
      </c>
      <c r="E38" s="10">
        <v>21949</v>
      </c>
      <c r="F38" s="11">
        <v>13282</v>
      </c>
      <c r="G38" s="11">
        <v>1288354</v>
      </c>
      <c r="H38" s="9">
        <v>4.2349999999999999E-2</v>
      </c>
      <c r="I38" s="10">
        <v>54562</v>
      </c>
      <c r="J38" s="10">
        <v>5581</v>
      </c>
      <c r="K38" s="10">
        <v>0</v>
      </c>
      <c r="L38" s="10">
        <v>5581</v>
      </c>
      <c r="M38" s="10">
        <v>82092</v>
      </c>
    </row>
    <row r="39" spans="1:13" x14ac:dyDescent="0.2">
      <c r="A39" t="s">
        <v>44</v>
      </c>
      <c r="B39" s="3">
        <v>0</v>
      </c>
      <c r="C39" s="3">
        <v>21</v>
      </c>
      <c r="D39" s="9">
        <v>0</v>
      </c>
      <c r="E39" s="10">
        <v>7269</v>
      </c>
      <c r="F39" s="11">
        <v>14102</v>
      </c>
      <c r="G39" s="11">
        <v>296142</v>
      </c>
      <c r="H39" s="9">
        <v>4.2770000000000002E-2</v>
      </c>
      <c r="I39" s="10">
        <v>12666</v>
      </c>
      <c r="J39" s="10">
        <v>0</v>
      </c>
      <c r="K39" s="10">
        <v>0</v>
      </c>
      <c r="L39" s="10">
        <v>0</v>
      </c>
      <c r="M39" s="10">
        <v>19935</v>
      </c>
    </row>
    <row r="40" spans="1:13" x14ac:dyDescent="0.2">
      <c r="B40" s="3" t="s">
        <v>90</v>
      </c>
      <c r="C40" s="3" t="s">
        <v>90</v>
      </c>
      <c r="D40" s="3"/>
      <c r="E40" s="3" t="s">
        <v>90</v>
      </c>
      <c r="F40" s="3"/>
      <c r="G40" s="3" t="s">
        <v>91</v>
      </c>
      <c r="H40" s="3"/>
      <c r="I40" s="3" t="s">
        <v>92</v>
      </c>
      <c r="J40" s="3" t="s">
        <v>92</v>
      </c>
      <c r="K40" s="3" t="s">
        <v>92</v>
      </c>
      <c r="L40" s="3" t="s">
        <v>92</v>
      </c>
      <c r="M40" s="3" t="s">
        <v>92</v>
      </c>
    </row>
    <row r="41" spans="1:13" x14ac:dyDescent="0.2">
      <c r="A41" t="s">
        <v>45</v>
      </c>
      <c r="B41" s="3">
        <v>212</v>
      </c>
      <c r="C41" s="11">
        <v>1242</v>
      </c>
      <c r="D41" s="3"/>
      <c r="E41" s="10">
        <v>133936</v>
      </c>
      <c r="F41" s="3"/>
      <c r="G41" s="11">
        <v>1584496</v>
      </c>
      <c r="H41" s="3"/>
      <c r="I41" s="10">
        <v>67228</v>
      </c>
      <c r="J41" s="10">
        <v>5581</v>
      </c>
      <c r="K41" s="10">
        <v>5236</v>
      </c>
      <c r="L41" s="10">
        <v>10817</v>
      </c>
      <c r="M41" s="10">
        <v>211981</v>
      </c>
    </row>
    <row r="42" spans="1:13" x14ac:dyDescent="0.2">
      <c r="B42" s="3" t="s">
        <v>93</v>
      </c>
      <c r="C42" s="3" t="s">
        <v>93</v>
      </c>
      <c r="D42" s="3"/>
      <c r="E42" s="3" t="s">
        <v>93</v>
      </c>
      <c r="F42" s="3"/>
      <c r="G42" s="3" t="s">
        <v>94</v>
      </c>
      <c r="H42" s="3"/>
      <c r="I42" s="3" t="s">
        <v>95</v>
      </c>
      <c r="J42" s="3" t="s">
        <v>95</v>
      </c>
      <c r="K42" s="3" t="s">
        <v>95</v>
      </c>
      <c r="L42" s="3" t="s">
        <v>95</v>
      </c>
      <c r="M42" s="3" t="s">
        <v>95</v>
      </c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t="s">
        <v>41</v>
      </c>
      <c r="B47" s="3">
        <v>0</v>
      </c>
      <c r="C47" s="3">
        <v>0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3">
        <v>0</v>
      </c>
      <c r="K47" s="10">
        <v>0</v>
      </c>
      <c r="L47" s="3">
        <v>0</v>
      </c>
      <c r="M47" s="3">
        <v>0</v>
      </c>
    </row>
    <row r="48" spans="1:13" x14ac:dyDescent="0.2">
      <c r="A48" t="s">
        <v>48</v>
      </c>
      <c r="B48" s="3">
        <v>0</v>
      </c>
      <c r="C48" s="3">
        <v>0</v>
      </c>
      <c r="D48" s="9">
        <v>0</v>
      </c>
      <c r="E48" s="10">
        <v>0</v>
      </c>
      <c r="F48" s="3">
        <v>0</v>
      </c>
      <c r="G48" s="3">
        <v>0</v>
      </c>
      <c r="H48" s="3" t="s">
        <v>38</v>
      </c>
      <c r="I48" s="3"/>
      <c r="J48" s="10">
        <v>0</v>
      </c>
      <c r="K48" s="10">
        <v>0</v>
      </c>
      <c r="L48" s="10">
        <v>0</v>
      </c>
      <c r="M48" s="10">
        <v>0</v>
      </c>
    </row>
    <row r="49" spans="1:13" x14ac:dyDescent="0.2">
      <c r="A49" t="s">
        <v>49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A50" t="s">
        <v>50</v>
      </c>
      <c r="B50" s="3">
        <v>0</v>
      </c>
      <c r="C50" s="3">
        <v>0</v>
      </c>
      <c r="D50" s="9">
        <v>0</v>
      </c>
      <c r="E50" s="10">
        <v>0</v>
      </c>
      <c r="F50" s="3">
        <v>0</v>
      </c>
      <c r="G50" s="3">
        <v>0</v>
      </c>
      <c r="H50" s="9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x14ac:dyDescent="0.2">
      <c r="B51" s="3" t="s">
        <v>90</v>
      </c>
      <c r="C51" s="3" t="s">
        <v>90</v>
      </c>
      <c r="D51" s="3"/>
      <c r="E51" s="3" t="s">
        <v>90</v>
      </c>
      <c r="F51" s="3"/>
      <c r="G51" s="3" t="s">
        <v>91</v>
      </c>
      <c r="H51" s="3"/>
      <c r="I51" s="3" t="s">
        <v>92</v>
      </c>
      <c r="J51" s="3" t="s">
        <v>92</v>
      </c>
      <c r="K51" s="3" t="s">
        <v>92</v>
      </c>
      <c r="L51" s="3" t="s">
        <v>92</v>
      </c>
      <c r="M51" s="3" t="s">
        <v>92</v>
      </c>
    </row>
    <row r="52" spans="1:13" x14ac:dyDescent="0.2">
      <c r="A52" t="s">
        <v>51</v>
      </c>
      <c r="B52" s="3">
        <v>0</v>
      </c>
      <c r="C52" s="3">
        <v>0</v>
      </c>
      <c r="D52" s="3"/>
      <c r="E52" s="10">
        <v>0</v>
      </c>
      <c r="F52" s="3"/>
      <c r="G52" s="3">
        <v>0</v>
      </c>
      <c r="H52" s="3"/>
      <c r="I52" s="10">
        <v>0</v>
      </c>
      <c r="J52" s="3">
        <v>0</v>
      </c>
      <c r="K52" s="10">
        <v>0</v>
      </c>
      <c r="L52" s="3">
        <v>0</v>
      </c>
      <c r="M52" s="3">
        <v>0</v>
      </c>
    </row>
    <row r="53" spans="1:13" x14ac:dyDescent="0.2">
      <c r="B53" s="3" t="s">
        <v>93</v>
      </c>
      <c r="C53" s="3" t="s">
        <v>93</v>
      </c>
      <c r="D53" s="3"/>
      <c r="E53" s="3" t="s">
        <v>93</v>
      </c>
      <c r="F53" s="3"/>
      <c r="G53" s="3" t="s">
        <v>94</v>
      </c>
      <c r="H53" s="3"/>
      <c r="I53" s="3" t="s">
        <v>95</v>
      </c>
      <c r="J53" s="3" t="s">
        <v>95</v>
      </c>
      <c r="K53" s="3" t="s">
        <v>95</v>
      </c>
      <c r="L53" s="3" t="s">
        <v>95</v>
      </c>
      <c r="M53" s="3" t="s">
        <v>95</v>
      </c>
    </row>
    <row r="54" spans="1:13" x14ac:dyDescent="0.2">
      <c r="A54" t="s">
        <v>52</v>
      </c>
      <c r="B54" s="3">
        <v>494</v>
      </c>
      <c r="C54" s="11">
        <v>5123</v>
      </c>
      <c r="D54" s="3"/>
      <c r="E54" s="10">
        <f>+E31+E41+E52</f>
        <v>326700</v>
      </c>
      <c r="F54" s="3"/>
      <c r="G54" s="11">
        <v>5274755</v>
      </c>
      <c r="H54" s="3"/>
      <c r="I54" s="10">
        <f>+I31+I41+I52</f>
        <v>182054</v>
      </c>
      <c r="J54" s="10">
        <f>+J31+J41+J52</f>
        <v>14587</v>
      </c>
      <c r="K54" s="10">
        <f>+K31+K41+K52</f>
        <v>10757</v>
      </c>
      <c r="L54" s="10">
        <f>+L31+L41+L52</f>
        <v>25344</v>
      </c>
      <c r="M54" s="10">
        <f>+M31+M41+M52</f>
        <v>534098</v>
      </c>
    </row>
    <row r="55" spans="1:13" x14ac:dyDescent="0.2">
      <c r="B55" s="3" t="s">
        <v>93</v>
      </c>
      <c r="C55" s="3" t="s">
        <v>93</v>
      </c>
      <c r="D55" s="3"/>
      <c r="E55" s="3" t="s">
        <v>93</v>
      </c>
      <c r="F55" s="3"/>
      <c r="G55" s="3" t="s">
        <v>94</v>
      </c>
      <c r="H55" s="3"/>
      <c r="I55" s="3" t="s">
        <v>95</v>
      </c>
      <c r="J55" s="3" t="s">
        <v>95</v>
      </c>
      <c r="K55" s="3" t="s">
        <v>95</v>
      </c>
      <c r="L55" s="3" t="s">
        <v>95</v>
      </c>
      <c r="M55" s="3" t="s">
        <v>95</v>
      </c>
    </row>
    <row r="56" spans="1:13" x14ac:dyDescent="0.2">
      <c r="A56" t="s">
        <v>108</v>
      </c>
    </row>
    <row r="57" spans="1:13" x14ac:dyDescent="0.2">
      <c r="A57" t="s">
        <v>135</v>
      </c>
    </row>
    <row r="58" spans="1:13" x14ac:dyDescent="0.2">
      <c r="A58" t="s">
        <v>123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58"/>
  <sheetViews>
    <sheetView workbookViewId="0">
      <pane xSplit="2" ySplit="15" topLeftCell="C16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2.7109375" customWidth="1"/>
    <col min="2" max="2" width="1.7109375" customWidth="1"/>
    <col min="3" max="4" width="14.28515625" bestFit="1" customWidth="1"/>
    <col min="5" max="5" width="18" bestFit="1" customWidth="1"/>
    <col min="6" max="6" width="14.28515625" bestFit="1" customWidth="1"/>
    <col min="7" max="7" width="13.85546875" bestFit="1" customWidth="1"/>
    <col min="8" max="8" width="18.7109375" customWidth="1"/>
    <col min="9" max="9" width="10" bestFit="1" customWidth="1"/>
    <col min="10" max="14" width="16" bestFit="1" customWidth="1"/>
  </cols>
  <sheetData>
    <row r="1" spans="1:14" x14ac:dyDescent="0.2">
      <c r="A1" s="14" t="s">
        <v>136</v>
      </c>
      <c r="B1" s="14"/>
    </row>
    <row r="6" spans="1:14" x14ac:dyDescent="0.2">
      <c r="A6" t="s">
        <v>0</v>
      </c>
      <c r="M6" s="2" t="s">
        <v>1</v>
      </c>
    </row>
    <row r="7" spans="1:14" x14ac:dyDescent="0.2">
      <c r="A7" t="s">
        <v>128</v>
      </c>
      <c r="M7" s="3" t="s">
        <v>137</v>
      </c>
      <c r="N7" s="2">
        <f>+'Y1'!M7</f>
        <v>24</v>
      </c>
    </row>
    <row r="11" spans="1:14" x14ac:dyDescent="0.2">
      <c r="A11" t="s">
        <v>173</v>
      </c>
      <c r="C11" s="12" t="s">
        <v>57</v>
      </c>
      <c r="D11" s="12" t="s">
        <v>58</v>
      </c>
      <c r="E11" s="12" t="s">
        <v>59</v>
      </c>
      <c r="F11" s="12" t="s">
        <v>60</v>
      </c>
      <c r="G11" s="12" t="s">
        <v>61</v>
      </c>
      <c r="H11" s="12" t="s">
        <v>4</v>
      </c>
      <c r="I11" s="12" t="s">
        <v>61</v>
      </c>
      <c r="J11" s="12" t="s">
        <v>62</v>
      </c>
      <c r="K11" s="12" t="s">
        <v>63</v>
      </c>
      <c r="L11" s="12" t="s">
        <v>64</v>
      </c>
      <c r="M11" s="12"/>
      <c r="N11" s="12" t="s">
        <v>65</v>
      </c>
    </row>
    <row r="12" spans="1:14" x14ac:dyDescent="0.2">
      <c r="C12" s="12" t="s">
        <v>66</v>
      </c>
      <c r="D12" s="12" t="s">
        <v>66</v>
      </c>
      <c r="E12" s="12" t="s">
        <v>67</v>
      </c>
      <c r="F12" s="12" t="s">
        <v>27</v>
      </c>
      <c r="G12" s="12" t="s">
        <v>106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12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1044</v>
      </c>
      <c r="E17" s="19">
        <v>0</v>
      </c>
      <c r="F17" s="17">
        <v>0</v>
      </c>
      <c r="G17" s="3">
        <v>707</v>
      </c>
      <c r="H17" s="11">
        <f>D17*G17</f>
        <v>738108</v>
      </c>
      <c r="I17" s="18">
        <v>3.1119999999999998E-2</v>
      </c>
      <c r="J17" s="10">
        <f>ROUND(H17*I17,0)</f>
        <v>22970</v>
      </c>
      <c r="K17" s="10">
        <f>+'22a&amp;b'!BR13</f>
        <v>0</v>
      </c>
      <c r="L17" s="10">
        <f>ROUND(F17*0.05,0)</f>
        <v>0</v>
      </c>
      <c r="M17" s="10">
        <f>+K17+L17</f>
        <v>0</v>
      </c>
      <c r="N17" s="10">
        <f>+F17+J17+M17</f>
        <v>22970</v>
      </c>
    </row>
    <row r="18" spans="1:14" x14ac:dyDescent="0.2">
      <c r="A18" s="22" t="s">
        <v>184</v>
      </c>
      <c r="C18" s="6">
        <v>62</v>
      </c>
      <c r="D18" s="6">
        <v>535</v>
      </c>
      <c r="E18" s="19">
        <f>ROUND(F18/C18,2)</f>
        <v>1276.94</v>
      </c>
      <c r="F18" s="17">
        <v>79170</v>
      </c>
      <c r="G18" s="3">
        <v>630</v>
      </c>
      <c r="H18" s="11">
        <f t="shared" ref="H18:H28" si="0">D18*G18</f>
        <v>337050</v>
      </c>
      <c r="I18" s="18">
        <v>3.1109999999999999E-2</v>
      </c>
      <c r="J18" s="10">
        <f t="shared" ref="J18:J28" si="1">ROUND(H18*I18,0)</f>
        <v>10486</v>
      </c>
      <c r="K18" s="10">
        <f>+'22a&amp;b'!BR16</f>
        <v>0</v>
      </c>
      <c r="L18" s="10">
        <f>ROUND(F18*0.05,0)</f>
        <v>3959</v>
      </c>
      <c r="M18" s="10">
        <f t="shared" ref="M18:M28" si="2">+K18+L18</f>
        <v>3959</v>
      </c>
      <c r="N18" s="10">
        <f>+F18+J18+M18</f>
        <v>93615</v>
      </c>
    </row>
    <row r="19" spans="1:14" x14ac:dyDescent="0.2">
      <c r="A19" t="s">
        <v>32</v>
      </c>
      <c r="C19" s="6">
        <v>18</v>
      </c>
      <c r="D19" s="6">
        <v>137</v>
      </c>
      <c r="E19" s="19">
        <f>ROUND(F19/C19,2)</f>
        <v>87.89</v>
      </c>
      <c r="F19" s="17">
        <v>1582</v>
      </c>
      <c r="G19" s="3">
        <v>306</v>
      </c>
      <c r="H19" s="11">
        <f t="shared" si="0"/>
        <v>41922</v>
      </c>
      <c r="I19" s="18">
        <v>3.124E-2</v>
      </c>
      <c r="J19" s="10">
        <f t="shared" si="1"/>
        <v>1310</v>
      </c>
      <c r="K19" s="10">
        <f>+'22a&amp;b'!BR17</f>
        <v>90</v>
      </c>
      <c r="L19" s="10">
        <v>0</v>
      </c>
      <c r="M19" s="10">
        <f t="shared" si="2"/>
        <v>90</v>
      </c>
      <c r="N19" s="10">
        <f t="shared" ref="N19:N28" si="3">+F19+J19+M19</f>
        <v>2982</v>
      </c>
    </row>
    <row r="20" spans="1:14" x14ac:dyDescent="0.2">
      <c r="C20" s="6"/>
      <c r="D20" s="6"/>
      <c r="E20" s="19"/>
      <c r="F20" s="17"/>
      <c r="G20" s="3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3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+'22a&amp;b'!BR19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3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23</v>
      </c>
      <c r="D23" s="6">
        <v>438</v>
      </c>
      <c r="E23" s="19">
        <f t="shared" ref="E23:E28" si="4">ROUND(F23/C23,2)</f>
        <v>201.04</v>
      </c>
      <c r="F23" s="17">
        <v>4624</v>
      </c>
      <c r="G23" s="3">
        <v>1200</v>
      </c>
      <c r="H23" s="11">
        <f t="shared" si="0"/>
        <v>525600</v>
      </c>
      <c r="I23" s="18">
        <v>3.1140000000000001E-2</v>
      </c>
      <c r="J23" s="10">
        <f t="shared" si="1"/>
        <v>16367</v>
      </c>
      <c r="K23" s="10">
        <f>+'22a&amp;b'!BR22</f>
        <v>1016</v>
      </c>
      <c r="L23" s="10">
        <v>0</v>
      </c>
      <c r="M23" s="10">
        <f t="shared" si="2"/>
        <v>1016</v>
      </c>
      <c r="N23" s="10">
        <f t="shared" si="3"/>
        <v>22007</v>
      </c>
    </row>
    <row r="24" spans="1:14" x14ac:dyDescent="0.2">
      <c r="A24" t="s">
        <v>35</v>
      </c>
      <c r="C24" s="6">
        <v>0</v>
      </c>
      <c r="D24" s="6">
        <v>81</v>
      </c>
      <c r="E24" s="19">
        <v>0</v>
      </c>
      <c r="F24" s="17">
        <v>0</v>
      </c>
      <c r="G24" s="3">
        <v>447</v>
      </c>
      <c r="H24" s="11">
        <f t="shared" si="0"/>
        <v>36207</v>
      </c>
      <c r="I24" s="18">
        <v>3.116E-2</v>
      </c>
      <c r="J24" s="10">
        <f t="shared" si="1"/>
        <v>1128</v>
      </c>
      <c r="K24" s="10">
        <f>+'22a&amp;b'!BR23</f>
        <v>0</v>
      </c>
      <c r="L24" s="10">
        <f>ROUND(F24*0.05,0)</f>
        <v>0</v>
      </c>
      <c r="M24" s="10">
        <f t="shared" si="2"/>
        <v>0</v>
      </c>
      <c r="N24" s="10">
        <f t="shared" si="3"/>
        <v>1128</v>
      </c>
    </row>
    <row r="25" spans="1:14" x14ac:dyDescent="0.2">
      <c r="C25" s="6"/>
      <c r="D25" s="6"/>
      <c r="E25" s="19"/>
      <c r="F25" s="17"/>
      <c r="G25" s="3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53</v>
      </c>
      <c r="D26" s="6">
        <v>558</v>
      </c>
      <c r="E26" s="19">
        <f t="shared" si="4"/>
        <v>472.15</v>
      </c>
      <c r="F26" s="17">
        <v>25024</v>
      </c>
      <c r="G26" s="3">
        <v>1475</v>
      </c>
      <c r="H26" s="11">
        <f t="shared" si="0"/>
        <v>823050</v>
      </c>
      <c r="I26" s="18">
        <v>3.1099999999999999E-2</v>
      </c>
      <c r="J26" s="10">
        <f t="shared" si="1"/>
        <v>25597</v>
      </c>
      <c r="K26" s="10">
        <f>+'22a&amp;b'!BR26</f>
        <v>4463</v>
      </c>
      <c r="L26" s="10">
        <v>0</v>
      </c>
      <c r="M26" s="10">
        <f t="shared" si="2"/>
        <v>4463</v>
      </c>
      <c r="N26" s="10">
        <f t="shared" si="3"/>
        <v>55084</v>
      </c>
    </row>
    <row r="27" spans="1:14" x14ac:dyDescent="0.2">
      <c r="C27" s="6"/>
      <c r="D27" s="6"/>
      <c r="E27" s="19"/>
      <c r="F27" s="17"/>
      <c r="G27" s="3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83</v>
      </c>
      <c r="D28" s="6">
        <v>488</v>
      </c>
      <c r="E28" s="19">
        <f t="shared" si="4"/>
        <v>537.04</v>
      </c>
      <c r="F28" s="17">
        <v>44574</v>
      </c>
      <c r="G28" s="3">
        <v>1755</v>
      </c>
      <c r="H28" s="11">
        <f t="shared" si="0"/>
        <v>856440</v>
      </c>
      <c r="I28" s="18">
        <v>3.1099999999999999E-2</v>
      </c>
      <c r="J28" s="10">
        <f t="shared" si="1"/>
        <v>26635</v>
      </c>
      <c r="K28" s="10">
        <f>+'22a&amp;b'!BR29</f>
        <v>3687</v>
      </c>
      <c r="L28" s="10">
        <v>0</v>
      </c>
      <c r="M28" s="10">
        <f t="shared" si="2"/>
        <v>3687</v>
      </c>
      <c r="N28" s="10">
        <f t="shared" si="3"/>
        <v>74896</v>
      </c>
    </row>
    <row r="29" spans="1:14" x14ac:dyDescent="0.2">
      <c r="C29" s="6" t="s">
        <v>90</v>
      </c>
      <c r="D29" s="6" t="s">
        <v>90</v>
      </c>
      <c r="E29" s="3"/>
      <c r="F29" s="17" t="s">
        <v>90</v>
      </c>
      <c r="G29" s="3"/>
      <c r="H29" s="3" t="s">
        <v>91</v>
      </c>
      <c r="I29" s="18"/>
      <c r="J29" s="3" t="s">
        <v>92</v>
      </c>
      <c r="K29" s="3" t="s">
        <v>92</v>
      </c>
      <c r="L29" s="3" t="s">
        <v>92</v>
      </c>
      <c r="M29" s="3" t="s">
        <v>92</v>
      </c>
      <c r="N29" s="3" t="s">
        <v>92</v>
      </c>
    </row>
    <row r="30" spans="1:14" x14ac:dyDescent="0.2">
      <c r="A30" t="s">
        <v>39</v>
      </c>
      <c r="C30" s="6">
        <f>SUM(C17:C28)</f>
        <v>239</v>
      </c>
      <c r="D30" s="6">
        <f>SUM(D17:D28)</f>
        <v>3281</v>
      </c>
      <c r="E30" s="3"/>
      <c r="F30" s="17">
        <f>SUM(F17:F28)</f>
        <v>154974</v>
      </c>
      <c r="G30" s="3"/>
      <c r="H30" s="6">
        <f>SUM(H17:H28)</f>
        <v>3358377</v>
      </c>
      <c r="I30" s="18"/>
      <c r="J30" s="17">
        <f>SUM(J17:J28)</f>
        <v>104493</v>
      </c>
      <c r="K30" s="10">
        <f>SUM(K16:K28)</f>
        <v>9256</v>
      </c>
      <c r="L30" s="10">
        <f>SUM(L17:L28)</f>
        <v>3959</v>
      </c>
      <c r="M30" s="10">
        <f>SUM(M17:M28)</f>
        <v>13215</v>
      </c>
      <c r="N30" s="10">
        <f>SUM(N17:N28)</f>
        <v>272682</v>
      </c>
    </row>
    <row r="31" spans="1:14" x14ac:dyDescent="0.2">
      <c r="C31" s="3" t="s">
        <v>93</v>
      </c>
      <c r="D31" s="3" t="s">
        <v>93</v>
      </c>
      <c r="E31" s="3"/>
      <c r="F31" s="3" t="s">
        <v>93</v>
      </c>
      <c r="G31" s="3"/>
      <c r="H31" s="3" t="s">
        <v>94</v>
      </c>
      <c r="I31" s="18"/>
      <c r="J31" s="3" t="s">
        <v>95</v>
      </c>
      <c r="K31" s="3" t="s">
        <v>95</v>
      </c>
      <c r="L31" s="3" t="s">
        <v>95</v>
      </c>
      <c r="M31" s="3" t="s">
        <v>95</v>
      </c>
      <c r="N31" s="3" t="s">
        <v>95</v>
      </c>
    </row>
    <row r="32" spans="1:14" x14ac:dyDescent="0.2">
      <c r="C32" s="3"/>
      <c r="D32" s="3"/>
      <c r="E32" s="3"/>
      <c r="F32" s="3"/>
      <c r="G32" s="3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3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3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134</v>
      </c>
      <c r="D35" s="6">
        <v>1017</v>
      </c>
      <c r="E35" s="19">
        <f>ROUND(F35/C35,2)</f>
        <v>321.82</v>
      </c>
      <c r="F35" s="10">
        <v>43124</v>
      </c>
      <c r="G35" s="3">
        <v>0</v>
      </c>
      <c r="H35" s="11">
        <f>D35*G35</f>
        <v>0</v>
      </c>
      <c r="I35" s="18" t="s">
        <v>38</v>
      </c>
      <c r="J35" s="10">
        <v>0</v>
      </c>
      <c r="K35" s="10">
        <v>0</v>
      </c>
      <c r="L35" s="10">
        <f>F35*0.05</f>
        <v>2156.2000000000003</v>
      </c>
      <c r="M35" s="10">
        <f>+K35+L35</f>
        <v>2156.2000000000003</v>
      </c>
      <c r="N35" s="10">
        <f>+F35+J35+M35</f>
        <v>45280.2</v>
      </c>
    </row>
    <row r="36" spans="1:14" x14ac:dyDescent="0.2">
      <c r="A36" t="s">
        <v>42</v>
      </c>
      <c r="C36" s="3">
        <v>28</v>
      </c>
      <c r="D36" s="6">
        <v>105</v>
      </c>
      <c r="E36" s="19">
        <f>ROUND(F36/C36,2)</f>
        <v>1510</v>
      </c>
      <c r="F36" s="10">
        <v>42280</v>
      </c>
      <c r="G36" s="3">
        <v>0</v>
      </c>
      <c r="H36" s="11">
        <f>D36*G36</f>
        <v>0</v>
      </c>
      <c r="I36" s="18" t="s">
        <v>38</v>
      </c>
      <c r="J36" s="10">
        <v>0</v>
      </c>
      <c r="K36" s="10">
        <v>0</v>
      </c>
      <c r="L36" s="10">
        <f>F36*0.05</f>
        <v>2114</v>
      </c>
      <c r="M36" s="10">
        <f>+K36+L36</f>
        <v>2114</v>
      </c>
      <c r="N36" s="10">
        <f>+F36+J36+M36</f>
        <v>44394</v>
      </c>
    </row>
    <row r="37" spans="1:14" x14ac:dyDescent="0.2">
      <c r="A37" t="s">
        <v>43</v>
      </c>
      <c r="C37" s="3">
        <v>15</v>
      </c>
      <c r="D37" s="6">
        <v>112</v>
      </c>
      <c r="E37" s="19">
        <f>ROUND(F37/C37,2)</f>
        <v>2309</v>
      </c>
      <c r="F37" s="10">
        <v>34635</v>
      </c>
      <c r="G37" s="11">
        <v>13282</v>
      </c>
      <c r="H37" s="11">
        <f>D37*G37</f>
        <v>1487584</v>
      </c>
      <c r="I37" s="18">
        <v>4.2349999999999999E-2</v>
      </c>
      <c r="J37" s="10">
        <f>ROUND(H37*I37,0)</f>
        <v>62999</v>
      </c>
      <c r="K37" s="10">
        <f>+'22a&amp;b'!BR80</f>
        <v>3488</v>
      </c>
      <c r="L37" s="10">
        <v>0</v>
      </c>
      <c r="M37" s="10">
        <f>+K37+L37</f>
        <v>3488</v>
      </c>
      <c r="N37" s="10">
        <f>+F37+J37+M37</f>
        <v>101122</v>
      </c>
    </row>
    <row r="38" spans="1:14" x14ac:dyDescent="0.2">
      <c r="A38" t="s">
        <v>44</v>
      </c>
      <c r="C38" s="3">
        <v>8</v>
      </c>
      <c r="D38" s="6">
        <v>25</v>
      </c>
      <c r="E38" s="19">
        <f>ROUND(F38/C38,2)</f>
        <v>4016.13</v>
      </c>
      <c r="F38" s="10">
        <v>32129</v>
      </c>
      <c r="G38" s="11">
        <v>14101</v>
      </c>
      <c r="H38" s="11">
        <f>D38*G38</f>
        <v>352525</v>
      </c>
      <c r="I38" s="18">
        <v>4.2770000000000002E-2</v>
      </c>
      <c r="J38" s="10">
        <f>ROUND(H38*I38,0)</f>
        <v>15077</v>
      </c>
      <c r="K38" s="10">
        <f>+'22a&amp;b'!BR81</f>
        <v>2099</v>
      </c>
      <c r="L38" s="10">
        <v>0</v>
      </c>
      <c r="M38" s="10">
        <f>+K38+L38</f>
        <v>2099</v>
      </c>
      <c r="N38" s="10">
        <f>+F38+J38+M38</f>
        <v>49305</v>
      </c>
    </row>
    <row r="39" spans="1:14" x14ac:dyDescent="0.2">
      <c r="C39" s="3" t="s">
        <v>90</v>
      </c>
      <c r="D39" s="6" t="s">
        <v>90</v>
      </c>
      <c r="E39" s="3"/>
      <c r="F39" s="3" t="s">
        <v>90</v>
      </c>
      <c r="G39" s="3"/>
      <c r="H39" s="3" t="s">
        <v>91</v>
      </c>
      <c r="I39" s="18"/>
      <c r="J39" s="20" t="s">
        <v>92</v>
      </c>
      <c r="K39" s="3" t="s">
        <v>92</v>
      </c>
      <c r="L39" s="3" t="s">
        <v>92</v>
      </c>
      <c r="M39" s="3" t="s">
        <v>92</v>
      </c>
      <c r="N39" s="3" t="s">
        <v>92</v>
      </c>
    </row>
    <row r="40" spans="1:14" x14ac:dyDescent="0.2">
      <c r="A40" t="s">
        <v>45</v>
      </c>
      <c r="C40" s="3">
        <f>SUM(C35:C38)</f>
        <v>185</v>
      </c>
      <c r="D40" s="6">
        <f>SUM(D35:D38)</f>
        <v>1259</v>
      </c>
      <c r="E40" s="3"/>
      <c r="F40" s="17">
        <f>SUM(F35:F38)</f>
        <v>152168</v>
      </c>
      <c r="G40" s="3"/>
      <c r="H40" s="6">
        <f>SUM(H35:H38)</f>
        <v>1840109</v>
      </c>
      <c r="I40" s="18"/>
      <c r="J40" s="17">
        <f>SUM(J35:J38)</f>
        <v>78076</v>
      </c>
      <c r="K40" s="10">
        <f>SUM(K34:K38)</f>
        <v>5587</v>
      </c>
      <c r="L40" s="10">
        <f>SUM(L34:L38)</f>
        <v>4270.2000000000007</v>
      </c>
      <c r="M40" s="10">
        <f>SUM(M34:M38)</f>
        <v>9857.2000000000007</v>
      </c>
      <c r="N40" s="10">
        <f>SUM(N34:N38)</f>
        <v>240101.2</v>
      </c>
    </row>
    <row r="41" spans="1:14" x14ac:dyDescent="0.2">
      <c r="C41" s="3" t="s">
        <v>93</v>
      </c>
      <c r="D41" s="3" t="s">
        <v>93</v>
      </c>
      <c r="E41" s="3"/>
      <c r="F41" s="3" t="s">
        <v>93</v>
      </c>
      <c r="G41" s="3"/>
      <c r="H41" s="3" t="s">
        <v>94</v>
      </c>
      <c r="I41" s="18"/>
      <c r="J41" s="3" t="s">
        <v>95</v>
      </c>
      <c r="K41" s="3" t="s">
        <v>95</v>
      </c>
      <c r="L41" s="3" t="s">
        <v>95</v>
      </c>
      <c r="M41" s="3" t="s">
        <v>95</v>
      </c>
      <c r="N41" s="3" t="s">
        <v>95</v>
      </c>
    </row>
    <row r="42" spans="1:14" x14ac:dyDescent="0.2">
      <c r="C42" s="3"/>
      <c r="D42" s="3"/>
      <c r="E42" s="3"/>
      <c r="F42" s="3"/>
      <c r="G42" s="3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3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3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3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3">
        <v>0</v>
      </c>
      <c r="H46" s="3">
        <v>0</v>
      </c>
      <c r="I46" s="18" t="s">
        <v>38</v>
      </c>
      <c r="J46" s="3"/>
      <c r="K46" s="10"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3">
        <v>0</v>
      </c>
      <c r="H47" s="3">
        <v>0</v>
      </c>
      <c r="I47" s="18" t="s">
        <v>38</v>
      </c>
      <c r="J47" s="3"/>
      <c r="K47" s="10"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3">
        <v>0</v>
      </c>
      <c r="H48" s="3">
        <v>0</v>
      </c>
      <c r="I48" s="18">
        <v>0</v>
      </c>
      <c r="J48" s="10">
        <f>ROUND(H48*I48,0)</f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3">
        <v>0</v>
      </c>
      <c r="H49" s="3">
        <v>0</v>
      </c>
      <c r="I49" s="18">
        <v>0</v>
      </c>
      <c r="J49" s="10">
        <f>ROUND(H49*I49,0)</f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C50" s="3" t="s">
        <v>90</v>
      </c>
      <c r="D50" s="3" t="s">
        <v>90</v>
      </c>
      <c r="E50" s="3"/>
      <c r="F50" s="3" t="s">
        <v>90</v>
      </c>
      <c r="G50" s="3"/>
      <c r="H50" s="3" t="s">
        <v>91</v>
      </c>
      <c r="I50" s="18"/>
      <c r="J50" s="3" t="s">
        <v>92</v>
      </c>
      <c r="K50" s="3" t="s">
        <v>92</v>
      </c>
      <c r="L50" s="3" t="s">
        <v>92</v>
      </c>
      <c r="M50" s="3" t="s">
        <v>92</v>
      </c>
      <c r="N50" s="3" t="s">
        <v>92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3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93</v>
      </c>
      <c r="D52" s="3" t="s">
        <v>93</v>
      </c>
      <c r="E52" s="3"/>
      <c r="F52" s="3" t="s">
        <v>93</v>
      </c>
      <c r="G52" s="3"/>
      <c r="H52" s="3" t="s">
        <v>94</v>
      </c>
      <c r="I52" s="18"/>
      <c r="J52" s="3" t="s">
        <v>95</v>
      </c>
      <c r="K52" s="3" t="s">
        <v>95</v>
      </c>
      <c r="L52" s="3" t="s">
        <v>95</v>
      </c>
      <c r="M52" s="3" t="s">
        <v>95</v>
      </c>
      <c r="N52" s="3" t="s">
        <v>95</v>
      </c>
    </row>
    <row r="53" spans="1:14" x14ac:dyDescent="0.2">
      <c r="A53" t="s">
        <v>52</v>
      </c>
      <c r="C53" s="6">
        <f>+C30+C40+C51</f>
        <v>424</v>
      </c>
      <c r="D53" s="6">
        <f>+D30+D40+D51</f>
        <v>4540</v>
      </c>
      <c r="E53" s="3"/>
      <c r="F53" s="17">
        <f>+F30+F40+F51</f>
        <v>307142</v>
      </c>
      <c r="G53" s="3"/>
      <c r="H53" s="6">
        <f>+H30+H40+H51</f>
        <v>5198486</v>
      </c>
      <c r="I53" s="18"/>
      <c r="J53" s="17">
        <f>+J30+J40+J51</f>
        <v>182569</v>
      </c>
      <c r="K53" s="10">
        <f>+K30+K40+K51</f>
        <v>14843</v>
      </c>
      <c r="L53" s="10">
        <f>+L30+L40+L51</f>
        <v>8229.2000000000007</v>
      </c>
      <c r="M53" s="10">
        <f>+M30+M40+M51</f>
        <v>23072.2</v>
      </c>
      <c r="N53" s="10">
        <f>+N30+N40+N51</f>
        <v>512783.2</v>
      </c>
    </row>
    <row r="54" spans="1:14" x14ac:dyDescent="0.2">
      <c r="C54" s="3" t="s">
        <v>93</v>
      </c>
      <c r="D54" s="3" t="s">
        <v>93</v>
      </c>
      <c r="E54" s="3"/>
      <c r="F54" s="3" t="s">
        <v>93</v>
      </c>
      <c r="G54" s="3"/>
      <c r="H54" s="3" t="s">
        <v>94</v>
      </c>
      <c r="I54" s="18"/>
      <c r="J54" s="3" t="s">
        <v>95</v>
      </c>
      <c r="K54" s="3" t="s">
        <v>95</v>
      </c>
      <c r="L54" s="3" t="s">
        <v>95</v>
      </c>
      <c r="M54" s="3" t="s">
        <v>95</v>
      </c>
      <c r="N54" s="3" t="s">
        <v>95</v>
      </c>
    </row>
    <row r="56" spans="1:14" x14ac:dyDescent="0.2">
      <c r="A56" t="s">
        <v>108</v>
      </c>
    </row>
    <row r="57" spans="1:14" x14ac:dyDescent="0.2">
      <c r="A57" t="s">
        <v>181</v>
      </c>
    </row>
    <row r="58" spans="1:14" x14ac:dyDescent="0.2">
      <c r="A58" t="s">
        <v>180</v>
      </c>
    </row>
  </sheetData>
  <phoneticPr fontId="0" type="noConversion"/>
  <printOptions horizontalCentered="1" verticalCentered="1" gridLines="1"/>
  <pageMargins left="0" right="0" top="0" bottom="0" header="0" footer="0"/>
  <pageSetup scale="5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8"/>
  <sheetViews>
    <sheetView workbookViewId="0">
      <pane xSplit="1" ySplit="15" topLeftCell="B16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2.7109375" customWidth="1"/>
    <col min="2" max="2" width="1.7109375" customWidth="1"/>
    <col min="3" max="4" width="14.28515625" bestFit="1" customWidth="1"/>
    <col min="5" max="5" width="18" bestFit="1" customWidth="1"/>
    <col min="6" max="6" width="14.28515625" bestFit="1" customWidth="1"/>
    <col min="7" max="7" width="13.85546875" bestFit="1" customWidth="1"/>
    <col min="8" max="8" width="18.7109375" customWidth="1"/>
    <col min="9" max="9" width="10" bestFit="1" customWidth="1"/>
    <col min="10" max="14" width="16" bestFit="1" customWidth="1"/>
  </cols>
  <sheetData>
    <row r="1" spans="1:14" x14ac:dyDescent="0.2">
      <c r="A1" s="14" t="s">
        <v>136</v>
      </c>
      <c r="B1" s="14"/>
    </row>
    <row r="3" spans="1:14" x14ac:dyDescent="0.2">
      <c r="A3" s="27"/>
    </row>
    <row r="6" spans="1:14" x14ac:dyDescent="0.2">
      <c r="A6" t="s">
        <v>0</v>
      </c>
      <c r="M6" s="2" t="s">
        <v>1</v>
      </c>
    </row>
    <row r="7" spans="1:14" x14ac:dyDescent="0.2">
      <c r="A7" t="s">
        <v>128</v>
      </c>
      <c r="M7" s="3" t="s">
        <v>174</v>
      </c>
      <c r="N7" s="2">
        <f>+'Y1'!M7</f>
        <v>24</v>
      </c>
    </row>
    <row r="11" spans="1:14" x14ac:dyDescent="0.2">
      <c r="A11" t="s">
        <v>177</v>
      </c>
      <c r="C11" s="12" t="s">
        <v>57</v>
      </c>
      <c r="D11" s="12" t="s">
        <v>58</v>
      </c>
      <c r="E11" s="12" t="s">
        <v>59</v>
      </c>
      <c r="F11" s="12" t="s">
        <v>60</v>
      </c>
      <c r="G11" s="12" t="s">
        <v>61</v>
      </c>
      <c r="H11" s="12" t="s">
        <v>4</v>
      </c>
      <c r="I11" s="12" t="s">
        <v>61</v>
      </c>
      <c r="J11" s="12" t="s">
        <v>62</v>
      </c>
      <c r="K11" s="12" t="s">
        <v>63</v>
      </c>
      <c r="L11" s="12" t="s">
        <v>64</v>
      </c>
      <c r="M11" s="12"/>
      <c r="N11" s="12" t="s">
        <v>65</v>
      </c>
    </row>
    <row r="12" spans="1:14" x14ac:dyDescent="0.2">
      <c r="C12" s="12" t="s">
        <v>66</v>
      </c>
      <c r="D12" s="12" t="s">
        <v>66</v>
      </c>
      <c r="E12" s="12" t="s">
        <v>67</v>
      </c>
      <c r="F12" s="12" t="s">
        <v>27</v>
      </c>
      <c r="G12" s="12" t="s">
        <v>106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12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535</v>
      </c>
      <c r="E17" s="19">
        <v>0</v>
      </c>
      <c r="F17" s="17">
        <v>0</v>
      </c>
      <c r="G17" s="3">
        <v>706</v>
      </c>
      <c r="H17" s="11">
        <f>D17*G17</f>
        <v>377710</v>
      </c>
      <c r="I17" s="18">
        <v>3.1119999999999998E-2</v>
      </c>
      <c r="J17" s="10">
        <f>ROUND(H17*I17,0)</f>
        <v>11754</v>
      </c>
      <c r="K17" s="10">
        <f>+'22a&amp;b'!BS13</f>
        <v>0</v>
      </c>
      <c r="L17" s="10">
        <v>0</v>
      </c>
      <c r="M17" s="10">
        <f>+K17+L17</f>
        <v>0</v>
      </c>
      <c r="N17" s="10">
        <f>+F17+J17+M17</f>
        <v>11754</v>
      </c>
    </row>
    <row r="18" spans="1:14" x14ac:dyDescent="0.2">
      <c r="A18" s="22" t="s">
        <v>184</v>
      </c>
      <c r="C18" s="6">
        <v>88</v>
      </c>
      <c r="D18" s="6">
        <v>486</v>
      </c>
      <c r="E18" s="19">
        <f>ROUND(F18/C18,2)</f>
        <v>1018.86</v>
      </c>
      <c r="F18" s="17">
        <v>89660</v>
      </c>
      <c r="G18" s="3">
        <v>630</v>
      </c>
      <c r="H18" s="11">
        <f t="shared" ref="H18:H28" si="0">D18*G18</f>
        <v>306180</v>
      </c>
      <c r="I18" s="18">
        <v>3.1109999999999999E-2</v>
      </c>
      <c r="J18" s="10">
        <f t="shared" ref="J18:J28" si="1">ROUND(H18*I18,0)</f>
        <v>9525</v>
      </c>
      <c r="K18" s="10">
        <f>+'22a&amp;b'!BS16</f>
        <v>0</v>
      </c>
      <c r="L18" s="10">
        <f>ROUND(F18*0.05,0)</f>
        <v>4483</v>
      </c>
      <c r="M18" s="10">
        <f t="shared" ref="M18:M28" si="2">+K18+L18</f>
        <v>4483</v>
      </c>
      <c r="N18" s="10">
        <f>+F18+J18+M18</f>
        <v>103668</v>
      </c>
    </row>
    <row r="19" spans="1:14" x14ac:dyDescent="0.2">
      <c r="A19" t="s">
        <v>32</v>
      </c>
      <c r="C19" s="6">
        <v>46</v>
      </c>
      <c r="D19" s="6">
        <v>122</v>
      </c>
      <c r="E19" s="19">
        <f>ROUND(F19/C19,2)</f>
        <v>81.459999999999994</v>
      </c>
      <c r="F19" s="17">
        <v>3747</v>
      </c>
      <c r="G19" s="3">
        <v>306</v>
      </c>
      <c r="H19" s="11">
        <f t="shared" si="0"/>
        <v>37332</v>
      </c>
      <c r="I19" s="18">
        <v>3.124E-2</v>
      </c>
      <c r="J19" s="10">
        <f t="shared" si="1"/>
        <v>1166</v>
      </c>
      <c r="K19" s="10">
        <f>+'22a&amp;b'!BS17</f>
        <v>231</v>
      </c>
      <c r="L19" s="10">
        <v>0</v>
      </c>
      <c r="M19" s="10">
        <f t="shared" si="2"/>
        <v>231</v>
      </c>
      <c r="N19" s="10">
        <f t="shared" ref="N19:N28" si="3">+F19+J19+M19</f>
        <v>5144</v>
      </c>
    </row>
    <row r="20" spans="1:14" x14ac:dyDescent="0.2">
      <c r="C20" s="6"/>
      <c r="D20" s="6"/>
      <c r="E20" s="19"/>
      <c r="F20" s="17"/>
      <c r="G20" s="3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3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+'22a&amp;b'!BS19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3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30</v>
      </c>
      <c r="D23" s="6">
        <v>412</v>
      </c>
      <c r="E23" s="19">
        <f>ROUND(F23/C23,2)</f>
        <v>173.33</v>
      </c>
      <c r="F23" s="17">
        <v>5200</v>
      </c>
      <c r="G23" s="11">
        <v>1200</v>
      </c>
      <c r="H23" s="11">
        <f t="shared" si="0"/>
        <v>494400</v>
      </c>
      <c r="I23" s="18">
        <v>3.1140000000000001E-2</v>
      </c>
      <c r="J23" s="10">
        <f t="shared" si="1"/>
        <v>15396</v>
      </c>
      <c r="K23" s="10">
        <f>+'22a&amp;b'!BS22</f>
        <v>1326</v>
      </c>
      <c r="L23" s="10">
        <v>0</v>
      </c>
      <c r="M23" s="10">
        <f t="shared" si="2"/>
        <v>1326</v>
      </c>
      <c r="N23" s="10">
        <f t="shared" si="3"/>
        <v>21922</v>
      </c>
    </row>
    <row r="24" spans="1:14" x14ac:dyDescent="0.2">
      <c r="A24" t="s">
        <v>35</v>
      </c>
      <c r="C24" s="6">
        <v>0</v>
      </c>
      <c r="D24" s="6">
        <v>35</v>
      </c>
      <c r="E24" s="19">
        <v>0</v>
      </c>
      <c r="F24" s="17">
        <v>0</v>
      </c>
      <c r="G24" s="3">
        <v>446</v>
      </c>
      <c r="H24" s="11">
        <f t="shared" si="0"/>
        <v>15610</v>
      </c>
      <c r="I24" s="18">
        <v>3.116E-2</v>
      </c>
      <c r="J24" s="10">
        <f t="shared" si="1"/>
        <v>486</v>
      </c>
      <c r="K24" s="10">
        <f>+'22a&amp;b'!BS23</f>
        <v>0</v>
      </c>
      <c r="L24" s="10">
        <f>ROUND(F24*0.05,0)</f>
        <v>0</v>
      </c>
      <c r="M24" s="10">
        <f t="shared" si="2"/>
        <v>0</v>
      </c>
      <c r="N24" s="10">
        <f t="shared" si="3"/>
        <v>486</v>
      </c>
    </row>
    <row r="25" spans="1:14" x14ac:dyDescent="0.2">
      <c r="C25" s="6"/>
      <c r="D25" s="6"/>
      <c r="E25" s="19"/>
      <c r="F25" s="17"/>
      <c r="G25" s="3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47</v>
      </c>
      <c r="D26" s="6">
        <v>469</v>
      </c>
      <c r="E26" s="19">
        <f>ROUND(F26/C26,2)</f>
        <v>510.64</v>
      </c>
      <c r="F26" s="17">
        <v>24000</v>
      </c>
      <c r="G26" s="11">
        <v>1476</v>
      </c>
      <c r="H26" s="11">
        <f t="shared" si="0"/>
        <v>692244</v>
      </c>
      <c r="I26" s="18">
        <v>3.1099999999999999E-2</v>
      </c>
      <c r="J26" s="10">
        <f t="shared" si="1"/>
        <v>21529</v>
      </c>
      <c r="K26" s="10">
        <f>+'22a&amp;b'!BS26</f>
        <v>3958</v>
      </c>
      <c r="L26" s="10">
        <v>0</v>
      </c>
      <c r="M26" s="10">
        <f t="shared" si="2"/>
        <v>3958</v>
      </c>
      <c r="N26" s="10">
        <f t="shared" si="3"/>
        <v>49487</v>
      </c>
    </row>
    <row r="27" spans="1:14" x14ac:dyDescent="0.2">
      <c r="C27" s="6"/>
      <c r="D27" s="6"/>
      <c r="E27" s="19"/>
      <c r="F27" s="17"/>
      <c r="G27" s="3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92</v>
      </c>
      <c r="D28" s="6">
        <v>568</v>
      </c>
      <c r="E28" s="19">
        <f>ROUND(F28/C28,2)</f>
        <v>555.42999999999995</v>
      </c>
      <c r="F28" s="17">
        <v>51100</v>
      </c>
      <c r="G28" s="11">
        <v>1755</v>
      </c>
      <c r="H28" s="11">
        <f t="shared" si="0"/>
        <v>996840</v>
      </c>
      <c r="I28" s="18">
        <v>3.1099999999999999E-2</v>
      </c>
      <c r="J28" s="10">
        <f t="shared" si="1"/>
        <v>31002</v>
      </c>
      <c r="K28" s="10">
        <f>+'22a&amp;b'!BS29</f>
        <v>4087</v>
      </c>
      <c r="L28" s="10">
        <v>0</v>
      </c>
      <c r="M28" s="10">
        <f t="shared" si="2"/>
        <v>4087</v>
      </c>
      <c r="N28" s="10">
        <f t="shared" si="3"/>
        <v>86189</v>
      </c>
    </row>
    <row r="29" spans="1:14" x14ac:dyDescent="0.2">
      <c r="C29" s="6" t="s">
        <v>90</v>
      </c>
      <c r="D29" s="6" t="s">
        <v>90</v>
      </c>
      <c r="E29" s="3"/>
      <c r="F29" s="17" t="s">
        <v>90</v>
      </c>
      <c r="G29" s="3"/>
      <c r="H29" s="3" t="s">
        <v>91</v>
      </c>
      <c r="I29" s="18"/>
      <c r="J29" s="3" t="s">
        <v>92</v>
      </c>
      <c r="K29" s="3" t="s">
        <v>92</v>
      </c>
      <c r="L29" s="3" t="s">
        <v>92</v>
      </c>
      <c r="M29" s="3" t="s">
        <v>92</v>
      </c>
      <c r="N29" s="3" t="s">
        <v>92</v>
      </c>
    </row>
    <row r="30" spans="1:14" x14ac:dyDescent="0.2">
      <c r="A30" t="s">
        <v>39</v>
      </c>
      <c r="C30" s="6">
        <f>SUM(C17:C28)</f>
        <v>303</v>
      </c>
      <c r="D30" s="6">
        <f>SUM(D17:D28)</f>
        <v>2627</v>
      </c>
      <c r="E30" s="3"/>
      <c r="F30" s="17">
        <f>SUM(F17:F28)</f>
        <v>173707</v>
      </c>
      <c r="G30" s="3"/>
      <c r="H30" s="6">
        <f>SUM(H17:H28)</f>
        <v>2920316</v>
      </c>
      <c r="I30" s="18"/>
      <c r="J30" s="17">
        <f>SUM(J17:J28)</f>
        <v>90858</v>
      </c>
      <c r="K30" s="10">
        <f>+'22a&amp;b'!BS73</f>
        <v>9602</v>
      </c>
      <c r="L30" s="10">
        <f>SUM(L17:L28)</f>
        <v>4483</v>
      </c>
      <c r="M30" s="10">
        <f>SUM(M17:M28)</f>
        <v>14085</v>
      </c>
      <c r="N30" s="10">
        <f>SUM(N17:N28)</f>
        <v>278650</v>
      </c>
    </row>
    <row r="31" spans="1:14" x14ac:dyDescent="0.2">
      <c r="C31" s="3" t="s">
        <v>93</v>
      </c>
      <c r="D31" s="3" t="s">
        <v>93</v>
      </c>
      <c r="E31" s="3"/>
      <c r="F31" s="3" t="s">
        <v>93</v>
      </c>
      <c r="G31" s="3"/>
      <c r="H31" s="3" t="s">
        <v>94</v>
      </c>
      <c r="I31" s="18"/>
      <c r="J31" s="3" t="s">
        <v>95</v>
      </c>
      <c r="K31" s="3" t="s">
        <v>95</v>
      </c>
      <c r="L31" s="3" t="s">
        <v>95</v>
      </c>
      <c r="M31" s="3" t="s">
        <v>95</v>
      </c>
      <c r="N31" s="3" t="s">
        <v>95</v>
      </c>
    </row>
    <row r="32" spans="1:14" x14ac:dyDescent="0.2">
      <c r="C32" s="3"/>
      <c r="D32" s="3"/>
      <c r="E32" s="3"/>
      <c r="F32" s="3"/>
      <c r="G32" s="3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3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3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131</v>
      </c>
      <c r="D35" s="6">
        <v>966</v>
      </c>
      <c r="E35" s="19">
        <f>ROUND(F35/C35,2)</f>
        <v>454.04</v>
      </c>
      <c r="F35" s="10">
        <v>59479</v>
      </c>
      <c r="G35" s="3">
        <v>0</v>
      </c>
      <c r="H35" s="11">
        <f>D35*G35</f>
        <v>0</v>
      </c>
      <c r="I35" s="18" t="s">
        <v>38</v>
      </c>
      <c r="J35" s="10">
        <v>0</v>
      </c>
      <c r="K35" s="10">
        <v>0</v>
      </c>
      <c r="L35" s="10">
        <f>F35*0.05</f>
        <v>2973.9500000000003</v>
      </c>
      <c r="M35" s="10">
        <f>+K35+L35</f>
        <v>2973.9500000000003</v>
      </c>
      <c r="N35" s="10">
        <f>+F35+J35+M35</f>
        <v>62452.95</v>
      </c>
    </row>
    <row r="36" spans="1:14" x14ac:dyDescent="0.2">
      <c r="A36" t="s">
        <v>42</v>
      </c>
      <c r="C36" s="3">
        <v>5</v>
      </c>
      <c r="D36" s="6">
        <v>111</v>
      </c>
      <c r="E36" s="19">
        <f>ROUND(F36/C36,2)</f>
        <v>9817.2000000000007</v>
      </c>
      <c r="F36" s="10">
        <v>49086</v>
      </c>
      <c r="G36" s="3">
        <v>0</v>
      </c>
      <c r="H36" s="11">
        <f>D36*G36</f>
        <v>0</v>
      </c>
      <c r="I36" s="18" t="s">
        <v>38</v>
      </c>
      <c r="J36" s="10">
        <v>0</v>
      </c>
      <c r="K36" s="10">
        <v>0</v>
      </c>
      <c r="L36" s="10">
        <f>F36*0.05</f>
        <v>2454.3000000000002</v>
      </c>
      <c r="M36" s="10">
        <f>+K36+L36</f>
        <v>2454.3000000000002</v>
      </c>
      <c r="N36" s="10">
        <f>+F36+J36+M36</f>
        <v>51540.3</v>
      </c>
    </row>
    <row r="37" spans="1:14" x14ac:dyDescent="0.2">
      <c r="A37" t="s">
        <v>43</v>
      </c>
      <c r="C37" s="3">
        <v>15</v>
      </c>
      <c r="D37" s="6">
        <v>109</v>
      </c>
      <c r="E37" s="19">
        <f>ROUND(F37/C37,2)</f>
        <v>1664.27</v>
      </c>
      <c r="F37" s="10">
        <v>24964</v>
      </c>
      <c r="G37" s="11">
        <v>13282</v>
      </c>
      <c r="H37" s="11">
        <f>D37*G37</f>
        <v>1447738</v>
      </c>
      <c r="I37" s="18">
        <v>4.2349999999999999E-2</v>
      </c>
      <c r="J37" s="10">
        <f>ROUND(H37*I37,0)</f>
        <v>61312</v>
      </c>
      <c r="K37" s="10">
        <f>+'22a&amp;b'!BS80</f>
        <v>3488</v>
      </c>
      <c r="L37" s="10">
        <v>0</v>
      </c>
      <c r="M37" s="10">
        <f>+K37+L37</f>
        <v>3488</v>
      </c>
      <c r="N37" s="10">
        <f>+F37+J37+M37</f>
        <v>89764</v>
      </c>
    </row>
    <row r="38" spans="1:14" x14ac:dyDescent="0.2">
      <c r="A38" t="s">
        <v>44</v>
      </c>
      <c r="C38" s="3">
        <v>18</v>
      </c>
      <c r="D38" s="6">
        <v>34</v>
      </c>
      <c r="E38" s="19">
        <f>ROUND(F38/C38,2)</f>
        <v>1799.28</v>
      </c>
      <c r="F38" s="10">
        <v>32387</v>
      </c>
      <c r="G38" s="11">
        <v>14102</v>
      </c>
      <c r="H38" s="11">
        <f>D38*G38</f>
        <v>479468</v>
      </c>
      <c r="I38" s="18">
        <v>4.2770000000000002E-2</v>
      </c>
      <c r="J38" s="10">
        <f>ROUND(H38*I38,0)</f>
        <v>20507</v>
      </c>
      <c r="K38" s="10">
        <f>+'22a&amp;b'!BS81</f>
        <v>4722</v>
      </c>
      <c r="L38" s="10">
        <v>0</v>
      </c>
      <c r="M38" s="10">
        <f>+K38+L38</f>
        <v>4722</v>
      </c>
      <c r="N38" s="10">
        <f>+F38+J38+M38</f>
        <v>57616</v>
      </c>
    </row>
    <row r="39" spans="1:14" x14ac:dyDescent="0.2">
      <c r="C39" s="3" t="s">
        <v>90</v>
      </c>
      <c r="D39" s="6" t="s">
        <v>90</v>
      </c>
      <c r="E39" s="3"/>
      <c r="F39" s="3" t="s">
        <v>90</v>
      </c>
      <c r="G39" s="3"/>
      <c r="H39" s="3" t="s">
        <v>91</v>
      </c>
      <c r="I39" s="18"/>
      <c r="J39" s="20" t="s">
        <v>92</v>
      </c>
      <c r="K39" s="3" t="s">
        <v>92</v>
      </c>
      <c r="L39" s="3" t="s">
        <v>92</v>
      </c>
      <c r="M39" s="3" t="s">
        <v>92</v>
      </c>
      <c r="N39" s="3" t="s">
        <v>92</v>
      </c>
    </row>
    <row r="40" spans="1:14" x14ac:dyDescent="0.2">
      <c r="A40" t="s">
        <v>45</v>
      </c>
      <c r="C40" s="3">
        <f>SUM(C35:C38)</f>
        <v>169</v>
      </c>
      <c r="D40" s="6">
        <f>SUM(D35:D38)</f>
        <v>1220</v>
      </c>
      <c r="E40" s="3"/>
      <c r="F40" s="17">
        <f>SUM(F35:F38)</f>
        <v>165916</v>
      </c>
      <c r="G40" s="3"/>
      <c r="H40" s="6">
        <f>SUM(H35:H38)</f>
        <v>1927206</v>
      </c>
      <c r="I40" s="18"/>
      <c r="J40" s="17">
        <f>SUM(J35:J38)</f>
        <v>81819</v>
      </c>
      <c r="K40" s="10">
        <f>SUM(K34:K38)</f>
        <v>8210</v>
      </c>
      <c r="L40" s="10">
        <f>SUM(L34:L38)</f>
        <v>5428.25</v>
      </c>
      <c r="M40" s="10">
        <f>SUM(M34:M38)</f>
        <v>13638.25</v>
      </c>
      <c r="N40" s="10">
        <f>SUM(N34:N38)</f>
        <v>261373.25</v>
      </c>
    </row>
    <row r="41" spans="1:14" x14ac:dyDescent="0.2">
      <c r="C41" s="3" t="s">
        <v>93</v>
      </c>
      <c r="D41" s="3" t="s">
        <v>93</v>
      </c>
      <c r="E41" s="3"/>
      <c r="F41" s="3" t="s">
        <v>93</v>
      </c>
      <c r="G41" s="3"/>
      <c r="H41" s="3" t="s">
        <v>94</v>
      </c>
      <c r="I41" s="18"/>
      <c r="J41" s="3" t="s">
        <v>95</v>
      </c>
      <c r="K41" s="3" t="s">
        <v>95</v>
      </c>
      <c r="L41" s="3" t="s">
        <v>95</v>
      </c>
      <c r="M41" s="3" t="s">
        <v>95</v>
      </c>
      <c r="N41" s="3" t="s">
        <v>95</v>
      </c>
    </row>
    <row r="42" spans="1:14" x14ac:dyDescent="0.2">
      <c r="C42" s="3"/>
      <c r="D42" s="3"/>
      <c r="E42" s="3"/>
      <c r="F42" s="3"/>
      <c r="G42" s="3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3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3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3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3">
        <v>0</v>
      </c>
      <c r="H46" s="3">
        <v>0</v>
      </c>
      <c r="I46" s="18" t="s">
        <v>38</v>
      </c>
      <c r="J46" s="3"/>
      <c r="K46" s="10"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3">
        <v>0</v>
      </c>
      <c r="H47" s="3">
        <v>0</v>
      </c>
      <c r="I47" s="18" t="s">
        <v>38</v>
      </c>
      <c r="J47" s="3"/>
      <c r="K47" s="10"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3">
        <v>0</v>
      </c>
      <c r="H48" s="3">
        <v>0</v>
      </c>
      <c r="I48" s="18">
        <v>0</v>
      </c>
      <c r="J48" s="10">
        <f>ROUND(H48*I48,0)</f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3">
        <v>0</v>
      </c>
      <c r="H49" s="3">
        <v>0</v>
      </c>
      <c r="I49" s="18">
        <v>0</v>
      </c>
      <c r="J49" s="10">
        <f>ROUND(H49*I49,0)</f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C50" s="3" t="s">
        <v>90</v>
      </c>
      <c r="D50" s="3" t="s">
        <v>90</v>
      </c>
      <c r="E50" s="3"/>
      <c r="F50" s="3" t="s">
        <v>90</v>
      </c>
      <c r="G50" s="3"/>
      <c r="H50" s="3" t="s">
        <v>91</v>
      </c>
      <c r="I50" s="18"/>
      <c r="J50" s="3" t="s">
        <v>92</v>
      </c>
      <c r="K50" s="3" t="s">
        <v>92</v>
      </c>
      <c r="L50" s="3" t="s">
        <v>92</v>
      </c>
      <c r="M50" s="3" t="s">
        <v>92</v>
      </c>
      <c r="N50" s="3" t="s">
        <v>92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3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93</v>
      </c>
      <c r="D52" s="3" t="s">
        <v>93</v>
      </c>
      <c r="E52" s="3"/>
      <c r="F52" s="3" t="s">
        <v>93</v>
      </c>
      <c r="G52" s="3"/>
      <c r="H52" s="3" t="s">
        <v>94</v>
      </c>
      <c r="I52" s="18"/>
      <c r="J52" s="3" t="s">
        <v>95</v>
      </c>
      <c r="K52" s="3" t="s">
        <v>95</v>
      </c>
      <c r="L52" s="3" t="s">
        <v>95</v>
      </c>
      <c r="M52" s="3" t="s">
        <v>95</v>
      </c>
      <c r="N52" s="3" t="s">
        <v>95</v>
      </c>
    </row>
    <row r="53" spans="1:14" x14ac:dyDescent="0.2">
      <c r="A53" t="s">
        <v>52</v>
      </c>
      <c r="C53" s="6">
        <f>+C30+C40+C51</f>
        <v>472</v>
      </c>
      <c r="D53" s="6">
        <f>+D30+D40+D51</f>
        <v>3847</v>
      </c>
      <c r="E53" s="3"/>
      <c r="F53" s="17">
        <f>+F30+F40+F51</f>
        <v>339623</v>
      </c>
      <c r="G53" s="3"/>
      <c r="H53" s="6">
        <f>+H30+H40+H51</f>
        <v>4847522</v>
      </c>
      <c r="I53" s="18"/>
      <c r="J53" s="17">
        <f>+J30+J40+J51</f>
        <v>172677</v>
      </c>
      <c r="K53" s="10">
        <f>+K30+K40+K51</f>
        <v>17812</v>
      </c>
      <c r="L53" s="10">
        <f>+L30+L40+L51</f>
        <v>9911.25</v>
      </c>
      <c r="M53" s="10">
        <f>+M30+M40+M51</f>
        <v>27723.25</v>
      </c>
      <c r="N53" s="10">
        <f>+N30+N40+N51</f>
        <v>540023.25</v>
      </c>
    </row>
    <row r="54" spans="1:14" x14ac:dyDescent="0.2">
      <c r="C54" s="3" t="s">
        <v>93</v>
      </c>
      <c r="D54" s="3" t="s">
        <v>93</v>
      </c>
      <c r="E54" s="3"/>
      <c r="F54" s="3" t="s">
        <v>93</v>
      </c>
      <c r="G54" s="3"/>
      <c r="H54" s="3" t="s">
        <v>94</v>
      </c>
      <c r="I54" s="18"/>
      <c r="J54" s="3" t="s">
        <v>95</v>
      </c>
      <c r="K54" s="3" t="s">
        <v>95</v>
      </c>
      <c r="L54" s="3" t="s">
        <v>95</v>
      </c>
      <c r="M54" s="3" t="s">
        <v>95</v>
      </c>
      <c r="N54" s="3" t="s">
        <v>95</v>
      </c>
    </row>
    <row r="56" spans="1:14" x14ac:dyDescent="0.2">
      <c r="A56" t="s">
        <v>108</v>
      </c>
    </row>
    <row r="57" spans="1:14" x14ac:dyDescent="0.2">
      <c r="A57" t="s">
        <v>182</v>
      </c>
    </row>
    <row r="58" spans="1:14" x14ac:dyDescent="0.2">
      <c r="A58" t="s">
        <v>183</v>
      </c>
    </row>
  </sheetData>
  <phoneticPr fontId="0" type="noConversion"/>
  <printOptions horizontalCentered="1" verticalCentered="1" gridLines="1"/>
  <pageMargins left="0" right="0" top="0" bottom="0" header="0" footer="0"/>
  <pageSetup scale="5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58"/>
  <sheetViews>
    <sheetView workbookViewId="0">
      <pane xSplit="2" ySplit="14" topLeftCell="C15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1.7109375" customWidth="1"/>
    <col min="2" max="2" width="1.7109375" customWidth="1"/>
    <col min="3" max="5" width="12.85546875" bestFit="1" customWidth="1"/>
    <col min="6" max="6" width="11.85546875" bestFit="1" customWidth="1"/>
    <col min="7" max="7" width="13.85546875" bestFit="1" customWidth="1"/>
    <col min="8" max="8" width="11.85546875" bestFit="1" customWidth="1"/>
    <col min="9" max="9" width="10" bestFit="1" customWidth="1"/>
    <col min="10" max="10" width="11.85546875" bestFit="1" customWidth="1"/>
    <col min="11" max="11" width="13.7109375" bestFit="1" customWidth="1"/>
    <col min="12" max="12" width="14.42578125" bestFit="1" customWidth="1"/>
    <col min="13" max="13" width="11.85546875" bestFit="1" customWidth="1"/>
    <col min="14" max="14" width="13.5703125" bestFit="1" customWidth="1"/>
  </cols>
  <sheetData>
    <row r="1" spans="1:14" x14ac:dyDescent="0.2">
      <c r="A1" s="45" t="s">
        <v>176</v>
      </c>
      <c r="B1" s="14"/>
    </row>
    <row r="6" spans="1:14" x14ac:dyDescent="0.2">
      <c r="A6" t="s">
        <v>0</v>
      </c>
      <c r="M6" s="1" t="s">
        <v>140</v>
      </c>
    </row>
    <row r="7" spans="1:14" ht="25.5" x14ac:dyDescent="0.2">
      <c r="A7" s="36" t="s">
        <v>206</v>
      </c>
      <c r="M7" s="1" t="s">
        <v>178</v>
      </c>
      <c r="N7" s="2">
        <f>+'Y1'!M7</f>
        <v>24</v>
      </c>
    </row>
    <row r="11" spans="1:14" ht="25.5" x14ac:dyDescent="0.2">
      <c r="A11" t="s">
        <v>196</v>
      </c>
      <c r="C11" s="12" t="s">
        <v>57</v>
      </c>
      <c r="D11" s="12" t="s">
        <v>58</v>
      </c>
      <c r="E11" s="8" t="s">
        <v>59</v>
      </c>
      <c r="F11" s="8" t="s">
        <v>197</v>
      </c>
      <c r="G11" s="12" t="s">
        <v>61</v>
      </c>
      <c r="H11" s="12" t="s">
        <v>4</v>
      </c>
      <c r="I11" s="8" t="s">
        <v>194</v>
      </c>
      <c r="J11" s="8" t="s">
        <v>195</v>
      </c>
      <c r="K11" s="12" t="s">
        <v>63</v>
      </c>
      <c r="L11" s="12" t="s">
        <v>64</v>
      </c>
      <c r="M11" s="12"/>
      <c r="N11" s="8" t="s">
        <v>197</v>
      </c>
    </row>
    <row r="12" spans="1:14" ht="25.5" x14ac:dyDescent="0.2">
      <c r="C12" s="12" t="s">
        <v>66</v>
      </c>
      <c r="D12" s="12" t="s">
        <v>66</v>
      </c>
      <c r="E12" s="8" t="s">
        <v>67</v>
      </c>
      <c r="F12" s="12" t="s">
        <v>27</v>
      </c>
      <c r="G12" s="12" t="s">
        <v>118</v>
      </c>
      <c r="H12" s="8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8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116</v>
      </c>
      <c r="E17" s="19">
        <v>0</v>
      </c>
      <c r="F17" s="17">
        <v>0</v>
      </c>
      <c r="G17" s="6">
        <v>707</v>
      </c>
      <c r="H17" s="11">
        <f>D17*G17</f>
        <v>82012</v>
      </c>
      <c r="I17" s="18">
        <v>3.1119999999999998E-2</v>
      </c>
      <c r="J17" s="10">
        <f>ROUND(H17*I17,0)</f>
        <v>2552</v>
      </c>
      <c r="K17" s="10">
        <f>+'22a&amp;b'!BT13</f>
        <v>0</v>
      </c>
      <c r="L17" s="10">
        <f>ROUND(F17*0.05,0)</f>
        <v>0</v>
      </c>
      <c r="M17" s="10">
        <f>+K17+L17</f>
        <v>0</v>
      </c>
      <c r="N17" s="10">
        <f>+F17+J17+M17</f>
        <v>2552</v>
      </c>
    </row>
    <row r="18" spans="1:14" x14ac:dyDescent="0.2">
      <c r="A18" s="22" t="s">
        <v>184</v>
      </c>
      <c r="C18" s="6">
        <v>63</v>
      </c>
      <c r="D18" s="6">
        <v>442</v>
      </c>
      <c r="E18" s="19">
        <f>ROUND(F18/C18,2)</f>
        <v>1752.4</v>
      </c>
      <c r="F18" s="17">
        <f>112496-2095</f>
        <v>110401</v>
      </c>
      <c r="G18" s="6">
        <v>1028</v>
      </c>
      <c r="H18" s="11">
        <f t="shared" ref="H18:H28" si="0">D18*G18</f>
        <v>454376</v>
      </c>
      <c r="I18" s="18">
        <v>3.1109999999999999E-2</v>
      </c>
      <c r="J18" s="10">
        <f t="shared" ref="J18:J28" si="1">ROUND(H18*I18,0)</f>
        <v>14136</v>
      </c>
      <c r="K18" s="10">
        <f>+'22a&amp;b'!BT16</f>
        <v>0</v>
      </c>
      <c r="L18" s="10">
        <f>ROUND(F18*0.05,0)</f>
        <v>5520</v>
      </c>
      <c r="M18" s="10">
        <f t="shared" ref="M18:M28" si="2">+K18+L18</f>
        <v>5520</v>
      </c>
      <c r="N18" s="10">
        <f>+F18+J18+M18</f>
        <v>130057</v>
      </c>
    </row>
    <row r="19" spans="1:14" x14ac:dyDescent="0.2">
      <c r="A19" t="s">
        <v>32</v>
      </c>
      <c r="C19" s="6">
        <v>32</v>
      </c>
      <c r="D19" s="6">
        <v>135</v>
      </c>
      <c r="E19" s="19">
        <f>ROUND(F19/C19,2)</f>
        <v>65.47</v>
      </c>
      <c r="F19" s="17">
        <v>2095</v>
      </c>
      <c r="G19" s="6">
        <v>315</v>
      </c>
      <c r="H19" s="11">
        <f t="shared" si="0"/>
        <v>42525</v>
      </c>
      <c r="I19" s="18">
        <v>3.124E-2</v>
      </c>
      <c r="J19" s="10">
        <f t="shared" si="1"/>
        <v>1328</v>
      </c>
      <c r="K19" s="10">
        <f>+'22a&amp;b'!BT17</f>
        <v>137</v>
      </c>
      <c r="L19" s="10">
        <v>0</v>
      </c>
      <c r="M19" s="10">
        <f t="shared" si="2"/>
        <v>137</v>
      </c>
      <c r="N19" s="10">
        <f t="shared" ref="N19:N28" si="3">+F19+J19+M19</f>
        <v>3560</v>
      </c>
    </row>
    <row r="20" spans="1:14" x14ac:dyDescent="0.2"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+'22a&amp;b'!BT19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6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1</v>
      </c>
      <c r="D23" s="6">
        <v>314</v>
      </c>
      <c r="E23" s="19">
        <f>ROUND(F23/C23,2)</f>
        <v>1152</v>
      </c>
      <c r="F23" s="17">
        <v>1152</v>
      </c>
      <c r="G23" s="6">
        <v>1200</v>
      </c>
      <c r="H23" s="11">
        <f t="shared" si="0"/>
        <v>376800</v>
      </c>
      <c r="I23" s="18">
        <v>3.1140000000000001E-2</v>
      </c>
      <c r="J23" s="10">
        <f t="shared" si="1"/>
        <v>11734</v>
      </c>
      <c r="K23" s="10">
        <f>+'22a&amp;b'!BT22</f>
        <v>44</v>
      </c>
      <c r="L23" s="10">
        <v>0</v>
      </c>
      <c r="M23" s="10">
        <f t="shared" si="2"/>
        <v>44</v>
      </c>
      <c r="N23" s="10">
        <f t="shared" si="3"/>
        <v>12930</v>
      </c>
    </row>
    <row r="24" spans="1:14" x14ac:dyDescent="0.2">
      <c r="A24" t="s">
        <v>35</v>
      </c>
      <c r="C24" s="6">
        <v>0</v>
      </c>
      <c r="D24" s="6">
        <v>0</v>
      </c>
      <c r="E24" s="19">
        <v>0</v>
      </c>
      <c r="F24" s="17">
        <v>0</v>
      </c>
      <c r="G24" s="6">
        <v>447</v>
      </c>
      <c r="H24" s="11">
        <f t="shared" si="0"/>
        <v>0</v>
      </c>
      <c r="I24" s="18">
        <v>3.116E-2</v>
      </c>
      <c r="J24" s="10">
        <f t="shared" si="1"/>
        <v>0</v>
      </c>
      <c r="K24" s="10">
        <f>+'22a&amp;b'!BT23</f>
        <v>0</v>
      </c>
      <c r="L24" s="10">
        <f>ROUND(F24*0.05,0)</f>
        <v>0</v>
      </c>
      <c r="M24" s="10">
        <f t="shared" si="2"/>
        <v>0</v>
      </c>
      <c r="N24" s="10">
        <f t="shared" si="3"/>
        <v>0</v>
      </c>
    </row>
    <row r="25" spans="1:14" x14ac:dyDescent="0.2">
      <c r="C25" s="6"/>
      <c r="D25" s="6"/>
      <c r="E25" s="19"/>
      <c r="F25" s="17"/>
      <c r="G25" s="6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43</v>
      </c>
      <c r="D26" s="6">
        <v>414</v>
      </c>
      <c r="E26" s="19">
        <f>ROUND(F26/C26,2)</f>
        <v>619.77</v>
      </c>
      <c r="F26" s="17">
        <v>26650</v>
      </c>
      <c r="G26" s="6">
        <v>1144</v>
      </c>
      <c r="H26" s="11">
        <f t="shared" si="0"/>
        <v>473616</v>
      </c>
      <c r="I26" s="18">
        <v>3.1099999999999999E-2</v>
      </c>
      <c r="J26" s="10">
        <f t="shared" si="1"/>
        <v>14729</v>
      </c>
      <c r="K26" s="10">
        <f>+'22a&amp;b'!BT26</f>
        <v>1244</v>
      </c>
      <c r="L26" s="10">
        <v>0</v>
      </c>
      <c r="M26" s="10">
        <f t="shared" si="2"/>
        <v>1244</v>
      </c>
      <c r="N26" s="10">
        <f t="shared" si="3"/>
        <v>42623</v>
      </c>
    </row>
    <row r="27" spans="1:14" x14ac:dyDescent="0.2"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57</v>
      </c>
      <c r="D28" s="6">
        <v>568</v>
      </c>
      <c r="E28" s="19">
        <f>ROUND(F28/C28,2)</f>
        <v>641.77</v>
      </c>
      <c r="F28" s="17">
        <v>36581</v>
      </c>
      <c r="G28" s="6">
        <v>1809</v>
      </c>
      <c r="H28" s="11">
        <f t="shared" si="0"/>
        <v>1027512</v>
      </c>
      <c r="I28" s="18">
        <v>3.1099999999999999E-2</v>
      </c>
      <c r="J28" s="10">
        <f t="shared" si="1"/>
        <v>31956</v>
      </c>
      <c r="K28" s="10">
        <f>+'22a&amp;b'!BT29</f>
        <v>231</v>
      </c>
      <c r="L28" s="10">
        <v>0</v>
      </c>
      <c r="M28" s="10">
        <f t="shared" si="2"/>
        <v>231</v>
      </c>
      <c r="N28" s="10">
        <f t="shared" si="3"/>
        <v>68768</v>
      </c>
    </row>
    <row r="29" spans="1:14" x14ac:dyDescent="0.2">
      <c r="C29" s="6" t="s">
        <v>201</v>
      </c>
      <c r="D29" s="6" t="s">
        <v>201</v>
      </c>
      <c r="E29" s="6"/>
      <c r="F29" s="6" t="s">
        <v>201</v>
      </c>
      <c r="G29" s="6"/>
      <c r="H29" s="6" t="s">
        <v>201</v>
      </c>
      <c r="I29" s="18"/>
      <c r="J29" s="6" t="s">
        <v>201</v>
      </c>
      <c r="K29" s="6" t="s">
        <v>201</v>
      </c>
      <c r="L29" s="6" t="s">
        <v>201</v>
      </c>
      <c r="M29" s="6" t="s">
        <v>201</v>
      </c>
      <c r="N29" s="6" t="s">
        <v>201</v>
      </c>
    </row>
    <row r="30" spans="1:14" x14ac:dyDescent="0.2">
      <c r="A30" t="s">
        <v>39</v>
      </c>
      <c r="C30" s="6">
        <f>SUM(C17:C28)</f>
        <v>196</v>
      </c>
      <c r="D30" s="6">
        <f>SUM(D17:D28)</f>
        <v>1989</v>
      </c>
      <c r="E30" s="3"/>
      <c r="F30" s="17">
        <f>SUM(F17:F28)</f>
        <v>176879</v>
      </c>
      <c r="G30" s="6"/>
      <c r="H30" s="6">
        <f>SUM(H17:H28)</f>
        <v>2456841</v>
      </c>
      <c r="I30" s="18"/>
      <c r="J30" s="17">
        <f>SUM(J17:J28)</f>
        <v>76435</v>
      </c>
      <c r="K30" s="10">
        <f>SUM(K16:K28)</f>
        <v>1656</v>
      </c>
      <c r="L30" s="10">
        <f>SUM(L17:L28)</f>
        <v>5520</v>
      </c>
      <c r="M30" s="10">
        <f>SUM(M17:M28)</f>
        <v>7176</v>
      </c>
      <c r="N30" s="10">
        <f>SUM(N17:N28)</f>
        <v>260490</v>
      </c>
    </row>
    <row r="31" spans="1:14" x14ac:dyDescent="0.2">
      <c r="C31" s="3" t="s">
        <v>94</v>
      </c>
      <c r="D31" s="3" t="s">
        <v>94</v>
      </c>
      <c r="E31" s="3"/>
      <c r="F31" s="3" t="s">
        <v>94</v>
      </c>
      <c r="G31" s="6"/>
      <c r="H31" s="3" t="s">
        <v>94</v>
      </c>
      <c r="I31" s="3"/>
      <c r="J31" s="3" t="s">
        <v>94</v>
      </c>
      <c r="K31" s="3" t="s">
        <v>94</v>
      </c>
      <c r="L31" s="3" t="s">
        <v>94</v>
      </c>
      <c r="M31" s="3" t="s">
        <v>94</v>
      </c>
      <c r="N31" s="3" t="s">
        <v>94</v>
      </c>
    </row>
    <row r="32" spans="1:14" x14ac:dyDescent="0.2">
      <c r="C32" s="3"/>
      <c r="D32" s="3"/>
      <c r="E32" s="3"/>
      <c r="F32" s="3"/>
      <c r="G32" s="6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6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6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125</v>
      </c>
      <c r="D35" s="6">
        <v>923</v>
      </c>
      <c r="E35" s="19">
        <f>ROUND(F35/C35,2)</f>
        <v>432.92</v>
      </c>
      <c r="F35" s="10">
        <v>54115</v>
      </c>
      <c r="G35" s="6">
        <v>0</v>
      </c>
      <c r="H35" s="11">
        <f>D35*G35</f>
        <v>0</v>
      </c>
      <c r="I35" s="18" t="s">
        <v>38</v>
      </c>
      <c r="J35" s="10">
        <v>0</v>
      </c>
      <c r="K35" s="10">
        <v>0</v>
      </c>
      <c r="L35" s="10">
        <f>F35*0.05</f>
        <v>2705.75</v>
      </c>
      <c r="M35" s="10">
        <f>+K35+L35</f>
        <v>2705.75</v>
      </c>
      <c r="N35" s="10">
        <f>+F35+J35+M35</f>
        <v>56820.75</v>
      </c>
    </row>
    <row r="36" spans="1:14" x14ac:dyDescent="0.2">
      <c r="A36" t="s">
        <v>42</v>
      </c>
      <c r="C36" s="3">
        <v>8</v>
      </c>
      <c r="D36" s="6">
        <v>104</v>
      </c>
      <c r="E36" s="19">
        <f>ROUND(F36/C36,2)</f>
        <v>3711</v>
      </c>
      <c r="F36" s="10">
        <f>29687+1</f>
        <v>29688</v>
      </c>
      <c r="G36" s="6">
        <v>0</v>
      </c>
      <c r="H36" s="11">
        <f>D36*G36</f>
        <v>0</v>
      </c>
      <c r="I36" s="18" t="s">
        <v>38</v>
      </c>
      <c r="J36" s="10">
        <v>0</v>
      </c>
      <c r="K36" s="10">
        <v>0</v>
      </c>
      <c r="L36" s="10">
        <f>F36*0.05</f>
        <v>1484.4</v>
      </c>
      <c r="M36" s="10">
        <f>+K36+L36</f>
        <v>1484.4</v>
      </c>
      <c r="N36" s="10">
        <f>+F36+J36+M36</f>
        <v>31172.400000000001</v>
      </c>
    </row>
    <row r="37" spans="1:14" x14ac:dyDescent="0.2">
      <c r="A37" t="s">
        <v>43</v>
      </c>
      <c r="C37" s="3">
        <v>7</v>
      </c>
      <c r="D37" s="6">
        <v>101</v>
      </c>
      <c r="E37" s="19">
        <f>ROUND(F37/C37,2)</f>
        <v>2552.71</v>
      </c>
      <c r="F37" s="10">
        <v>17869</v>
      </c>
      <c r="G37" s="6">
        <v>13282</v>
      </c>
      <c r="H37" s="11">
        <f>D37*G37</f>
        <v>1341482</v>
      </c>
      <c r="I37" s="18">
        <v>4.2349999999999999E-2</v>
      </c>
      <c r="J37" s="10">
        <f>ROUND(H37*I37,0)</f>
        <v>56812</v>
      </c>
      <c r="K37" s="10">
        <f>+'22a&amp;b'!BT80</f>
        <v>1628</v>
      </c>
      <c r="L37" s="10">
        <v>0</v>
      </c>
      <c r="M37" s="10">
        <f>+K37+L37</f>
        <v>1628</v>
      </c>
      <c r="N37" s="10">
        <f>+F37+J37+M37</f>
        <v>76309</v>
      </c>
    </row>
    <row r="38" spans="1:14" x14ac:dyDescent="0.2">
      <c r="A38" t="s">
        <v>44</v>
      </c>
      <c r="C38" s="3">
        <v>5</v>
      </c>
      <c r="D38" s="6">
        <v>42</v>
      </c>
      <c r="E38" s="19">
        <f>ROUND(F38/C38,2)</f>
        <v>1394.6</v>
      </c>
      <c r="F38" s="10">
        <v>6973</v>
      </c>
      <c r="G38" s="6">
        <v>14101</v>
      </c>
      <c r="H38" s="11">
        <f>D38*G38</f>
        <v>592242</v>
      </c>
      <c r="I38" s="18">
        <v>4.2770000000000002E-2</v>
      </c>
      <c r="J38" s="10">
        <f>ROUND(H38*I38,0)</f>
        <v>25330</v>
      </c>
      <c r="K38" s="10">
        <f>+'22a&amp;b'!BT81</f>
        <v>1312</v>
      </c>
      <c r="L38" s="10">
        <v>0</v>
      </c>
      <c r="M38" s="10">
        <f>+K38+L38</f>
        <v>1312</v>
      </c>
      <c r="N38" s="10">
        <f>+F38+J38+M38</f>
        <v>33615</v>
      </c>
    </row>
    <row r="39" spans="1:14" x14ac:dyDescent="0.2">
      <c r="C39" s="6" t="s">
        <v>201</v>
      </c>
      <c r="D39" s="6" t="s">
        <v>201</v>
      </c>
      <c r="E39" s="6"/>
      <c r="F39" s="6" t="s">
        <v>201</v>
      </c>
      <c r="G39" s="6"/>
      <c r="H39" s="6" t="s">
        <v>201</v>
      </c>
      <c r="I39" s="6"/>
      <c r="J39" s="6" t="s">
        <v>201</v>
      </c>
      <c r="K39" s="6" t="s">
        <v>201</v>
      </c>
      <c r="L39" s="6" t="s">
        <v>201</v>
      </c>
      <c r="M39" s="6" t="s">
        <v>201</v>
      </c>
      <c r="N39" s="6" t="s">
        <v>201</v>
      </c>
    </row>
    <row r="40" spans="1:14" x14ac:dyDescent="0.2">
      <c r="A40" t="s">
        <v>45</v>
      </c>
      <c r="C40" s="3">
        <f>SUM(C35:C38)</f>
        <v>145</v>
      </c>
      <c r="D40" s="6">
        <f>SUM(D35:D38)</f>
        <v>1170</v>
      </c>
      <c r="E40" s="3"/>
      <c r="F40" s="17">
        <f>SUM(F35:F38)</f>
        <v>108645</v>
      </c>
      <c r="G40" s="6"/>
      <c r="H40" s="6">
        <f>SUM(H35:H38)</f>
        <v>1933724</v>
      </c>
      <c r="I40" s="18"/>
      <c r="J40" s="17">
        <f>SUM(J35:J38)</f>
        <v>82142</v>
      </c>
      <c r="K40" s="10">
        <f>SUM(K34:K38)</f>
        <v>2940</v>
      </c>
      <c r="L40" s="10">
        <f>SUM(L34:L38)</f>
        <v>4190.1499999999996</v>
      </c>
      <c r="M40" s="10">
        <f>SUM(M34:M38)</f>
        <v>7130.15</v>
      </c>
      <c r="N40" s="10">
        <f>SUM(N34:N38)</f>
        <v>197917.15</v>
      </c>
    </row>
    <row r="41" spans="1:14" x14ac:dyDescent="0.2">
      <c r="C41" s="3" t="s">
        <v>94</v>
      </c>
      <c r="D41" s="3" t="s">
        <v>94</v>
      </c>
      <c r="E41" s="3"/>
      <c r="F41" s="3" t="s">
        <v>94</v>
      </c>
      <c r="G41" s="6"/>
      <c r="H41" s="3" t="s">
        <v>94</v>
      </c>
      <c r="I41" s="3"/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</row>
    <row r="42" spans="1:14" x14ac:dyDescent="0.2">
      <c r="C42" s="3"/>
      <c r="D42" s="3"/>
      <c r="E42" s="3"/>
      <c r="F42" s="3"/>
      <c r="G42" s="6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6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6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6">
        <v>0</v>
      </c>
      <c r="H46" s="3">
        <v>0</v>
      </c>
      <c r="I46" s="18" t="s">
        <v>38</v>
      </c>
      <c r="J46" s="3"/>
      <c r="K46" s="10"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6">
        <v>0</v>
      </c>
      <c r="H47" s="3">
        <v>0</v>
      </c>
      <c r="I47" s="18" t="s">
        <v>38</v>
      </c>
      <c r="J47" s="3"/>
      <c r="K47" s="10"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6">
        <v>0</v>
      </c>
      <c r="H48" s="3">
        <v>0</v>
      </c>
      <c r="I48" s="18">
        <v>0</v>
      </c>
      <c r="J48" s="10">
        <f>ROUND(H48*I48,0)</f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>
        <v>0</v>
      </c>
      <c r="J49" s="10">
        <f>ROUND(H49*I49,0)</f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C50" s="6" t="s">
        <v>201</v>
      </c>
      <c r="D50" s="6" t="s">
        <v>201</v>
      </c>
      <c r="E50" s="6"/>
      <c r="F50" s="6" t="s">
        <v>201</v>
      </c>
      <c r="G50" s="6"/>
      <c r="H50" s="6" t="s">
        <v>201</v>
      </c>
      <c r="I50" s="18"/>
      <c r="J50" s="6" t="s">
        <v>201</v>
      </c>
      <c r="K50" s="6" t="s">
        <v>201</v>
      </c>
      <c r="L50" s="6" t="s">
        <v>201</v>
      </c>
      <c r="M50" s="6" t="s">
        <v>201</v>
      </c>
      <c r="N50" s="6" t="s">
        <v>201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6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94</v>
      </c>
      <c r="D52" s="3" t="s">
        <v>94</v>
      </c>
      <c r="E52" s="3"/>
      <c r="F52" s="3" t="s">
        <v>94</v>
      </c>
      <c r="G52" s="6"/>
      <c r="H52" s="3" t="s">
        <v>94</v>
      </c>
      <c r="I52" s="3"/>
      <c r="J52" s="3" t="s">
        <v>94</v>
      </c>
      <c r="K52" s="3" t="s">
        <v>94</v>
      </c>
      <c r="L52" s="3" t="s">
        <v>94</v>
      </c>
      <c r="M52" s="3" t="s">
        <v>94</v>
      </c>
      <c r="N52" s="3" t="s">
        <v>94</v>
      </c>
    </row>
    <row r="53" spans="1:14" x14ac:dyDescent="0.2">
      <c r="A53" t="s">
        <v>52</v>
      </c>
      <c r="C53" s="6">
        <f>+C30+C40+C51</f>
        <v>341</v>
      </c>
      <c r="D53" s="6">
        <f>+D30+D40+D51</f>
        <v>3159</v>
      </c>
      <c r="E53" s="3"/>
      <c r="F53" s="17">
        <f>+F30+F40+F51</f>
        <v>285524</v>
      </c>
      <c r="G53" s="6"/>
      <c r="H53" s="6">
        <f>+H30+H40+H51</f>
        <v>4390565</v>
      </c>
      <c r="I53" s="18"/>
      <c r="J53" s="17">
        <f>+J30+J40+J51</f>
        <v>158577</v>
      </c>
      <c r="K53" s="10">
        <f>+K30+K40+K51</f>
        <v>4596</v>
      </c>
      <c r="L53" s="10">
        <f>+L30+L40+L51</f>
        <v>9710.15</v>
      </c>
      <c r="M53" s="10">
        <f>+M30+M40+M51</f>
        <v>14306.15</v>
      </c>
      <c r="N53" s="10">
        <f>+N30+N40+N51</f>
        <v>458407.15</v>
      </c>
    </row>
    <row r="54" spans="1:14" x14ac:dyDescent="0.2">
      <c r="C54" s="3" t="s">
        <v>94</v>
      </c>
      <c r="D54" s="3" t="s">
        <v>94</v>
      </c>
      <c r="E54" s="3"/>
      <c r="F54" s="3" t="s">
        <v>94</v>
      </c>
      <c r="G54" s="6"/>
      <c r="H54" s="3" t="s">
        <v>94</v>
      </c>
      <c r="I54" s="3"/>
      <c r="J54" s="3" t="s">
        <v>94</v>
      </c>
      <c r="K54" s="3" t="s">
        <v>94</v>
      </c>
      <c r="L54" s="3" t="s">
        <v>94</v>
      </c>
      <c r="M54" s="3" t="s">
        <v>94</v>
      </c>
      <c r="N54" s="3" t="s">
        <v>94</v>
      </c>
    </row>
    <row r="56" spans="1:14" x14ac:dyDescent="0.2">
      <c r="A56" t="s">
        <v>108</v>
      </c>
    </row>
    <row r="57" spans="1:14" x14ac:dyDescent="0.2">
      <c r="A57" t="s">
        <v>213</v>
      </c>
    </row>
    <row r="58" spans="1:14" x14ac:dyDescent="0.2">
      <c r="A58" t="s">
        <v>214</v>
      </c>
    </row>
  </sheetData>
  <phoneticPr fontId="0" type="noConversion"/>
  <printOptions horizontalCentered="1" verticalCentered="1" gridLines="1"/>
  <pageMargins left="0" right="0" top="0.5" bottom="0" header="0" footer="0"/>
  <pageSetup scale="7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58"/>
  <sheetViews>
    <sheetView workbookViewId="0">
      <pane xSplit="2" ySplit="14" topLeftCell="C15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1.7109375" customWidth="1"/>
    <col min="2" max="2" width="1.7109375" customWidth="1"/>
    <col min="3" max="3" width="14.7109375" customWidth="1"/>
    <col min="4" max="4" width="14.28515625" bestFit="1" customWidth="1"/>
    <col min="5" max="5" width="12.85546875" bestFit="1" customWidth="1"/>
    <col min="6" max="6" width="14.28515625" bestFit="1" customWidth="1"/>
    <col min="7" max="7" width="13.85546875" bestFit="1" customWidth="1"/>
    <col min="8" max="8" width="15.28515625" customWidth="1"/>
    <col min="9" max="9" width="10" bestFit="1" customWidth="1"/>
    <col min="10" max="10" width="11.5703125" customWidth="1"/>
    <col min="11" max="12" width="16" bestFit="1" customWidth="1"/>
    <col min="13" max="13" width="12.42578125" customWidth="1"/>
    <col min="14" max="14" width="15.7109375" customWidth="1"/>
  </cols>
  <sheetData>
    <row r="1" spans="1:14" x14ac:dyDescent="0.2">
      <c r="A1" s="45" t="s">
        <v>176</v>
      </c>
      <c r="B1" s="14"/>
    </row>
    <row r="2" spans="1:14" x14ac:dyDescent="0.2">
      <c r="A2" s="24"/>
      <c r="I2" s="35"/>
    </row>
    <row r="6" spans="1:14" x14ac:dyDescent="0.2">
      <c r="A6" s="28" t="s">
        <v>0</v>
      </c>
      <c r="H6" s="15"/>
      <c r="M6" s="37" t="s">
        <v>140</v>
      </c>
    </row>
    <row r="7" spans="1:14" ht="25.5" x14ac:dyDescent="0.2">
      <c r="A7" s="36" t="s">
        <v>206</v>
      </c>
      <c r="M7" s="1" t="s">
        <v>179</v>
      </c>
      <c r="N7" s="2">
        <f>+'Y1'!M7</f>
        <v>24</v>
      </c>
    </row>
    <row r="11" spans="1:14" ht="25.5" x14ac:dyDescent="0.2">
      <c r="A11" t="s">
        <v>216</v>
      </c>
      <c r="C11" s="12" t="s">
        <v>57</v>
      </c>
      <c r="D11" s="12" t="s">
        <v>58</v>
      </c>
      <c r="E11" s="8" t="s">
        <v>59</v>
      </c>
      <c r="F11" s="8" t="s">
        <v>205</v>
      </c>
      <c r="G11" s="12" t="s">
        <v>61</v>
      </c>
      <c r="H11" s="12" t="s">
        <v>4</v>
      </c>
      <c r="I11" s="8" t="s">
        <v>194</v>
      </c>
      <c r="J11" s="8" t="s">
        <v>198</v>
      </c>
      <c r="K11" s="12" t="s">
        <v>63</v>
      </c>
      <c r="L11" s="12" t="s">
        <v>64</v>
      </c>
      <c r="M11" s="12"/>
      <c r="N11" s="8" t="s">
        <v>215</v>
      </c>
    </row>
    <row r="12" spans="1:14" ht="25.5" x14ac:dyDescent="0.2">
      <c r="C12" s="12" t="s">
        <v>66</v>
      </c>
      <c r="D12" s="12" t="s">
        <v>66</v>
      </c>
      <c r="E12" s="8" t="s">
        <v>67</v>
      </c>
      <c r="F12" s="12" t="s">
        <v>27</v>
      </c>
      <c r="G12" s="12" t="s">
        <v>106</v>
      </c>
      <c r="H12" s="8" t="s">
        <v>69</v>
      </c>
      <c r="I12" s="12" t="s">
        <v>70</v>
      </c>
      <c r="J12" s="12" t="s">
        <v>71</v>
      </c>
      <c r="K12" s="12" t="s">
        <v>72</v>
      </c>
      <c r="L12" s="12" t="s">
        <v>72</v>
      </c>
      <c r="M12" s="12" t="s">
        <v>73</v>
      </c>
      <c r="N12" s="12" t="s">
        <v>74</v>
      </c>
    </row>
    <row r="13" spans="1:14" ht="25.5" x14ac:dyDescent="0.2">
      <c r="A13" t="s">
        <v>28</v>
      </c>
      <c r="C13" s="12" t="s">
        <v>75</v>
      </c>
      <c r="D13" s="12" t="s">
        <v>119</v>
      </c>
      <c r="E13" s="29" t="s">
        <v>76</v>
      </c>
      <c r="F13" s="12" t="s">
        <v>77</v>
      </c>
      <c r="G13" s="12" t="s">
        <v>78</v>
      </c>
      <c r="H13" s="30" t="s">
        <v>120</v>
      </c>
      <c r="I13" s="12" t="s">
        <v>80</v>
      </c>
      <c r="J13" s="12" t="s">
        <v>81</v>
      </c>
      <c r="K13" s="8" t="str">
        <f>+'Y1'!J13</f>
        <v>(EX. C,                            PG.23C)</v>
      </c>
      <c r="L13" s="12" t="s">
        <v>82</v>
      </c>
      <c r="M13" s="12" t="s">
        <v>72</v>
      </c>
      <c r="N13" s="12" t="s">
        <v>83</v>
      </c>
    </row>
    <row r="14" spans="1:14" x14ac:dyDescent="0.2">
      <c r="C14" s="7">
        <v>-1</v>
      </c>
      <c r="D14" s="7">
        <v>-2</v>
      </c>
      <c r="E14" s="7">
        <v>-3</v>
      </c>
      <c r="F14" s="7">
        <v>-4</v>
      </c>
      <c r="G14" s="7">
        <v>-5</v>
      </c>
      <c r="H14" s="7">
        <v>-6</v>
      </c>
      <c r="I14" s="7">
        <v>-7</v>
      </c>
      <c r="J14" s="7">
        <v>-8</v>
      </c>
      <c r="K14" s="7">
        <v>-9</v>
      </c>
      <c r="L14" s="7">
        <v>-10</v>
      </c>
      <c r="M14" s="7">
        <v>-11</v>
      </c>
      <c r="N14" s="7">
        <v>-12</v>
      </c>
    </row>
    <row r="15" spans="1:14" x14ac:dyDescent="0.2">
      <c r="C15" s="12"/>
      <c r="D15" s="12"/>
      <c r="E15" s="12"/>
      <c r="F15" s="12" t="s">
        <v>84</v>
      </c>
      <c r="G15" s="12"/>
      <c r="H15" s="12" t="s">
        <v>85</v>
      </c>
      <c r="I15" s="12"/>
      <c r="J15" s="12" t="s">
        <v>86</v>
      </c>
      <c r="K15" s="12"/>
      <c r="L15" s="12" t="s">
        <v>87</v>
      </c>
      <c r="M15" s="12" t="s">
        <v>88</v>
      </c>
      <c r="N15" s="12" t="s">
        <v>89</v>
      </c>
    </row>
    <row r="16" spans="1:14" x14ac:dyDescent="0.2">
      <c r="A16" t="s">
        <v>29</v>
      </c>
    </row>
    <row r="17" spans="1:14" x14ac:dyDescent="0.2">
      <c r="A17" t="s">
        <v>30</v>
      </c>
      <c r="C17" s="6">
        <v>0</v>
      </c>
      <c r="D17" s="6">
        <v>0</v>
      </c>
      <c r="E17" s="19">
        <v>0</v>
      </c>
      <c r="F17" s="17">
        <v>0</v>
      </c>
      <c r="G17" s="6">
        <v>706</v>
      </c>
      <c r="H17" s="11">
        <f>D17*G17</f>
        <v>0</v>
      </c>
      <c r="I17" s="18">
        <v>3.1119999999999998E-2</v>
      </c>
      <c r="J17" s="10">
        <f>ROUND(H17*I17,0)</f>
        <v>0</v>
      </c>
      <c r="K17" s="10">
        <f>+'22a&amp;b'!BU13</f>
        <v>0</v>
      </c>
      <c r="L17" s="10">
        <f>ROUND(F17*0.05,0)</f>
        <v>0</v>
      </c>
      <c r="M17" s="10">
        <f>+K17+L17</f>
        <v>0</v>
      </c>
      <c r="N17" s="10">
        <f>+F17+J17+M17</f>
        <v>0</v>
      </c>
    </row>
    <row r="18" spans="1:14" x14ac:dyDescent="0.2">
      <c r="A18" s="22" t="s">
        <v>184</v>
      </c>
      <c r="C18" s="6">
        <v>76</v>
      </c>
      <c r="D18" s="6">
        <v>457</v>
      </c>
      <c r="E18" s="19">
        <f>ROUND(F18/C18,2)</f>
        <v>1039.33</v>
      </c>
      <c r="F18" s="17">
        <v>78989</v>
      </c>
      <c r="G18" s="6">
        <v>1028</v>
      </c>
      <c r="H18" s="11">
        <f t="shared" ref="H18:H28" si="0">D18*G18</f>
        <v>469796</v>
      </c>
      <c r="I18" s="18">
        <v>3.1109999999999999E-2</v>
      </c>
      <c r="J18" s="10">
        <f t="shared" ref="J18:J28" si="1">ROUND(H18*I18,0)</f>
        <v>14615</v>
      </c>
      <c r="K18" s="10">
        <f>+'22a&amp;b'!BU16</f>
        <v>0</v>
      </c>
      <c r="L18" s="10">
        <f>ROUND(F18*0.05,0)</f>
        <v>3949</v>
      </c>
      <c r="M18" s="10">
        <f t="shared" ref="M18:M28" si="2">+K18+L18</f>
        <v>3949</v>
      </c>
      <c r="N18" s="10">
        <f>+F18+J18+M18</f>
        <v>97553</v>
      </c>
    </row>
    <row r="19" spans="1:14" x14ac:dyDescent="0.2">
      <c r="A19" t="s">
        <v>32</v>
      </c>
      <c r="C19" s="6">
        <v>13</v>
      </c>
      <c r="D19" s="6">
        <v>156</v>
      </c>
      <c r="E19" s="19">
        <f>ROUND(F19/C19,2)</f>
        <v>85.92</v>
      </c>
      <c r="F19" s="17">
        <v>1117</v>
      </c>
      <c r="G19" s="6">
        <v>315</v>
      </c>
      <c r="H19" s="11">
        <f t="shared" si="0"/>
        <v>49140</v>
      </c>
      <c r="I19" s="18">
        <v>3.124E-2</v>
      </c>
      <c r="J19" s="10">
        <f t="shared" si="1"/>
        <v>1535</v>
      </c>
      <c r="K19" s="10">
        <f>+'22a&amp;b'!BU17</f>
        <v>56</v>
      </c>
      <c r="L19" s="10">
        <v>0</v>
      </c>
      <c r="M19" s="10">
        <f t="shared" si="2"/>
        <v>56</v>
      </c>
      <c r="N19" s="10">
        <f t="shared" ref="N19:N28" si="3">+F19+J19+M19</f>
        <v>2708</v>
      </c>
    </row>
    <row r="20" spans="1:14" x14ac:dyDescent="0.2"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33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 t="shared" si="0"/>
        <v>0</v>
      </c>
      <c r="I21" s="18">
        <v>0</v>
      </c>
      <c r="J21" s="10">
        <f t="shared" si="1"/>
        <v>0</v>
      </c>
      <c r="K21" s="10">
        <f>+'22a&amp;b'!BU19</f>
        <v>0</v>
      </c>
      <c r="L21" s="10">
        <f>ROUND(F21*0.05,0)</f>
        <v>0</v>
      </c>
      <c r="M21" s="10">
        <f t="shared" si="2"/>
        <v>0</v>
      </c>
      <c r="N21" s="10">
        <f t="shared" si="3"/>
        <v>0</v>
      </c>
    </row>
    <row r="22" spans="1:14" x14ac:dyDescent="0.2">
      <c r="C22" s="6"/>
      <c r="D22" s="6"/>
      <c r="E22" s="19"/>
      <c r="F22" s="17"/>
      <c r="G22" s="6"/>
      <c r="H22" s="11"/>
      <c r="I22" s="18"/>
      <c r="J22" s="10"/>
      <c r="K22" s="10"/>
      <c r="L22" s="10"/>
      <c r="M22" s="10"/>
      <c r="N22" s="10"/>
    </row>
    <row r="23" spans="1:14" x14ac:dyDescent="0.2">
      <c r="A23" t="s">
        <v>34</v>
      </c>
      <c r="C23" s="6">
        <v>0</v>
      </c>
      <c r="D23" s="6">
        <v>177</v>
      </c>
      <c r="E23" s="19">
        <v>0</v>
      </c>
      <c r="F23" s="17">
        <v>-352</v>
      </c>
      <c r="G23" s="6">
        <v>1200</v>
      </c>
      <c r="H23" s="11">
        <f t="shared" si="0"/>
        <v>212400</v>
      </c>
      <c r="I23" s="18">
        <v>3.1140000000000001E-2</v>
      </c>
      <c r="J23" s="10">
        <f t="shared" si="1"/>
        <v>6614</v>
      </c>
      <c r="K23" s="10">
        <f>+'22a&amp;b'!BU22</f>
        <v>0</v>
      </c>
      <c r="L23" s="10">
        <v>0</v>
      </c>
      <c r="M23" s="10">
        <f t="shared" si="2"/>
        <v>0</v>
      </c>
      <c r="N23" s="10">
        <f t="shared" si="3"/>
        <v>6262</v>
      </c>
    </row>
    <row r="24" spans="1:14" x14ac:dyDescent="0.2">
      <c r="A24" t="s">
        <v>35</v>
      </c>
      <c r="C24" s="6">
        <v>0</v>
      </c>
      <c r="D24" s="6">
        <v>0</v>
      </c>
      <c r="E24" s="19">
        <v>0</v>
      </c>
      <c r="F24" s="17">
        <v>0</v>
      </c>
      <c r="G24" s="6">
        <v>446</v>
      </c>
      <c r="H24" s="11">
        <f t="shared" si="0"/>
        <v>0</v>
      </c>
      <c r="I24" s="18">
        <v>3.116E-2</v>
      </c>
      <c r="J24" s="10">
        <f t="shared" si="1"/>
        <v>0</v>
      </c>
      <c r="K24" s="10">
        <f>+'22a&amp;b'!BU23</f>
        <v>0</v>
      </c>
      <c r="L24" s="10">
        <f>ROUND(F24*0.05,0)</f>
        <v>0</v>
      </c>
      <c r="M24" s="10">
        <f t="shared" si="2"/>
        <v>0</v>
      </c>
      <c r="N24" s="10">
        <f t="shared" si="3"/>
        <v>0</v>
      </c>
    </row>
    <row r="25" spans="1:14" x14ac:dyDescent="0.2">
      <c r="C25" s="6"/>
      <c r="D25" s="6"/>
      <c r="E25" s="19"/>
      <c r="F25" s="17"/>
      <c r="G25" s="6"/>
      <c r="H25" s="11"/>
      <c r="I25" s="18"/>
      <c r="J25" s="10"/>
      <c r="K25" s="10"/>
      <c r="L25" s="10"/>
      <c r="M25" s="10"/>
      <c r="N25" s="10"/>
    </row>
    <row r="26" spans="1:14" x14ac:dyDescent="0.2">
      <c r="A26" t="s">
        <v>36</v>
      </c>
      <c r="C26" s="6">
        <v>43</v>
      </c>
      <c r="D26" s="6">
        <v>308</v>
      </c>
      <c r="E26" s="19">
        <f>ROUND(F26/C26,2)</f>
        <v>603.84</v>
      </c>
      <c r="F26" s="17">
        <v>25965</v>
      </c>
      <c r="G26" s="6">
        <v>1144</v>
      </c>
      <c r="H26" s="11">
        <f t="shared" si="0"/>
        <v>352352</v>
      </c>
      <c r="I26" s="18">
        <v>3.1099999999999999E-2</v>
      </c>
      <c r="J26" s="10">
        <f t="shared" si="1"/>
        <v>10958</v>
      </c>
      <c r="K26" s="10">
        <f>+'22a&amp;b'!BU26</f>
        <v>1244</v>
      </c>
      <c r="L26" s="10">
        <v>0</v>
      </c>
      <c r="M26" s="10">
        <f t="shared" si="2"/>
        <v>1244</v>
      </c>
      <c r="N26" s="10">
        <f t="shared" si="3"/>
        <v>38167</v>
      </c>
    </row>
    <row r="27" spans="1:14" x14ac:dyDescent="0.2"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4" x14ac:dyDescent="0.2">
      <c r="A28" t="s">
        <v>121</v>
      </c>
      <c r="C28" s="6">
        <v>61</v>
      </c>
      <c r="D28" s="6">
        <v>519</v>
      </c>
      <c r="E28" s="19">
        <f>ROUND(F28/C28,2)</f>
        <v>644.46</v>
      </c>
      <c r="F28" s="17">
        <v>39312</v>
      </c>
      <c r="G28" s="6">
        <v>1809</v>
      </c>
      <c r="H28" s="11">
        <f t="shared" si="0"/>
        <v>938871</v>
      </c>
      <c r="I28" s="18">
        <v>3.1099999999999999E-2</v>
      </c>
      <c r="J28" s="10">
        <f t="shared" si="1"/>
        <v>29199</v>
      </c>
      <c r="K28" s="10">
        <f>+'22a&amp;b'!BU29</f>
        <v>248</v>
      </c>
      <c r="L28" s="10">
        <v>0</v>
      </c>
      <c r="M28" s="10">
        <f t="shared" si="2"/>
        <v>248</v>
      </c>
      <c r="N28" s="10">
        <f t="shared" si="3"/>
        <v>68759</v>
      </c>
    </row>
    <row r="29" spans="1:14" x14ac:dyDescent="0.2">
      <c r="C29" s="6" t="s">
        <v>201</v>
      </c>
      <c r="D29" s="6" t="s">
        <v>201</v>
      </c>
      <c r="E29" s="6"/>
      <c r="F29" s="6" t="s">
        <v>201</v>
      </c>
      <c r="G29" s="6"/>
      <c r="H29" s="6" t="s">
        <v>201</v>
      </c>
      <c r="I29" s="18"/>
      <c r="J29" s="6" t="s">
        <v>201</v>
      </c>
      <c r="K29" s="6" t="s">
        <v>201</v>
      </c>
      <c r="L29" s="6" t="s">
        <v>201</v>
      </c>
      <c r="M29" s="6" t="s">
        <v>201</v>
      </c>
      <c r="N29" s="6" t="s">
        <v>201</v>
      </c>
    </row>
    <row r="30" spans="1:14" x14ac:dyDescent="0.2">
      <c r="A30" t="s">
        <v>39</v>
      </c>
      <c r="C30" s="6">
        <f>SUM(C17:C28)</f>
        <v>193</v>
      </c>
      <c r="D30" s="6">
        <f>SUM(D17:D28)</f>
        <v>1617</v>
      </c>
      <c r="E30" s="3"/>
      <c r="F30" s="17">
        <f>SUM(F17:F28)</f>
        <v>145031</v>
      </c>
      <c r="G30" s="6"/>
      <c r="H30" s="6">
        <f>SUM(H17:H28)</f>
        <v>2022559</v>
      </c>
      <c r="I30" s="18"/>
      <c r="J30" s="17">
        <f>SUM(J17:J28)</f>
        <v>62921</v>
      </c>
      <c r="K30" s="10">
        <f>SUM(K16:K28)</f>
        <v>1548</v>
      </c>
      <c r="L30" s="10">
        <f>SUM(L17:L28)</f>
        <v>3949</v>
      </c>
      <c r="M30" s="10">
        <f>SUM(M17:M28)</f>
        <v>5497</v>
      </c>
      <c r="N30" s="10">
        <f>SUM(N17:N28)</f>
        <v>213449</v>
      </c>
    </row>
    <row r="31" spans="1:14" x14ac:dyDescent="0.2">
      <c r="C31" s="3" t="s">
        <v>94</v>
      </c>
      <c r="D31" s="3" t="s">
        <v>94</v>
      </c>
      <c r="E31" s="3"/>
      <c r="F31" s="3" t="s">
        <v>94</v>
      </c>
      <c r="G31" s="6"/>
      <c r="H31" s="3" t="s">
        <v>94</v>
      </c>
      <c r="I31" s="3"/>
      <c r="J31" s="3" t="s">
        <v>94</v>
      </c>
      <c r="K31" s="3" t="s">
        <v>94</v>
      </c>
      <c r="L31" s="3" t="s">
        <v>94</v>
      </c>
      <c r="M31" s="3" t="s">
        <v>94</v>
      </c>
      <c r="N31" s="3" t="s">
        <v>94</v>
      </c>
    </row>
    <row r="32" spans="1:14" x14ac:dyDescent="0.2">
      <c r="C32" s="3"/>
      <c r="D32" s="3"/>
      <c r="E32" s="3"/>
      <c r="F32" s="3"/>
      <c r="G32" s="6"/>
      <c r="H32" s="3"/>
      <c r="I32" s="18"/>
      <c r="J32" s="3"/>
      <c r="K32" s="3"/>
      <c r="L32" s="3"/>
      <c r="M32" s="3"/>
      <c r="N32" s="3"/>
    </row>
    <row r="33" spans="1:14" x14ac:dyDescent="0.2">
      <c r="C33" s="3"/>
      <c r="D33" s="3"/>
      <c r="E33" s="3"/>
      <c r="F33" s="3"/>
      <c r="G33" s="6"/>
      <c r="H33" s="3"/>
      <c r="I33" s="18"/>
      <c r="J33" s="3"/>
      <c r="K33" s="3"/>
      <c r="L33" s="3"/>
      <c r="M33" s="3"/>
      <c r="N33" s="3"/>
    </row>
    <row r="34" spans="1:14" x14ac:dyDescent="0.2">
      <c r="A34" t="s">
        <v>40</v>
      </c>
      <c r="C34" s="3"/>
      <c r="D34" s="3"/>
      <c r="E34" s="3"/>
      <c r="F34" s="3"/>
      <c r="G34" s="6"/>
      <c r="H34" s="3"/>
      <c r="I34" s="18"/>
      <c r="J34" s="3"/>
      <c r="K34" s="3"/>
      <c r="L34" s="3"/>
      <c r="M34" s="3"/>
      <c r="N34" s="3"/>
    </row>
    <row r="35" spans="1:14" x14ac:dyDescent="0.2">
      <c r="A35" t="s">
        <v>41</v>
      </c>
      <c r="C35" s="3">
        <v>0</v>
      </c>
      <c r="D35" s="6">
        <v>786</v>
      </c>
      <c r="E35" s="19">
        <v>0</v>
      </c>
      <c r="F35" s="10">
        <v>74422</v>
      </c>
      <c r="G35" s="6">
        <v>0</v>
      </c>
      <c r="H35" s="11">
        <f>D35*G35</f>
        <v>0</v>
      </c>
      <c r="I35" s="18" t="s">
        <v>38</v>
      </c>
      <c r="J35" s="10">
        <v>0</v>
      </c>
      <c r="K35" s="10">
        <f>+'22a&amp;b'!BU78</f>
        <v>0</v>
      </c>
      <c r="L35" s="10">
        <f>F35*0.05</f>
        <v>3721.1000000000004</v>
      </c>
      <c r="M35" s="10">
        <f>+K35+L35</f>
        <v>3721.1000000000004</v>
      </c>
      <c r="N35" s="10">
        <f>+F35+J35+M35</f>
        <v>78143.100000000006</v>
      </c>
    </row>
    <row r="36" spans="1:14" x14ac:dyDescent="0.2">
      <c r="A36" t="s">
        <v>42</v>
      </c>
      <c r="C36" s="3">
        <v>0</v>
      </c>
      <c r="D36" s="6">
        <v>90</v>
      </c>
      <c r="E36" s="19">
        <v>0</v>
      </c>
      <c r="F36" s="10">
        <v>0</v>
      </c>
      <c r="G36" s="6">
        <v>0</v>
      </c>
      <c r="H36" s="11">
        <f>D36*G36</f>
        <v>0</v>
      </c>
      <c r="I36" s="18" t="s">
        <v>38</v>
      </c>
      <c r="J36" s="10">
        <v>0</v>
      </c>
      <c r="K36" s="10">
        <f>+'22a&amp;b'!BU79</f>
        <v>0</v>
      </c>
      <c r="L36" s="10">
        <f>F36*0.05</f>
        <v>0</v>
      </c>
      <c r="M36" s="10">
        <f>+K36+L36</f>
        <v>0</v>
      </c>
      <c r="N36" s="10">
        <f>+F36+J36+M36</f>
        <v>0</v>
      </c>
    </row>
    <row r="37" spans="1:14" x14ac:dyDescent="0.2">
      <c r="A37" t="s">
        <v>43</v>
      </c>
      <c r="C37" s="3">
        <v>25</v>
      </c>
      <c r="D37" s="6">
        <v>97</v>
      </c>
      <c r="E37" s="19">
        <f>ROUND(F37/C37,2)</f>
        <v>909.76</v>
      </c>
      <c r="F37" s="10">
        <v>22744</v>
      </c>
      <c r="G37" s="6">
        <v>13282</v>
      </c>
      <c r="H37" s="11">
        <f>D37*G37</f>
        <v>1288354</v>
      </c>
      <c r="I37" s="18">
        <v>4.2349999999999999E-2</v>
      </c>
      <c r="J37" s="10">
        <f>ROUND(H37*I37,0)</f>
        <v>54562</v>
      </c>
      <c r="K37" s="10">
        <f>+'22a&amp;b'!BU80</f>
        <v>5814</v>
      </c>
      <c r="L37" s="10">
        <v>0</v>
      </c>
      <c r="M37" s="10">
        <f>+K37+L37</f>
        <v>5814</v>
      </c>
      <c r="N37" s="10">
        <f>+F37+J37+M37</f>
        <v>83120</v>
      </c>
    </row>
    <row r="38" spans="1:14" x14ac:dyDescent="0.2">
      <c r="A38" t="s">
        <v>44</v>
      </c>
      <c r="C38" s="3">
        <v>16</v>
      </c>
      <c r="D38" s="6">
        <v>44</v>
      </c>
      <c r="E38" s="19">
        <f>ROUND(F38/C38,2)</f>
        <v>2424.94</v>
      </c>
      <c r="F38" s="10">
        <v>38799</v>
      </c>
      <c r="G38" s="6">
        <v>14102</v>
      </c>
      <c r="H38" s="11">
        <f>D38*G38</f>
        <v>620488</v>
      </c>
      <c r="I38" s="18">
        <v>4.2770000000000002E-2</v>
      </c>
      <c r="J38" s="10">
        <f>ROUND(H38*I38,0)</f>
        <v>26538</v>
      </c>
      <c r="K38" s="10">
        <f>+'22a&amp;b'!BU81</f>
        <v>4197</v>
      </c>
      <c r="L38" s="10">
        <v>0</v>
      </c>
      <c r="M38" s="10">
        <f>+K38+L38</f>
        <v>4197</v>
      </c>
      <c r="N38" s="10">
        <f>+F38+J38+M38</f>
        <v>69534</v>
      </c>
    </row>
    <row r="39" spans="1:14" x14ac:dyDescent="0.2">
      <c r="C39" s="6" t="s">
        <v>201</v>
      </c>
      <c r="D39" s="6" t="s">
        <v>201</v>
      </c>
      <c r="E39" s="6"/>
      <c r="F39" s="6" t="s">
        <v>201</v>
      </c>
      <c r="G39" s="6"/>
      <c r="H39" s="6" t="s">
        <v>201</v>
      </c>
      <c r="I39" s="6"/>
      <c r="J39" s="6" t="s">
        <v>201</v>
      </c>
      <c r="K39" s="6" t="s">
        <v>201</v>
      </c>
      <c r="L39" s="6" t="s">
        <v>201</v>
      </c>
      <c r="M39" s="6" t="s">
        <v>201</v>
      </c>
      <c r="N39" s="6" t="s">
        <v>201</v>
      </c>
    </row>
    <row r="40" spans="1:14" x14ac:dyDescent="0.2">
      <c r="A40" t="s">
        <v>45</v>
      </c>
      <c r="C40" s="3">
        <f>SUM(C35:C38)</f>
        <v>41</v>
      </c>
      <c r="D40" s="6">
        <f>SUM(D35:D38)</f>
        <v>1017</v>
      </c>
      <c r="E40" s="3"/>
      <c r="F40" s="17">
        <f>SUM(F35:F38)</f>
        <v>135965</v>
      </c>
      <c r="G40" s="6"/>
      <c r="H40" s="6">
        <f>SUM(H35:H38)</f>
        <v>1908842</v>
      </c>
      <c r="I40" s="18"/>
      <c r="J40" s="17">
        <f>SUM(J35:J38)</f>
        <v>81100</v>
      </c>
      <c r="K40" s="10">
        <f>SUM(K34:K38)</f>
        <v>10011</v>
      </c>
      <c r="L40" s="10">
        <f>SUM(L34:L38)</f>
        <v>3721.1000000000004</v>
      </c>
      <c r="M40" s="10">
        <f>SUM(M34:M38)</f>
        <v>13732.1</v>
      </c>
      <c r="N40" s="10">
        <f>SUM(N34:N38)</f>
        <v>230797.1</v>
      </c>
    </row>
    <row r="41" spans="1:14" x14ac:dyDescent="0.2">
      <c r="C41" s="3" t="s">
        <v>94</v>
      </c>
      <c r="D41" s="3" t="s">
        <v>94</v>
      </c>
      <c r="E41" s="3"/>
      <c r="F41" s="3" t="s">
        <v>94</v>
      </c>
      <c r="G41" s="6"/>
      <c r="H41" s="3" t="s">
        <v>94</v>
      </c>
      <c r="I41" s="3"/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</row>
    <row r="42" spans="1:14" x14ac:dyDescent="0.2">
      <c r="C42" s="3"/>
      <c r="D42" s="3"/>
      <c r="E42" s="3"/>
      <c r="F42" s="3"/>
      <c r="G42" s="6"/>
      <c r="H42" s="3"/>
      <c r="I42" s="18"/>
      <c r="J42" s="3"/>
      <c r="K42" s="3"/>
      <c r="L42" s="3"/>
      <c r="M42" s="3"/>
      <c r="N42" s="3"/>
    </row>
    <row r="43" spans="1:14" x14ac:dyDescent="0.2">
      <c r="C43" s="3"/>
      <c r="D43" s="3"/>
      <c r="E43" s="3"/>
      <c r="F43" s="3"/>
      <c r="G43" s="6"/>
      <c r="H43" s="3"/>
      <c r="I43" s="18"/>
      <c r="J43" s="3"/>
      <c r="K43" s="3"/>
      <c r="L43" s="3"/>
      <c r="M43" s="3"/>
      <c r="N43" s="3"/>
    </row>
    <row r="44" spans="1:14" x14ac:dyDescent="0.2">
      <c r="A44" t="s">
        <v>46</v>
      </c>
      <c r="C44" s="3"/>
      <c r="D44" s="3"/>
      <c r="E44" s="3"/>
      <c r="F44" s="3"/>
      <c r="G44" s="6"/>
      <c r="H44" s="3"/>
      <c r="I44" s="18"/>
      <c r="J44" s="3"/>
      <c r="K44" s="3"/>
      <c r="L44" s="3"/>
      <c r="M44" s="3"/>
      <c r="N44" s="3"/>
    </row>
    <row r="45" spans="1:14" x14ac:dyDescent="0.2">
      <c r="A45" t="s">
        <v>47</v>
      </c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A46" t="s">
        <v>41</v>
      </c>
      <c r="C46" s="3">
        <v>0</v>
      </c>
      <c r="D46" s="3">
        <v>0</v>
      </c>
      <c r="E46" s="9">
        <v>0</v>
      </c>
      <c r="F46" s="10">
        <v>0</v>
      </c>
      <c r="G46" s="6">
        <v>0</v>
      </c>
      <c r="H46" s="3">
        <v>0</v>
      </c>
      <c r="I46" s="18" t="s">
        <v>38</v>
      </c>
      <c r="J46" s="3"/>
      <c r="K46" s="10">
        <f>+'22a&amp;b'!BU116</f>
        <v>0</v>
      </c>
      <c r="L46" s="10">
        <v>0</v>
      </c>
      <c r="M46" s="10">
        <v>0</v>
      </c>
      <c r="N46" s="10">
        <v>0</v>
      </c>
    </row>
    <row r="47" spans="1:14" x14ac:dyDescent="0.2">
      <c r="A47" t="s">
        <v>48</v>
      </c>
      <c r="C47" s="3">
        <v>0</v>
      </c>
      <c r="D47" s="3">
        <v>0</v>
      </c>
      <c r="E47" s="9">
        <v>0</v>
      </c>
      <c r="F47" s="10">
        <v>0</v>
      </c>
      <c r="G47" s="6">
        <v>0</v>
      </c>
      <c r="H47" s="3">
        <v>0</v>
      </c>
      <c r="I47" s="18" t="s">
        <v>38</v>
      </c>
      <c r="J47" s="3"/>
      <c r="K47" s="10">
        <f>+'22a&amp;b'!BU117</f>
        <v>0</v>
      </c>
      <c r="L47" s="10">
        <v>0</v>
      </c>
      <c r="M47" s="10">
        <v>0</v>
      </c>
      <c r="N47" s="10">
        <v>0</v>
      </c>
    </row>
    <row r="48" spans="1:14" x14ac:dyDescent="0.2">
      <c r="A48" t="s">
        <v>49</v>
      </c>
      <c r="C48" s="3">
        <v>0</v>
      </c>
      <c r="D48" s="3">
        <v>0</v>
      </c>
      <c r="E48" s="9">
        <v>0</v>
      </c>
      <c r="F48" s="10">
        <v>0</v>
      </c>
      <c r="G48" s="6">
        <v>0</v>
      </c>
      <c r="H48" s="3">
        <v>0</v>
      </c>
      <c r="I48" s="18">
        <v>0</v>
      </c>
      <c r="J48" s="10">
        <f>ROUND(H48*I48,0)</f>
        <v>0</v>
      </c>
      <c r="K48" s="10">
        <f>+'22a&amp;b'!BU118</f>
        <v>0</v>
      </c>
      <c r="L48" s="10">
        <v>0</v>
      </c>
      <c r="M48" s="10">
        <v>0</v>
      </c>
      <c r="N48" s="10">
        <v>0</v>
      </c>
    </row>
    <row r="49" spans="1:14" x14ac:dyDescent="0.2">
      <c r="A49" t="s">
        <v>50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>
        <v>0</v>
      </c>
      <c r="J49" s="10">
        <f>ROUND(H49*I49,0)</f>
        <v>0</v>
      </c>
      <c r="K49" s="10">
        <f>+'22a&amp;b'!BU119</f>
        <v>0</v>
      </c>
      <c r="L49" s="10">
        <v>0</v>
      </c>
      <c r="M49" s="10">
        <v>0</v>
      </c>
      <c r="N49" s="10">
        <v>0</v>
      </c>
    </row>
    <row r="50" spans="1:14" x14ac:dyDescent="0.2">
      <c r="C50" s="6" t="s">
        <v>201</v>
      </c>
      <c r="D50" s="6" t="s">
        <v>201</v>
      </c>
      <c r="E50" s="6"/>
      <c r="F50" s="6" t="s">
        <v>201</v>
      </c>
      <c r="G50" s="6"/>
      <c r="H50" s="6" t="s">
        <v>201</v>
      </c>
      <c r="I50" s="6"/>
      <c r="J50" s="6" t="s">
        <v>201</v>
      </c>
      <c r="K50" s="6" t="s">
        <v>201</v>
      </c>
      <c r="L50" s="6" t="s">
        <v>201</v>
      </c>
      <c r="M50" s="6" t="s">
        <v>201</v>
      </c>
      <c r="N50" s="6" t="s">
        <v>201</v>
      </c>
    </row>
    <row r="51" spans="1:14" x14ac:dyDescent="0.2">
      <c r="A51" t="s">
        <v>51</v>
      </c>
      <c r="C51" s="3">
        <v>0</v>
      </c>
      <c r="D51" s="3">
        <v>0</v>
      </c>
      <c r="E51" s="3"/>
      <c r="F51" s="10">
        <v>0</v>
      </c>
      <c r="G51" s="6"/>
      <c r="H51" s="3">
        <v>0</v>
      </c>
      <c r="I51" s="18"/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C52" s="3" t="s">
        <v>94</v>
      </c>
      <c r="D52" s="3" t="s">
        <v>94</v>
      </c>
      <c r="E52" s="3"/>
      <c r="F52" s="3" t="s">
        <v>94</v>
      </c>
      <c r="G52" s="3"/>
      <c r="H52" s="3" t="s">
        <v>94</v>
      </c>
      <c r="I52" s="3"/>
      <c r="J52" s="3" t="s">
        <v>94</v>
      </c>
      <c r="K52" s="3" t="s">
        <v>94</v>
      </c>
      <c r="L52" s="3" t="s">
        <v>94</v>
      </c>
      <c r="M52" s="3" t="s">
        <v>94</v>
      </c>
      <c r="N52" s="3" t="s">
        <v>94</v>
      </c>
    </row>
    <row r="53" spans="1:14" x14ac:dyDescent="0.2">
      <c r="A53" t="s">
        <v>52</v>
      </c>
      <c r="C53" s="6">
        <f>+C30+C40+C51</f>
        <v>234</v>
      </c>
      <c r="D53" s="6">
        <f>+D30+D40+D51</f>
        <v>2634</v>
      </c>
      <c r="E53" s="3"/>
      <c r="F53" s="17">
        <f>+F30+F40+F51</f>
        <v>280996</v>
      </c>
      <c r="G53" s="6"/>
      <c r="H53" s="6">
        <f>+H30+H40+H51</f>
        <v>3931401</v>
      </c>
      <c r="I53" s="18"/>
      <c r="J53" s="17">
        <f>+J30+J40+J51</f>
        <v>144021</v>
      </c>
      <c r="K53" s="10">
        <f>+K30+K40+K51</f>
        <v>11559</v>
      </c>
      <c r="L53" s="10">
        <f>+L30+L40+L51</f>
        <v>7670.1</v>
      </c>
      <c r="M53" s="10">
        <f>+M30+M40+M51</f>
        <v>19229.099999999999</v>
      </c>
      <c r="N53" s="10">
        <f>+N30+N40+N51</f>
        <v>444246.1</v>
      </c>
    </row>
    <row r="54" spans="1:14" x14ac:dyDescent="0.2">
      <c r="C54" s="3" t="s">
        <v>94</v>
      </c>
      <c r="D54" s="3" t="s">
        <v>94</v>
      </c>
      <c r="E54" s="3"/>
      <c r="F54" s="3" t="s">
        <v>94</v>
      </c>
      <c r="G54" s="3"/>
      <c r="H54" s="3" t="s">
        <v>94</v>
      </c>
      <c r="I54" s="3"/>
      <c r="J54" s="3" t="s">
        <v>94</v>
      </c>
      <c r="K54" s="3" t="s">
        <v>94</v>
      </c>
      <c r="L54" s="3" t="s">
        <v>94</v>
      </c>
      <c r="M54" s="3" t="s">
        <v>94</v>
      </c>
      <c r="N54" s="3" t="s">
        <v>94</v>
      </c>
    </row>
    <row r="56" spans="1:14" x14ac:dyDescent="0.2">
      <c r="A56" t="s">
        <v>108</v>
      </c>
    </row>
    <row r="57" spans="1:14" x14ac:dyDescent="0.2">
      <c r="A57" t="s">
        <v>211</v>
      </c>
    </row>
    <row r="58" spans="1:14" x14ac:dyDescent="0.2">
      <c r="A58" t="s">
        <v>212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61"/>
  <sheetViews>
    <sheetView workbookViewId="0">
      <pane xSplit="1" ySplit="10" topLeftCell="B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2" width="12.7109375" customWidth="1"/>
    <col min="13" max="13" width="13.42578125" customWidth="1"/>
    <col min="14" max="14" width="16.7109375" customWidth="1"/>
  </cols>
  <sheetData>
    <row r="1" spans="1:14" x14ac:dyDescent="0.2">
      <c r="A1" s="45" t="s">
        <v>203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245</v>
      </c>
      <c r="N4" s="1">
        <f>+'Y1'!M7</f>
        <v>24</v>
      </c>
    </row>
    <row r="6" spans="1:14" ht="25.5" x14ac:dyDescent="0.2">
      <c r="A6" t="s">
        <v>218</v>
      </c>
      <c r="C6" s="12" t="s">
        <v>57</v>
      </c>
      <c r="D6" s="12" t="s">
        <v>58</v>
      </c>
      <c r="E6" s="8" t="s">
        <v>59</v>
      </c>
      <c r="F6" s="29" t="s">
        <v>197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221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118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8" t="s">
        <v>247</v>
      </c>
      <c r="H8" s="30" t="s">
        <v>120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+'22a&amp;b'!BV13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252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100</v>
      </c>
      <c r="D15" s="6">
        <v>467</v>
      </c>
      <c r="E15" s="19">
        <f>ROUND(F15/C15,2)</f>
        <v>849.84</v>
      </c>
      <c r="F15" s="17">
        <v>84984</v>
      </c>
      <c r="G15" s="6">
        <v>1028</v>
      </c>
      <c r="H15" s="11">
        <f>D15*G15</f>
        <v>480076</v>
      </c>
      <c r="I15" s="18">
        <v>3.1109999999999999E-2</v>
      </c>
      <c r="J15" s="10">
        <f t="shared" ref="J15:J31" si="0">ROUND(H15*I15,0)</f>
        <v>14935</v>
      </c>
      <c r="K15" s="10">
        <f>+'22a&amp;b'!BV16</f>
        <v>0</v>
      </c>
      <c r="L15" s="10">
        <f>ROUND(F15*0.05,0)</f>
        <v>4249</v>
      </c>
      <c r="M15" s="10">
        <f t="shared" ref="M15:M31" si="1">+K15+L15</f>
        <v>4249</v>
      </c>
      <c r="N15" s="10">
        <f>+F15+J15+M15</f>
        <v>104168</v>
      </c>
    </row>
    <row r="16" spans="1:14" x14ac:dyDescent="0.2">
      <c r="A16" t="s">
        <v>254</v>
      </c>
      <c r="C16" s="6">
        <v>7</v>
      </c>
      <c r="D16" s="6">
        <v>151</v>
      </c>
      <c r="E16" s="19">
        <f>ROUND(F16/C16,2)</f>
        <v>79.290000000000006</v>
      </c>
      <c r="F16" s="17">
        <v>555</v>
      </c>
      <c r="G16" s="6">
        <v>314</v>
      </c>
      <c r="H16" s="11">
        <f>D16*G16</f>
        <v>47414</v>
      </c>
      <c r="I16" s="18">
        <v>3.124E-2</v>
      </c>
      <c r="J16" s="10">
        <f t="shared" si="0"/>
        <v>1481</v>
      </c>
      <c r="K16" s="10">
        <f>+'22a&amp;b'!BV17</f>
        <v>30</v>
      </c>
      <c r="L16" s="10">
        <v>0</v>
      </c>
      <c r="M16" s="10">
        <f t="shared" si="1"/>
        <v>30</v>
      </c>
      <c r="N16" s="10">
        <f>+F16+J16+M16</f>
        <v>2066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/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+'22a&amp;b'!BV19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236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94</v>
      </c>
      <c r="E21" s="19">
        <v>0</v>
      </c>
      <c r="F21" s="17">
        <v>0</v>
      </c>
      <c r="G21" s="6">
        <v>1200</v>
      </c>
      <c r="H21" s="11">
        <f>D21*G21</f>
        <v>112800</v>
      </c>
      <c r="I21" s="18">
        <v>3.1140000000000001E-2</v>
      </c>
      <c r="J21" s="10">
        <f t="shared" si="0"/>
        <v>3513</v>
      </c>
      <c r="K21" s="10">
        <f>+'22a&amp;b'!BV22</f>
        <v>0</v>
      </c>
      <c r="L21" s="10">
        <v>0</v>
      </c>
      <c r="M21" s="10">
        <f t="shared" si="1"/>
        <v>0</v>
      </c>
      <c r="N21" s="10">
        <f>+F21+J21+M21</f>
        <v>3513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+'22a&amp;b'!BV23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s="22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s="22" t="s">
        <v>257</v>
      </c>
      <c r="C25" s="6">
        <v>34</v>
      </c>
      <c r="D25" s="6">
        <v>268</v>
      </c>
      <c r="E25" s="19">
        <f>ROUND(F25/C25,2)</f>
        <v>379.41</v>
      </c>
      <c r="F25" s="17">
        <v>12900</v>
      </c>
      <c r="G25" s="6">
        <v>1144</v>
      </c>
      <c r="H25" s="11">
        <f>D25*G25</f>
        <v>306592</v>
      </c>
      <c r="I25" s="18">
        <v>3.1099999999999999E-2</v>
      </c>
      <c r="J25" s="10">
        <f t="shared" si="0"/>
        <v>9535</v>
      </c>
      <c r="K25" s="10">
        <f>+'22a&amp;b'!BV26</f>
        <v>983</v>
      </c>
      <c r="L25" s="10">
        <v>0</v>
      </c>
      <c r="M25" s="10">
        <f t="shared" si="1"/>
        <v>983</v>
      </c>
      <c r="N25" s="10">
        <f>+F25+J25+M25</f>
        <v>23418</v>
      </c>
    </row>
    <row r="26" spans="1:15" x14ac:dyDescent="0.2">
      <c r="A26" s="22"/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s="22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46</v>
      </c>
      <c r="D28" s="6">
        <v>460</v>
      </c>
      <c r="E28" s="19">
        <f>ROUND(F28/C28,2)</f>
        <v>482.61</v>
      </c>
      <c r="F28" s="17">
        <v>22200</v>
      </c>
      <c r="G28" s="6">
        <v>1808</v>
      </c>
      <c r="H28" s="11">
        <f>D28*G28</f>
        <v>831680</v>
      </c>
      <c r="I28" s="18">
        <v>3.1099999999999999E-2</v>
      </c>
      <c r="J28" s="10">
        <f t="shared" si="0"/>
        <v>25865</v>
      </c>
      <c r="K28" s="10">
        <f>+'22a&amp;b'!BV29</f>
        <v>187</v>
      </c>
      <c r="L28" s="10">
        <v>0</v>
      </c>
      <c r="M28" s="10">
        <f t="shared" si="1"/>
        <v>187</v>
      </c>
      <c r="N28" s="10">
        <f>+F28+J28+M28</f>
        <v>48252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157</v>
      </c>
      <c r="H29" s="11">
        <f>D29*G29</f>
        <v>0</v>
      </c>
      <c r="I29" s="18">
        <v>3.124E-2</v>
      </c>
      <c r="J29" s="10">
        <f t="shared" si="0"/>
        <v>0</v>
      </c>
      <c r="K29" s="10">
        <f>+'22a&amp;b'!BV30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101</v>
      </c>
      <c r="D31" s="6">
        <v>23</v>
      </c>
      <c r="E31" s="19">
        <f>ROUND(F31/C31,2)</f>
        <v>142.72</v>
      </c>
      <c r="F31" s="17">
        <v>14415</v>
      </c>
      <c r="G31" s="6">
        <v>1194</v>
      </c>
      <c r="H31" s="11">
        <f>D31*G31</f>
        <v>27462</v>
      </c>
      <c r="I31" s="18">
        <v>3.116E-2</v>
      </c>
      <c r="J31" s="10">
        <f t="shared" si="0"/>
        <v>856</v>
      </c>
      <c r="K31" s="10">
        <f>+'22a&amp;b'!BV32</f>
        <v>2127</v>
      </c>
      <c r="L31" s="10">
        <v>0</v>
      </c>
      <c r="M31" s="10">
        <f t="shared" si="1"/>
        <v>2127</v>
      </c>
      <c r="N31" s="10">
        <f>+F31+J31+M31</f>
        <v>17398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288</v>
      </c>
      <c r="D33" s="6">
        <f>SUM(D12:D31)</f>
        <v>1463</v>
      </c>
      <c r="E33" s="3"/>
      <c r="F33" s="17">
        <f>SUM(F12:F31)</f>
        <v>135054</v>
      </c>
      <c r="G33" s="6"/>
      <c r="H33" s="6">
        <f>SUM(H12:H31)</f>
        <v>1806024</v>
      </c>
      <c r="I33" s="18"/>
      <c r="J33" s="17">
        <f>SUM(J12:J31)</f>
        <v>56185</v>
      </c>
      <c r="K33" s="10">
        <f>SUM(K12:K31)</f>
        <v>3327</v>
      </c>
      <c r="L33" s="10">
        <f>SUM(L12:L31)</f>
        <v>4249</v>
      </c>
      <c r="M33" s="10">
        <f>SUM(M12:M31)</f>
        <v>7576</v>
      </c>
      <c r="N33" s="10">
        <f>SUM(N12:N31)</f>
        <v>198815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620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+'22a&amp;b'!BV78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73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+'22a&amp;b'!BV79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110</v>
      </c>
      <c r="E40" s="19">
        <v>0</v>
      </c>
      <c r="F40" s="10">
        <v>0</v>
      </c>
      <c r="G40" s="6">
        <v>13282</v>
      </c>
      <c r="H40" s="11">
        <f>D40*G40</f>
        <v>1461020</v>
      </c>
      <c r="I40" s="18">
        <v>4.2349999999999999E-2</v>
      </c>
      <c r="J40" s="10">
        <f>ROUND(H40*I40,0)</f>
        <v>61874</v>
      </c>
      <c r="K40" s="10">
        <f>+'22a&amp;b'!BV80</f>
        <v>0</v>
      </c>
      <c r="L40" s="10">
        <v>0</v>
      </c>
      <c r="M40" s="10">
        <f>+K40+L40</f>
        <v>0</v>
      </c>
      <c r="N40" s="10">
        <f>+F40+J40+M40</f>
        <v>61874</v>
      </c>
    </row>
    <row r="41" spans="1:14" x14ac:dyDescent="0.2">
      <c r="A41" t="s">
        <v>44</v>
      </c>
      <c r="C41" s="3">
        <v>0</v>
      </c>
      <c r="D41" s="6">
        <v>49</v>
      </c>
      <c r="E41" s="19">
        <v>0</v>
      </c>
      <c r="F41" s="10">
        <v>0</v>
      </c>
      <c r="G41" s="6">
        <v>14101</v>
      </c>
      <c r="H41" s="11">
        <f>D41*G41</f>
        <v>690949</v>
      </c>
      <c r="I41" s="18">
        <v>4.2770000000000002E-2</v>
      </c>
      <c r="J41" s="10">
        <f>ROUND(H41*I41,0)</f>
        <v>29552</v>
      </c>
      <c r="K41" s="10">
        <f>+'22a&amp;b'!BV81</f>
        <v>0</v>
      </c>
      <c r="L41" s="10">
        <v>0</v>
      </c>
      <c r="M41" s="10">
        <f>+K41+L41</f>
        <v>0</v>
      </c>
      <c r="N41" s="10">
        <f>+F41+J41+M41</f>
        <v>29552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852</v>
      </c>
      <c r="E43" s="3"/>
      <c r="F43" s="17">
        <f>SUM(F38:F41)</f>
        <v>0</v>
      </c>
      <c r="G43" s="6"/>
      <c r="H43" s="6">
        <f>SUM(H38:H41)</f>
        <v>2151969</v>
      </c>
      <c r="I43" s="18"/>
      <c r="J43" s="17">
        <f>SUM(J38:J41)</f>
        <v>91426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91426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+'22a&amp;b'!BV116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+'22a&amp;b'!BV117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+'22a&amp;b'!BV118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+'22a&amp;b'!BV119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288</v>
      </c>
      <c r="D56" s="6">
        <f>+D33+D43+D54</f>
        <v>2315</v>
      </c>
      <c r="E56" s="3"/>
      <c r="F56" s="17">
        <f>+F33+F43+F54</f>
        <v>135054</v>
      </c>
      <c r="G56" s="6"/>
      <c r="H56" s="6">
        <f>+H33+H43+H54</f>
        <v>3957993</v>
      </c>
      <c r="I56" s="18"/>
      <c r="J56" s="17">
        <f>+J33+J43+J54</f>
        <v>147611</v>
      </c>
      <c r="K56" s="10">
        <f>+K33+K43+K54</f>
        <v>3327</v>
      </c>
      <c r="L56" s="10">
        <f>+L33+L43+L54</f>
        <v>4249</v>
      </c>
      <c r="M56" s="10">
        <f>+M33+M43+M54</f>
        <v>7576</v>
      </c>
      <c r="N56" s="10">
        <f>+N33+N43+N54</f>
        <v>290241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219</v>
      </c>
    </row>
    <row r="61" spans="1:14" x14ac:dyDescent="0.2">
      <c r="A61" t="s">
        <v>210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61"/>
  <sheetViews>
    <sheetView workbookViewId="0">
      <pane xSplit="1" ySplit="10" topLeftCell="B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3.5703125" bestFit="1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203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246</v>
      </c>
      <c r="N4" s="1">
        <f>+'Y1'!M7</f>
        <v>24</v>
      </c>
    </row>
    <row r="6" spans="1:14" ht="25.5" x14ac:dyDescent="0.2">
      <c r="A6" t="s">
        <v>223</v>
      </c>
      <c r="C6" s="12" t="s">
        <v>57</v>
      </c>
      <c r="D6" s="12" t="s">
        <v>58</v>
      </c>
      <c r="E6" s="8" t="s">
        <v>59</v>
      </c>
      <c r="F6" s="29" t="s">
        <v>197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224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118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8" t="s">
        <v>247</v>
      </c>
      <c r="H8" s="30" t="s">
        <v>120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+'22a&amp;b'!BW13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252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69</v>
      </c>
      <c r="D15" s="6">
        <v>473</v>
      </c>
      <c r="E15" s="19">
        <f>ROUND(F15/C15,2)</f>
        <v>974.94</v>
      </c>
      <c r="F15" s="17">
        <v>67271</v>
      </c>
      <c r="G15" s="6">
        <v>1028</v>
      </c>
      <c r="H15" s="11">
        <f>D15*G15</f>
        <v>486244</v>
      </c>
      <c r="I15" s="18">
        <v>3.1109999999999999E-2</v>
      </c>
      <c r="J15" s="10">
        <f t="shared" ref="J15:J31" si="0">ROUND(H15*I15,0)</f>
        <v>15127</v>
      </c>
      <c r="K15" s="10">
        <f>+'22a&amp;b'!BW16</f>
        <v>0</v>
      </c>
      <c r="L15" s="10">
        <f>ROUND(F15*0.05,0)</f>
        <v>3364</v>
      </c>
      <c r="M15" s="10">
        <f t="shared" ref="M15:M31" si="1">+K15+L15</f>
        <v>3364</v>
      </c>
      <c r="N15" s="10">
        <f>+F15+J15+M15</f>
        <v>85762</v>
      </c>
    </row>
    <row r="16" spans="1:14" x14ac:dyDescent="0.2">
      <c r="A16" t="s">
        <v>254</v>
      </c>
      <c r="C16" s="6">
        <v>69</v>
      </c>
      <c r="D16" s="6">
        <v>167</v>
      </c>
      <c r="E16" s="19">
        <f>ROUND(F16/C16,2)</f>
        <v>76.099999999999994</v>
      </c>
      <c r="F16" s="17">
        <v>5251</v>
      </c>
      <c r="G16" s="6">
        <v>316</v>
      </c>
      <c r="H16" s="11">
        <f>D16*G16</f>
        <v>52772</v>
      </c>
      <c r="I16" s="18">
        <v>3.124E-2</v>
      </c>
      <c r="J16" s="10">
        <f t="shared" si="0"/>
        <v>1649</v>
      </c>
      <c r="K16" s="10">
        <f>+'22a&amp;b'!BW17</f>
        <v>295</v>
      </c>
      <c r="L16" s="10">
        <v>0</v>
      </c>
      <c r="M16" s="10">
        <f t="shared" si="1"/>
        <v>295</v>
      </c>
      <c r="N16" s="10">
        <f>+F16+J16+M16</f>
        <v>7195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+'22a&amp;b'!BW19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236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63</v>
      </c>
      <c r="E21" s="19">
        <v>0</v>
      </c>
      <c r="F21" s="17">
        <v>0</v>
      </c>
      <c r="G21" s="6">
        <v>1200</v>
      </c>
      <c r="H21" s="11">
        <f>D21*G21</f>
        <v>75600</v>
      </c>
      <c r="I21" s="18">
        <v>3.1140000000000001E-2</v>
      </c>
      <c r="J21" s="10">
        <f t="shared" si="0"/>
        <v>2354</v>
      </c>
      <c r="K21" s="10">
        <f>+'22a&amp;b'!BW22</f>
        <v>0</v>
      </c>
      <c r="L21" s="10">
        <v>0</v>
      </c>
      <c r="M21" s="10">
        <f t="shared" si="1"/>
        <v>0</v>
      </c>
      <c r="N21" s="10">
        <f>+F21+J21+M21</f>
        <v>2354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+'22a&amp;b'!BW23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259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29</v>
      </c>
      <c r="D25" s="6">
        <v>256</v>
      </c>
      <c r="E25" s="19">
        <f>ROUND(F25/C25,2)</f>
        <v>453.45</v>
      </c>
      <c r="F25" s="17">
        <v>13150</v>
      </c>
      <c r="G25" s="6">
        <v>1144</v>
      </c>
      <c r="H25" s="11">
        <f>D25*G25</f>
        <v>292864</v>
      </c>
      <c r="I25" s="18">
        <v>3.1099999999999999E-2</v>
      </c>
      <c r="J25" s="10">
        <f t="shared" si="0"/>
        <v>9108</v>
      </c>
      <c r="K25" s="10">
        <f>+'22a&amp;b'!BW26</f>
        <v>839</v>
      </c>
      <c r="L25" s="10">
        <v>0</v>
      </c>
      <c r="M25" s="10">
        <f t="shared" si="1"/>
        <v>839</v>
      </c>
      <c r="N25" s="10">
        <f>+F25+J25+M25</f>
        <v>23097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64</v>
      </c>
      <c r="D28" s="6">
        <v>419</v>
      </c>
      <c r="E28" s="19">
        <f>ROUND(F28/C28,2)</f>
        <v>649.59</v>
      </c>
      <c r="F28" s="17">
        <v>41574</v>
      </c>
      <c r="G28" s="6">
        <v>1810</v>
      </c>
      <c r="H28" s="11">
        <f>D28*G28</f>
        <v>758390</v>
      </c>
      <c r="I28" s="18">
        <v>3.1099999999999999E-2</v>
      </c>
      <c r="J28" s="10">
        <f t="shared" si="0"/>
        <v>23586</v>
      </c>
      <c r="K28" s="10">
        <f>+'22a&amp;b'!BW29</f>
        <v>260</v>
      </c>
      <c r="L28" s="10">
        <v>0</v>
      </c>
      <c r="M28" s="10">
        <f t="shared" si="1"/>
        <v>260</v>
      </c>
      <c r="N28" s="10">
        <f>+F28+J28+M28</f>
        <v>65420</v>
      </c>
    </row>
    <row r="29" spans="1:15" x14ac:dyDescent="0.2">
      <c r="A29" s="22" t="s">
        <v>208</v>
      </c>
      <c r="C29" s="6">
        <v>1</v>
      </c>
      <c r="D29" s="6">
        <v>0</v>
      </c>
      <c r="E29" s="19">
        <f>ROUND(F29/C29,2)</f>
        <v>150</v>
      </c>
      <c r="F29" s="17">
        <v>150</v>
      </c>
      <c r="G29" s="6">
        <v>158</v>
      </c>
      <c r="H29" s="11">
        <f>D29*G29</f>
        <v>0</v>
      </c>
      <c r="I29" s="18">
        <v>3.124E-2</v>
      </c>
      <c r="J29" s="10">
        <f t="shared" si="0"/>
        <v>0</v>
      </c>
      <c r="K29" s="10">
        <f>+'22a&amp;b'!BW30</f>
        <v>0</v>
      </c>
      <c r="L29" s="10">
        <v>0</v>
      </c>
      <c r="M29" s="10">
        <f t="shared" si="1"/>
        <v>0</v>
      </c>
      <c r="N29" s="10">
        <f>+F29+J29+M29</f>
        <v>150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441</v>
      </c>
      <c r="D31" s="6">
        <v>324</v>
      </c>
      <c r="E31" s="19">
        <f>ROUND(F31/C31,2)</f>
        <v>431.43</v>
      </c>
      <c r="F31" s="17">
        <v>190262</v>
      </c>
      <c r="G31" s="6">
        <v>1194</v>
      </c>
      <c r="H31" s="11">
        <f>D31*G31</f>
        <v>386856</v>
      </c>
      <c r="I31" s="18">
        <v>3.116E-2</v>
      </c>
      <c r="J31" s="10">
        <f t="shared" si="0"/>
        <v>12054</v>
      </c>
      <c r="K31" s="10">
        <f>+'22a&amp;b'!BW32</f>
        <v>9287</v>
      </c>
      <c r="L31" s="10">
        <v>0</v>
      </c>
      <c r="M31" s="10">
        <f t="shared" si="1"/>
        <v>9287</v>
      </c>
      <c r="N31" s="10">
        <f>+F31+J31+M31</f>
        <v>211603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673</v>
      </c>
      <c r="D33" s="6">
        <f>SUM(D12:D31)</f>
        <v>1702</v>
      </c>
      <c r="E33" s="3"/>
      <c r="F33" s="17">
        <f>SUM(F12:F31)</f>
        <v>317658</v>
      </c>
      <c r="G33" s="6"/>
      <c r="H33" s="6">
        <f>SUM(H12:H31)</f>
        <v>2052726</v>
      </c>
      <c r="I33" s="18"/>
      <c r="J33" s="17">
        <f>SUM(J12:J31)</f>
        <v>63878</v>
      </c>
      <c r="K33" s="10">
        <f>SUM(K11:K31)</f>
        <v>10681</v>
      </c>
      <c r="L33" s="10">
        <f>SUM(L12:L31)</f>
        <v>3364</v>
      </c>
      <c r="M33" s="10">
        <f>SUM(M12:M31)</f>
        <v>14045</v>
      </c>
      <c r="N33" s="10">
        <f>SUM(N12:N31)</f>
        <v>395581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453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+'22a&amp;b'!BV78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63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+'22a&amp;b'!BV79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77</v>
      </c>
      <c r="E40" s="19">
        <v>0</v>
      </c>
      <c r="F40" s="10">
        <v>0</v>
      </c>
      <c r="G40" s="6">
        <v>13282</v>
      </c>
      <c r="H40" s="11">
        <f>D40*G40</f>
        <v>1022714</v>
      </c>
      <c r="I40" s="18">
        <v>4.2349999999999999E-2</v>
      </c>
      <c r="J40" s="10">
        <f>ROUND(H40*I40,0)</f>
        <v>43312</v>
      </c>
      <c r="K40" s="10">
        <f>+'22a&amp;b'!BV80</f>
        <v>0</v>
      </c>
      <c r="L40" s="10">
        <v>0</v>
      </c>
      <c r="M40" s="10">
        <f>+K40+L40</f>
        <v>0</v>
      </c>
      <c r="N40" s="10">
        <f>+F40+J40+M40</f>
        <v>43312</v>
      </c>
    </row>
    <row r="41" spans="1:14" x14ac:dyDescent="0.2">
      <c r="A41" t="s">
        <v>44</v>
      </c>
      <c r="C41" s="3">
        <v>0</v>
      </c>
      <c r="D41" s="6">
        <v>47</v>
      </c>
      <c r="E41" s="19">
        <v>0</v>
      </c>
      <c r="F41" s="10">
        <v>0</v>
      </c>
      <c r="G41" s="6">
        <v>14102</v>
      </c>
      <c r="H41" s="11">
        <f>D41*G41</f>
        <v>662794</v>
      </c>
      <c r="I41" s="18">
        <v>4.2770000000000002E-2</v>
      </c>
      <c r="J41" s="10">
        <f>ROUND(H41*I41,0)</f>
        <v>28348</v>
      </c>
      <c r="K41" s="10">
        <f>+'22a&amp;b'!BV81</f>
        <v>0</v>
      </c>
      <c r="L41" s="10">
        <v>0</v>
      </c>
      <c r="M41" s="10">
        <f>+K41+L41</f>
        <v>0</v>
      </c>
      <c r="N41" s="10">
        <f>+F41+J41+M41</f>
        <v>28348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640</v>
      </c>
      <c r="E43" s="3"/>
      <c r="F43" s="17">
        <f>SUM(F38:F41)</f>
        <v>0</v>
      </c>
      <c r="G43" s="6"/>
      <c r="H43" s="6">
        <f>SUM(H38:H41)</f>
        <v>1685508</v>
      </c>
      <c r="I43" s="18"/>
      <c r="J43" s="17">
        <f>SUM(J38:J41)</f>
        <v>71660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71660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+'22a&amp;b'!BV116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+'22a&amp;b'!BV117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+'22a&amp;b'!BV118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+'22a&amp;b'!BV119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673</v>
      </c>
      <c r="D56" s="6">
        <f>+D33+D43+D54</f>
        <v>2342</v>
      </c>
      <c r="E56" s="3"/>
      <c r="F56" s="17">
        <f>+F33+F43+F54</f>
        <v>317658</v>
      </c>
      <c r="G56" s="6"/>
      <c r="H56" s="6">
        <f>+H33+H43+H54</f>
        <v>3738234</v>
      </c>
      <c r="I56" s="18"/>
      <c r="J56" s="17">
        <f>+J33+J43+J54</f>
        <v>135538</v>
      </c>
      <c r="K56" s="10">
        <f>+K33+K43+K54</f>
        <v>10681</v>
      </c>
      <c r="L56" s="10">
        <f>+L33+L43+L54</f>
        <v>3364</v>
      </c>
      <c r="M56" s="10">
        <f>+M33+M43+M54</f>
        <v>14045</v>
      </c>
      <c r="N56" s="10">
        <f>+N33+N43+N54</f>
        <v>467241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249</v>
      </c>
    </row>
    <row r="61" spans="1:14" x14ac:dyDescent="0.2">
      <c r="A61" t="s">
        <v>220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61"/>
  <sheetViews>
    <sheetView workbookViewId="0">
      <pane xSplit="1" ySplit="10" topLeftCell="B11" activePane="bottomRight" state="frozen"/>
      <selection activeCell="O6" sqref="O6"/>
      <selection pane="topRight" activeCell="O6" sqref="O6"/>
      <selection pane="bottomLeft" activeCell="O6" sqref="O6"/>
      <selection pane="bottomRight" activeCell="L26" sqref="L2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222</v>
      </c>
      <c r="B1" s="14"/>
    </row>
    <row r="2" spans="1:14" x14ac:dyDescent="0.2">
      <c r="A2" s="2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1" t="s">
        <v>269</v>
      </c>
      <c r="N4" s="2">
        <f>+'Y1'!M7</f>
        <v>24</v>
      </c>
    </row>
    <row r="6" spans="1:14" ht="25.5" x14ac:dyDescent="0.2">
      <c r="A6" t="s">
        <v>270</v>
      </c>
      <c r="C6" s="12" t="s">
        <v>57</v>
      </c>
      <c r="D6" s="12" t="s">
        <v>58</v>
      </c>
      <c r="E6" s="8" t="s">
        <v>59</v>
      </c>
      <c r="F6" s="48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48" t="s">
        <v>298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106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12" t="s">
        <v>78</v>
      </c>
      <c r="H8" s="49" t="s">
        <v>271</v>
      </c>
      <c r="I8" s="12" t="s">
        <v>80</v>
      </c>
      <c r="J8" s="12" t="s">
        <v>81</v>
      </c>
      <c r="K8" s="34" t="str">
        <f>+'Y1'!J13</f>
        <v>(EX. C,                            PG.23C)</v>
      </c>
      <c r="L8" s="29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+'[1]11a&amp;b'!AP17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272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72</v>
      </c>
      <c r="D15" s="6">
        <v>463</v>
      </c>
      <c r="E15" s="19">
        <f>ROUND(F15/C15,2)</f>
        <v>751.54</v>
      </c>
      <c r="F15" s="17">
        <v>54111</v>
      </c>
      <c r="G15" s="6">
        <v>1028</v>
      </c>
      <c r="H15" s="11">
        <f>D15*G15</f>
        <v>475964</v>
      </c>
      <c r="I15" s="18">
        <v>3.1109999999999999E-2</v>
      </c>
      <c r="J15" s="10">
        <f t="shared" ref="J15:J31" si="0">ROUND(H15*I15,0)</f>
        <v>14807</v>
      </c>
      <c r="K15" s="10">
        <f>+'[1]11a&amp;b'!AP19</f>
        <v>0</v>
      </c>
      <c r="L15" s="10">
        <f>ROUND(F15*0.05,0)</f>
        <v>2706</v>
      </c>
      <c r="M15" s="10">
        <f t="shared" ref="M15:M31" si="1">+K15+L15</f>
        <v>2706</v>
      </c>
      <c r="N15" s="10">
        <f>+F15+J15+M15</f>
        <v>71624</v>
      </c>
    </row>
    <row r="16" spans="1:14" x14ac:dyDescent="0.2">
      <c r="A16" t="s">
        <v>254</v>
      </c>
      <c r="C16" s="6">
        <v>10</v>
      </c>
      <c r="D16" s="6">
        <v>179</v>
      </c>
      <c r="E16" s="19">
        <f>ROUND(F16/C16,2)</f>
        <v>78.599999999999994</v>
      </c>
      <c r="F16" s="17">
        <v>786</v>
      </c>
      <c r="G16" s="6">
        <v>314</v>
      </c>
      <c r="H16" s="11">
        <f>D16*G16</f>
        <v>56206</v>
      </c>
      <c r="I16" s="18">
        <v>3.124E-2</v>
      </c>
      <c r="J16" s="10">
        <f t="shared" si="0"/>
        <v>1756</v>
      </c>
      <c r="K16" s="10">
        <f>+'[1]11a&amp;b'!AP20</f>
        <v>43</v>
      </c>
      <c r="L16" s="10">
        <v>0</v>
      </c>
      <c r="M16" s="10">
        <f t="shared" si="1"/>
        <v>43</v>
      </c>
      <c r="N16" s="10">
        <f>+F16+J16+M16</f>
        <v>2585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+'[1]11a&amp;b'!AP22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42</v>
      </c>
      <c r="E21" s="19">
        <v>0</v>
      </c>
      <c r="F21" s="17">
        <v>0</v>
      </c>
      <c r="G21" s="6">
        <v>1200</v>
      </c>
      <c r="H21" s="11">
        <f>D21*G21</f>
        <v>50400</v>
      </c>
      <c r="I21" s="18">
        <v>3.1140000000000001E-2</v>
      </c>
      <c r="J21" s="10">
        <f t="shared" si="0"/>
        <v>1569</v>
      </c>
      <c r="K21" s="10">
        <f>+'[1]11a&amp;b'!AP25</f>
        <v>0</v>
      </c>
      <c r="L21" s="10">
        <v>0</v>
      </c>
      <c r="M21" s="10">
        <f t="shared" si="1"/>
        <v>0</v>
      </c>
      <c r="N21" s="10">
        <f>+F21+J21+M21</f>
        <v>1569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+'[1]11a&amp;b'!AP26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41</v>
      </c>
      <c r="D25" s="6">
        <v>247</v>
      </c>
      <c r="E25" s="19">
        <f>ROUND(F25/C25,2)</f>
        <v>428.05</v>
      </c>
      <c r="F25" s="17">
        <v>17550</v>
      </c>
      <c r="G25" s="6">
        <v>1144</v>
      </c>
      <c r="H25" s="11">
        <f>D25*G25</f>
        <v>282568</v>
      </c>
      <c r="I25" s="18">
        <v>3.1099999999999999E-2</v>
      </c>
      <c r="J25" s="10">
        <f t="shared" si="0"/>
        <v>8788</v>
      </c>
      <c r="K25" s="10">
        <f>+'[1]11a&amp;b'!AP29</f>
        <v>1186</v>
      </c>
      <c r="L25" s="10">
        <v>0</v>
      </c>
      <c r="M25" s="10">
        <f t="shared" si="1"/>
        <v>1186</v>
      </c>
      <c r="N25" s="10">
        <f>+F25+J25+M25</f>
        <v>27524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68</v>
      </c>
      <c r="D28" s="6">
        <v>394</v>
      </c>
      <c r="E28" s="19">
        <f>ROUND(F28/C28,2)</f>
        <v>503.68</v>
      </c>
      <c r="F28" s="17">
        <v>34250</v>
      </c>
      <c r="G28" s="6">
        <v>1808</v>
      </c>
      <c r="H28" s="11">
        <f>D28*G28</f>
        <v>712352</v>
      </c>
      <c r="I28" s="18">
        <v>3.1099999999999999E-2</v>
      </c>
      <c r="J28" s="10">
        <f t="shared" si="0"/>
        <v>22154</v>
      </c>
      <c r="K28" s="10">
        <f>+'[1]11a&amp;b'!AP32</f>
        <v>276</v>
      </c>
      <c r="L28" s="10">
        <v>0</v>
      </c>
      <c r="M28" s="10">
        <f t="shared" si="1"/>
        <v>276</v>
      </c>
      <c r="N28" s="10">
        <f>+F28+J28+M28</f>
        <v>56680</v>
      </c>
    </row>
    <row r="29" spans="1:15" x14ac:dyDescent="0.2">
      <c r="A29" s="22" t="s">
        <v>208</v>
      </c>
      <c r="C29" s="6">
        <v>1</v>
      </c>
      <c r="D29" s="6">
        <v>1</v>
      </c>
      <c r="E29" s="19">
        <f>ROUND(F29/C29,2)</f>
        <v>150</v>
      </c>
      <c r="F29" s="17">
        <v>150</v>
      </c>
      <c r="G29" s="6">
        <v>157</v>
      </c>
      <c r="H29" s="11">
        <f>D29*G29</f>
        <v>157</v>
      </c>
      <c r="I29" s="18">
        <v>3.124E-2</v>
      </c>
      <c r="J29" s="10">
        <f t="shared" si="0"/>
        <v>5</v>
      </c>
      <c r="K29" s="10">
        <f>+'[1]11a&amp;b'!AP33</f>
        <v>0</v>
      </c>
      <c r="L29" s="10">
        <v>0</v>
      </c>
      <c r="M29" s="10">
        <f t="shared" si="1"/>
        <v>0</v>
      </c>
      <c r="N29" s="10">
        <f>+F29+J29+M29</f>
        <v>155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334</v>
      </c>
      <c r="D31" s="6">
        <v>735</v>
      </c>
      <c r="E31" s="19">
        <f>ROUND(F31/C31,2)</f>
        <v>417.76</v>
      </c>
      <c r="F31" s="17">
        <v>139531</v>
      </c>
      <c r="G31" s="6">
        <v>1194</v>
      </c>
      <c r="H31" s="11">
        <f>D31*G31</f>
        <v>877590</v>
      </c>
      <c r="I31" s="18">
        <v>3.116E-2</v>
      </c>
      <c r="J31" s="10">
        <f t="shared" si="0"/>
        <v>27346</v>
      </c>
      <c r="K31" s="10">
        <f>+'[1]11a&amp;b'!AP35</f>
        <v>7034</v>
      </c>
      <c r="L31" s="10">
        <v>0</v>
      </c>
      <c r="M31" s="10">
        <f t="shared" si="1"/>
        <v>7034</v>
      </c>
      <c r="N31" s="10">
        <f>+F31+J31+M31</f>
        <v>173911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526</v>
      </c>
      <c r="D33" s="6">
        <f>SUM(D12:D31)</f>
        <v>2061</v>
      </c>
      <c r="E33" s="3"/>
      <c r="F33" s="17">
        <f>SUM(F12:F31)</f>
        <v>246378</v>
      </c>
      <c r="G33" s="6"/>
      <c r="H33" s="6">
        <f>SUM(H12:H31)</f>
        <v>2455237</v>
      </c>
      <c r="I33" s="18"/>
      <c r="J33" s="17">
        <f>SUM(J12:J31)</f>
        <v>76425</v>
      </c>
      <c r="K33" s="10">
        <f>SUM(K11:K31)</f>
        <v>8539</v>
      </c>
      <c r="L33" s="10">
        <f>SUM(L12:L31)</f>
        <v>2706</v>
      </c>
      <c r="M33" s="10">
        <f>SUM(M12:M31)</f>
        <v>11245</v>
      </c>
      <c r="N33" s="10">
        <f>SUM(N12:N31)</f>
        <v>334048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338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+'[1]11a&amp;b'!AP42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30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+'[1]11a&amp;b'!AP43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54</v>
      </c>
      <c r="E40" s="19">
        <v>0</v>
      </c>
      <c r="F40" s="10">
        <v>0</v>
      </c>
      <c r="G40" s="6">
        <v>13282</v>
      </c>
      <c r="H40" s="11">
        <f>D40*G40</f>
        <v>717228</v>
      </c>
      <c r="I40" s="18">
        <v>4.2349999999999999E-2</v>
      </c>
      <c r="J40" s="10">
        <f>ROUND(H40*I40,0)</f>
        <v>30375</v>
      </c>
      <c r="K40" s="10">
        <f>+'[1]11a&amp;b'!AP44</f>
        <v>0</v>
      </c>
      <c r="L40" s="10">
        <v>0</v>
      </c>
      <c r="M40" s="10">
        <f>+K40+L40</f>
        <v>0</v>
      </c>
      <c r="N40" s="10">
        <f>+F40+J40+M40</f>
        <v>30375</v>
      </c>
    </row>
    <row r="41" spans="1:14" x14ac:dyDescent="0.2">
      <c r="A41" t="s">
        <v>44</v>
      </c>
      <c r="C41" s="3">
        <v>0</v>
      </c>
      <c r="D41" s="6">
        <v>43</v>
      </c>
      <c r="E41" s="19">
        <v>0</v>
      </c>
      <c r="F41" s="10">
        <v>0</v>
      </c>
      <c r="G41" s="6">
        <v>14101</v>
      </c>
      <c r="H41" s="11">
        <f>D41*G41</f>
        <v>606343</v>
      </c>
      <c r="I41" s="18">
        <v>4.2770000000000002E-2</v>
      </c>
      <c r="J41" s="10">
        <f>ROUND(H41*I41,0)</f>
        <v>25933</v>
      </c>
      <c r="K41" s="10">
        <f>+'[1]11a&amp;b'!AP45</f>
        <v>0</v>
      </c>
      <c r="L41" s="10">
        <v>0</v>
      </c>
      <c r="M41" s="10">
        <f>+K41+L41</f>
        <v>0</v>
      </c>
      <c r="N41" s="10">
        <f>+F41+J41+M41</f>
        <v>25933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465</v>
      </c>
      <c r="E43" s="3"/>
      <c r="F43" s="17">
        <f>SUM(F38:F41)</f>
        <v>0</v>
      </c>
      <c r="G43" s="6"/>
      <c r="H43" s="6">
        <f>SUM(H38:H41)</f>
        <v>1323571</v>
      </c>
      <c r="I43" s="18"/>
      <c r="J43" s="17">
        <f>SUM(J38:J41)</f>
        <v>56308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56308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+'[1]11a&amp;b'!AP53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+'[1]11a&amp;b'!AP54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+'[1]11a&amp;b'!AP55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+'[1]11a&amp;b'!AP56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526</v>
      </c>
      <c r="D56" s="6">
        <f>+D33+D43+D54</f>
        <v>2526</v>
      </c>
      <c r="E56" s="3"/>
      <c r="F56" s="17">
        <f>+F33+F43+F54</f>
        <v>246378</v>
      </c>
      <c r="G56" s="6"/>
      <c r="H56" s="6">
        <f>+H33+H43+H54</f>
        <v>3778808</v>
      </c>
      <c r="I56" s="18"/>
      <c r="J56" s="17">
        <f>+J33+J43+J54</f>
        <v>132733</v>
      </c>
      <c r="K56" s="10">
        <f>+K33+K43+K54</f>
        <v>8539</v>
      </c>
      <c r="L56" s="10">
        <f>+L33+L43+L54</f>
        <v>2706</v>
      </c>
      <c r="M56" s="10">
        <f>+M33+M43+M54</f>
        <v>11245</v>
      </c>
      <c r="N56" s="10">
        <f>+N33+N43+N54</f>
        <v>390356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273</v>
      </c>
    </row>
    <row r="61" spans="1:14" x14ac:dyDescent="0.2">
      <c r="A61" t="s">
        <v>251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61"/>
  <sheetViews>
    <sheetView workbookViewId="0">
      <pane xSplit="1" ySplit="10" topLeftCell="B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222</v>
      </c>
      <c r="B1" s="14"/>
    </row>
    <row r="2" spans="1:14" x14ac:dyDescent="0.2">
      <c r="A2" s="2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1" t="s">
        <v>300</v>
      </c>
      <c r="N4" s="2">
        <f>+'Y1'!M7</f>
        <v>24</v>
      </c>
    </row>
    <row r="6" spans="1:14" ht="25.5" x14ac:dyDescent="0.2">
      <c r="A6" t="s">
        <v>274</v>
      </c>
      <c r="C6" s="12" t="s">
        <v>57</v>
      </c>
      <c r="D6" s="12" t="s">
        <v>58</v>
      </c>
      <c r="E6" s="8" t="s">
        <v>59</v>
      </c>
      <c r="F6" s="48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48" t="s">
        <v>298</v>
      </c>
    </row>
    <row r="7" spans="1:14" ht="25.5" x14ac:dyDescent="0.2">
      <c r="C7" s="12" t="s">
        <v>66</v>
      </c>
      <c r="D7" s="12" t="s">
        <v>66</v>
      </c>
      <c r="E7" s="8" t="s">
        <v>67</v>
      </c>
      <c r="F7" s="12" t="s">
        <v>27</v>
      </c>
      <c r="G7" s="12" t="s">
        <v>106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8" t="s">
        <v>76</v>
      </c>
      <c r="F8" s="12" t="s">
        <v>77</v>
      </c>
      <c r="G8" s="12" t="s">
        <v>78</v>
      </c>
      <c r="H8" s="49" t="s">
        <v>271</v>
      </c>
      <c r="I8" s="12" t="s">
        <v>80</v>
      </c>
      <c r="J8" s="12" t="s">
        <v>81</v>
      </c>
      <c r="K8" s="34" t="str">
        <f>+'Y1'!J13</f>
        <v>(EX. C,                            PG.23C)</v>
      </c>
      <c r="L8" s="29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+'22a&amp;b'!BY13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272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89</v>
      </c>
      <c r="D15" s="6">
        <v>462</v>
      </c>
      <c r="E15" s="19">
        <f>ROUND(F15/C15,2)</f>
        <v>1118.43</v>
      </c>
      <c r="F15" s="17">
        <v>99540</v>
      </c>
      <c r="G15" s="6">
        <v>1028</v>
      </c>
      <c r="H15" s="11">
        <f>D15*G15</f>
        <v>474936</v>
      </c>
      <c r="I15" s="18">
        <v>3.1109999999999999E-2</v>
      </c>
      <c r="J15" s="10">
        <f t="shared" ref="J15:J31" si="0">ROUND(H15*I15,0)</f>
        <v>14775</v>
      </c>
      <c r="K15" s="10">
        <f>+'22a&amp;b'!BY16</f>
        <v>0</v>
      </c>
      <c r="L15" s="10">
        <f>ROUND(F15*0.05,0)</f>
        <v>4977</v>
      </c>
      <c r="M15" s="10">
        <f t="shared" ref="M15:M31" si="1">+K15+L15</f>
        <v>4977</v>
      </c>
      <c r="N15" s="10">
        <f>+F15+J15+M15</f>
        <v>119292</v>
      </c>
    </row>
    <row r="16" spans="1:14" x14ac:dyDescent="0.2">
      <c r="A16" t="s">
        <v>254</v>
      </c>
      <c r="C16" s="6">
        <v>72</v>
      </c>
      <c r="D16" s="6">
        <v>205</v>
      </c>
      <c r="E16" s="19">
        <f>ROUND(F16/C16,2)</f>
        <v>60.6</v>
      </c>
      <c r="F16" s="17">
        <v>4363</v>
      </c>
      <c r="G16" s="6">
        <v>316</v>
      </c>
      <c r="H16" s="11">
        <f>D16*G16</f>
        <v>64780</v>
      </c>
      <c r="I16" s="18">
        <v>3.124E-2</v>
      </c>
      <c r="J16" s="10">
        <f t="shared" si="0"/>
        <v>2024</v>
      </c>
      <c r="K16" s="10">
        <f>+'22a&amp;b'!BY17</f>
        <v>308</v>
      </c>
      <c r="L16" s="10">
        <v>0</v>
      </c>
      <c r="M16" s="10">
        <f t="shared" si="1"/>
        <v>308</v>
      </c>
      <c r="N16" s="10">
        <f>+F16+J16+M16</f>
        <v>6695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+'22a&amp;b'!BY19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15</v>
      </c>
      <c r="E21" s="19">
        <v>0</v>
      </c>
      <c r="F21" s="17">
        <v>0</v>
      </c>
      <c r="G21" s="6">
        <v>1200</v>
      </c>
      <c r="H21" s="11">
        <f>D21*G21</f>
        <v>18000</v>
      </c>
      <c r="I21" s="18">
        <v>3.1140000000000001E-2</v>
      </c>
      <c r="J21" s="10">
        <f t="shared" si="0"/>
        <v>561</v>
      </c>
      <c r="K21" s="10">
        <f>+'22a&amp;b'!BY22</f>
        <v>0</v>
      </c>
      <c r="L21" s="10">
        <v>0</v>
      </c>
      <c r="M21" s="10">
        <f t="shared" si="1"/>
        <v>0</v>
      </c>
      <c r="N21" s="10">
        <f>+F21+J21+M21</f>
        <v>561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+'22a&amp;b'!BY23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46</v>
      </c>
      <c r="D25" s="6">
        <v>239</v>
      </c>
      <c r="E25" s="19">
        <f>ROUND(F25/C25,2)</f>
        <v>469.57</v>
      </c>
      <c r="F25" s="17">
        <v>21600</v>
      </c>
      <c r="G25" s="6">
        <v>1144</v>
      </c>
      <c r="H25" s="11">
        <f>D25*G25</f>
        <v>273416</v>
      </c>
      <c r="I25" s="18">
        <v>3.1099999999999999E-2</v>
      </c>
      <c r="J25" s="10">
        <f t="shared" si="0"/>
        <v>8503</v>
      </c>
      <c r="K25" s="10">
        <f>+'22a&amp;b'!BY26</f>
        <v>1330</v>
      </c>
      <c r="L25" s="10">
        <v>0</v>
      </c>
      <c r="M25" s="10">
        <f t="shared" si="1"/>
        <v>1330</v>
      </c>
      <c r="N25" s="10">
        <f>+F25+J25+M25</f>
        <v>31433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70</v>
      </c>
      <c r="D28" s="6">
        <v>379</v>
      </c>
      <c r="E28" s="19">
        <f>ROUND(F28/C28,2)</f>
        <v>597.14</v>
      </c>
      <c r="F28" s="17">
        <v>41800</v>
      </c>
      <c r="G28" s="6">
        <v>1810</v>
      </c>
      <c r="H28" s="11">
        <f>D28*G28</f>
        <v>685990</v>
      </c>
      <c r="I28" s="18">
        <v>3.1099999999999999E-2</v>
      </c>
      <c r="J28" s="10">
        <f t="shared" si="0"/>
        <v>21334</v>
      </c>
      <c r="K28" s="10">
        <f>+'22a&amp;b'!BY29</f>
        <v>284</v>
      </c>
      <c r="L28" s="10">
        <v>0</v>
      </c>
      <c r="M28" s="10">
        <f t="shared" si="1"/>
        <v>284</v>
      </c>
      <c r="N28" s="10">
        <f>+F28+J28+M28</f>
        <v>63418</v>
      </c>
    </row>
    <row r="29" spans="1:15" x14ac:dyDescent="0.2">
      <c r="A29" s="22" t="s">
        <v>208</v>
      </c>
      <c r="C29" s="6">
        <v>0</v>
      </c>
      <c r="D29" s="6">
        <v>2</v>
      </c>
      <c r="E29" s="19" t="e">
        <f>ROUND(F29/C29,2)</f>
        <v>#DIV/0!</v>
      </c>
      <c r="F29" s="17">
        <v>0</v>
      </c>
      <c r="G29" s="6">
        <v>158</v>
      </c>
      <c r="H29" s="11">
        <f>D29*G29</f>
        <v>316</v>
      </c>
      <c r="I29" s="18">
        <v>3.124E-2</v>
      </c>
      <c r="J29" s="10">
        <f t="shared" si="0"/>
        <v>10</v>
      </c>
      <c r="K29" s="10">
        <f>+'22a&amp;b'!BY30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391</v>
      </c>
      <c r="D31" s="6">
        <v>1070</v>
      </c>
      <c r="E31" s="19">
        <f>ROUND(F31/C31,2)</f>
        <v>347.2</v>
      </c>
      <c r="F31" s="17">
        <v>135756</v>
      </c>
      <c r="G31" s="6">
        <v>1194</v>
      </c>
      <c r="H31" s="11">
        <f>D31*G31</f>
        <v>1277580</v>
      </c>
      <c r="I31" s="18">
        <v>3.116E-2</v>
      </c>
      <c r="J31" s="10">
        <f t="shared" si="0"/>
        <v>39809</v>
      </c>
      <c r="K31" s="10">
        <f>+'22a&amp;b'!BY32</f>
        <v>8234</v>
      </c>
      <c r="L31" s="10">
        <v>0</v>
      </c>
      <c r="M31" s="10">
        <f t="shared" si="1"/>
        <v>8234</v>
      </c>
      <c r="N31" s="10">
        <f>+F31+J31+M31</f>
        <v>183799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668</v>
      </c>
      <c r="D33" s="6">
        <f>SUM(D12:D31)</f>
        <v>2372</v>
      </c>
      <c r="E33" s="3"/>
      <c r="F33" s="17">
        <f>SUM(F12:F31)</f>
        <v>303059</v>
      </c>
      <c r="G33" s="6"/>
      <c r="H33" s="6">
        <f>SUM(H12:H31)</f>
        <v>2795018</v>
      </c>
      <c r="I33" s="18"/>
      <c r="J33" s="17">
        <f>SUM(J12:J31)</f>
        <v>87016</v>
      </c>
      <c r="K33" s="10">
        <f>SUM(K11:K31)</f>
        <v>10156</v>
      </c>
      <c r="L33" s="10">
        <f>SUM(L12:L31)</f>
        <v>4977</v>
      </c>
      <c r="M33" s="10">
        <f>SUM(M12:M31)</f>
        <v>15133</v>
      </c>
      <c r="N33" s="10">
        <f>SUM(N12:N31)</f>
        <v>405208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191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+'22a&amp;b'!BY78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10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+'22a&amp;b'!BY79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41</v>
      </c>
      <c r="E40" s="19">
        <v>0</v>
      </c>
      <c r="F40" s="10">
        <v>0</v>
      </c>
      <c r="G40" s="6">
        <v>13282</v>
      </c>
      <c r="H40" s="11">
        <f>D40*G40</f>
        <v>544562</v>
      </c>
      <c r="I40" s="18">
        <v>4.2349999999999999E-2</v>
      </c>
      <c r="J40" s="10">
        <f>ROUND(H40*I40,0)</f>
        <v>23062</v>
      </c>
      <c r="K40" s="10">
        <f>+'22a&amp;b'!BY80</f>
        <v>0</v>
      </c>
      <c r="L40" s="10">
        <v>0</v>
      </c>
      <c r="M40" s="10">
        <f>+K40+L40</f>
        <v>0</v>
      </c>
      <c r="N40" s="10">
        <f>+F40+J40+M40</f>
        <v>23062</v>
      </c>
    </row>
    <row r="41" spans="1:14" x14ac:dyDescent="0.2">
      <c r="A41" t="s">
        <v>44</v>
      </c>
      <c r="C41" s="3">
        <v>0</v>
      </c>
      <c r="D41" s="6">
        <v>30</v>
      </c>
      <c r="E41" s="19">
        <v>0</v>
      </c>
      <c r="F41" s="10">
        <v>0</v>
      </c>
      <c r="G41" s="6">
        <v>14102</v>
      </c>
      <c r="H41" s="11">
        <f>D41*G41</f>
        <v>423060</v>
      </c>
      <c r="I41" s="18">
        <v>4.2770000000000002E-2</v>
      </c>
      <c r="J41" s="10">
        <f>ROUND(H41*I41,0)</f>
        <v>18094</v>
      </c>
      <c r="K41" s="10">
        <f>+'22a&amp;b'!BY81</f>
        <v>0</v>
      </c>
      <c r="L41" s="10">
        <v>0</v>
      </c>
      <c r="M41" s="10">
        <f>+K41+L41</f>
        <v>0</v>
      </c>
      <c r="N41" s="10">
        <f>+F41+J41+M41</f>
        <v>18094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272</v>
      </c>
      <c r="E43" s="3"/>
      <c r="F43" s="17">
        <f>SUM(F38:F41)</f>
        <v>0</v>
      </c>
      <c r="G43" s="6"/>
      <c r="H43" s="6">
        <f>SUM(H38:H41)</f>
        <v>967622</v>
      </c>
      <c r="I43" s="18"/>
      <c r="J43" s="17">
        <f>SUM(J38:J41)</f>
        <v>41156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41156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7">
        <v>0</v>
      </c>
      <c r="K49" s="10">
        <f>+'22a&amp;b'!BY116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7">
        <v>0</v>
      </c>
      <c r="K50" s="10">
        <f>+'22a&amp;b'!BY117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+'22a&amp;b'!BY118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+'22a&amp;b'!BY119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668</v>
      </c>
      <c r="D56" s="6">
        <f>+D33+D43+D54</f>
        <v>2644</v>
      </c>
      <c r="E56" s="3"/>
      <c r="F56" s="17">
        <f>+F33+F43+F54</f>
        <v>303059</v>
      </c>
      <c r="G56" s="6"/>
      <c r="H56" s="6">
        <f>+H33+H43+H54</f>
        <v>3762640</v>
      </c>
      <c r="I56" s="18"/>
      <c r="J56" s="17">
        <f>+J33+J43+J54</f>
        <v>128172</v>
      </c>
      <c r="K56" s="10">
        <f>+K33+K43+K54</f>
        <v>10156</v>
      </c>
      <c r="L56" s="10">
        <f>+L33+L43+L54</f>
        <v>4977</v>
      </c>
      <c r="M56" s="10">
        <f>+M33+M43+M54</f>
        <v>15133</v>
      </c>
      <c r="N56" s="10">
        <f>+N33+N43+N54</f>
        <v>446364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250</v>
      </c>
    </row>
    <row r="61" spans="1:14" x14ac:dyDescent="0.2">
      <c r="A61" t="s">
        <v>297</v>
      </c>
    </row>
  </sheetData>
  <phoneticPr fontId="0" type="noConversion"/>
  <printOptions horizontalCentered="1" verticalCentered="1" gridLines="1"/>
  <pageMargins left="0" right="0" top="0.75" bottom="0" header="0" footer="0"/>
  <pageSetup scale="6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61"/>
  <sheetViews>
    <sheetView workbookViewId="0">
      <pane xSplit="1" ySplit="9" topLeftCell="B10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262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265</v>
      </c>
      <c r="N4" s="1">
        <f>+'Y1'!M7</f>
        <v>24</v>
      </c>
    </row>
    <row r="6" spans="1:14" ht="25.5" x14ac:dyDescent="0.2">
      <c r="A6" t="s">
        <v>275</v>
      </c>
      <c r="C6" s="12" t="s">
        <v>57</v>
      </c>
      <c r="D6" s="12" t="s">
        <v>58</v>
      </c>
      <c r="E6" s="54" t="s">
        <v>288</v>
      </c>
      <c r="F6" s="48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282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106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276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+'22a&amp;b'!BZ13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260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88</v>
      </c>
      <c r="D15" s="6">
        <v>477</v>
      </c>
      <c r="E15" s="19">
        <f>ROUND(F15/C15,2)</f>
        <v>1109.22</v>
      </c>
      <c r="F15" s="17">
        <v>97611</v>
      </c>
      <c r="G15" s="6">
        <v>896</v>
      </c>
      <c r="H15" s="11">
        <f>D15*G15</f>
        <v>427392</v>
      </c>
      <c r="I15" s="18">
        <v>3.1109999999999999E-2</v>
      </c>
      <c r="J15" s="10">
        <f t="shared" ref="J15:J31" si="0">ROUND(H15*I15,0)</f>
        <v>13296</v>
      </c>
      <c r="K15" s="10">
        <f>+'22a&amp;b'!BZ16</f>
        <v>0</v>
      </c>
      <c r="L15" s="10">
        <f>ROUND(F15*0.05,0)</f>
        <v>4881</v>
      </c>
      <c r="M15" s="10">
        <f t="shared" ref="M15:M31" si="1">+K15+L15</f>
        <v>4881</v>
      </c>
      <c r="N15" s="10">
        <f>+F15+J15+M15</f>
        <v>115788</v>
      </c>
    </row>
    <row r="16" spans="1:14" x14ac:dyDescent="0.2">
      <c r="A16" t="s">
        <v>254</v>
      </c>
      <c r="C16" s="6">
        <v>57</v>
      </c>
      <c r="D16" s="6">
        <v>218</v>
      </c>
      <c r="E16" s="19">
        <f>ROUND(F16/C16,2)</f>
        <v>62.47</v>
      </c>
      <c r="F16" s="17">
        <v>3561</v>
      </c>
      <c r="G16" s="6">
        <v>267</v>
      </c>
      <c r="H16" s="11">
        <f>D16*G16</f>
        <v>58206</v>
      </c>
      <c r="I16" s="18">
        <v>3.124E-2</v>
      </c>
      <c r="J16" s="10">
        <f t="shared" si="0"/>
        <v>1818</v>
      </c>
      <c r="K16" s="10">
        <f>+'22a&amp;b'!BZ17</f>
        <v>1125</v>
      </c>
      <c r="L16" s="10">
        <v>0</v>
      </c>
      <c r="M16" s="10">
        <f t="shared" si="1"/>
        <v>1125</v>
      </c>
      <c r="N16" s="10">
        <f>+F16+J16+M16</f>
        <v>6504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+'22a&amp;b'!BZ19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236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+'22a&amp;b'!BZ22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+'22a&amp;b'!BZ23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259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34</v>
      </c>
      <c r="D25" s="6">
        <v>231</v>
      </c>
      <c r="E25" s="19">
        <f>ROUND(F25/C25,2)</f>
        <v>560.21</v>
      </c>
      <c r="F25" s="17">
        <v>19047</v>
      </c>
      <c r="G25" s="6">
        <v>1145</v>
      </c>
      <c r="H25" s="11">
        <f>D25*G25</f>
        <v>264495</v>
      </c>
      <c r="I25" s="18">
        <v>3.1099999999999999E-2</v>
      </c>
      <c r="J25" s="10">
        <f t="shared" si="0"/>
        <v>8226</v>
      </c>
      <c r="K25" s="10">
        <f>+'22a&amp;b'!BZ26</f>
        <v>2693</v>
      </c>
      <c r="L25" s="10">
        <v>0</v>
      </c>
      <c r="M25" s="10">
        <f t="shared" si="1"/>
        <v>2693</v>
      </c>
      <c r="N25" s="10">
        <f>+F25+J25+M25</f>
        <v>29966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67</v>
      </c>
      <c r="D28" s="6">
        <v>371</v>
      </c>
      <c r="E28" s="19">
        <f>ROUND(F28/C28,2)</f>
        <v>614.85</v>
      </c>
      <c r="F28" s="17">
        <v>41195</v>
      </c>
      <c r="G28" s="6">
        <v>1808</v>
      </c>
      <c r="H28" s="11">
        <f>D28*G28</f>
        <v>670768</v>
      </c>
      <c r="I28" s="18">
        <v>3.1099999999999999E-2</v>
      </c>
      <c r="J28" s="10">
        <f t="shared" si="0"/>
        <v>20861</v>
      </c>
      <c r="K28" s="10">
        <f>+'22a&amp;b'!BZ29</f>
        <v>8372</v>
      </c>
      <c r="L28" s="10">
        <v>0</v>
      </c>
      <c r="M28" s="10">
        <f t="shared" si="1"/>
        <v>8372</v>
      </c>
      <c r="N28" s="10">
        <f>+F28+J28+M28</f>
        <v>70428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v>157</v>
      </c>
      <c r="H29" s="11">
        <f>D29*G29</f>
        <v>314</v>
      </c>
      <c r="I29" s="18">
        <v>3.124E-2</v>
      </c>
      <c r="J29" s="10">
        <f t="shared" si="0"/>
        <v>10</v>
      </c>
      <c r="K29" s="10">
        <f>+'22a&amp;b'!BZ30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371</v>
      </c>
      <c r="D31" s="6">
        <v>1479</v>
      </c>
      <c r="E31" s="19">
        <f>ROUND(F31/C31,2)</f>
        <v>400.87</v>
      </c>
      <c r="F31" s="17">
        <v>148723</v>
      </c>
      <c r="G31" s="6">
        <v>613</v>
      </c>
      <c r="H31" s="11">
        <f>D31*G31</f>
        <v>906627</v>
      </c>
      <c r="I31" s="18">
        <v>3.116E-2</v>
      </c>
      <c r="J31" s="10">
        <f t="shared" si="0"/>
        <v>28250</v>
      </c>
      <c r="K31" s="10">
        <f>+'22a&amp;b'!BZ32</f>
        <v>15612</v>
      </c>
      <c r="L31" s="10">
        <v>0</v>
      </c>
      <c r="M31" s="10">
        <f t="shared" si="1"/>
        <v>15612</v>
      </c>
      <c r="N31" s="10">
        <f>+F31+J31+M31</f>
        <v>192585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617</v>
      </c>
      <c r="D33" s="6">
        <f>SUM(D12:D31)</f>
        <v>2778</v>
      </c>
      <c r="E33" s="3"/>
      <c r="F33" s="17">
        <f>SUM(F12:F31)</f>
        <v>310137</v>
      </c>
      <c r="G33" s="6"/>
      <c r="H33" s="6">
        <f>SUM(H12:H31)</f>
        <v>2327802</v>
      </c>
      <c r="I33" s="18"/>
      <c r="J33" s="17">
        <f>SUM(J12:J31)</f>
        <v>72461</v>
      </c>
      <c r="K33" s="10">
        <f>SUM(K11:K31)</f>
        <v>27802</v>
      </c>
      <c r="L33" s="10">
        <f>SUM(L12:L31)</f>
        <v>4881</v>
      </c>
      <c r="M33" s="10">
        <f>SUM(M12:M31)</f>
        <v>32683</v>
      </c>
      <c r="N33" s="10">
        <f>SUM(N12:N31)</f>
        <v>415281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64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+'22a&amp;b'!BZ78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3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+'22a&amp;b'!BZ79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29</v>
      </c>
      <c r="E40" s="19">
        <v>0</v>
      </c>
      <c r="F40" s="10">
        <v>0</v>
      </c>
      <c r="G40" s="6">
        <v>13282</v>
      </c>
      <c r="H40" s="11">
        <f>D40*G40</f>
        <v>385178</v>
      </c>
      <c r="I40" s="18">
        <v>4.2349999999999999E-2</v>
      </c>
      <c r="J40" s="10">
        <f>ROUND(H40*I40,0)</f>
        <v>16312</v>
      </c>
      <c r="K40" s="10">
        <f>+'22a&amp;b'!BZ80</f>
        <v>0</v>
      </c>
      <c r="L40" s="10">
        <v>0</v>
      </c>
      <c r="M40" s="10">
        <f>+K40+L40</f>
        <v>0</v>
      </c>
      <c r="N40" s="10">
        <f>+F40+J40+M40</f>
        <v>16312</v>
      </c>
    </row>
    <row r="41" spans="1:14" x14ac:dyDescent="0.2">
      <c r="A41" t="s">
        <v>44</v>
      </c>
      <c r="C41" s="3">
        <v>0</v>
      </c>
      <c r="D41" s="6">
        <v>18</v>
      </c>
      <c r="E41" s="19">
        <v>0</v>
      </c>
      <c r="F41" s="10">
        <v>0</v>
      </c>
      <c r="G41" s="6">
        <v>14101</v>
      </c>
      <c r="H41" s="11">
        <f>D41*G41</f>
        <v>253818</v>
      </c>
      <c r="I41" s="18">
        <v>4.2770000000000002E-2</v>
      </c>
      <c r="J41" s="10">
        <f>ROUND(H41*I41,0)</f>
        <v>10856</v>
      </c>
      <c r="K41" s="10">
        <f>+'22a&amp;b'!BZ81</f>
        <v>0</v>
      </c>
      <c r="L41" s="10">
        <v>0</v>
      </c>
      <c r="M41" s="10">
        <f>+K41+L41</f>
        <v>0</v>
      </c>
      <c r="N41" s="10">
        <f>+F41+J41+M41</f>
        <v>10856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114</v>
      </c>
      <c r="E43" s="3"/>
      <c r="F43" s="17">
        <f>SUM(F38:F41)</f>
        <v>0</v>
      </c>
      <c r="G43" s="6"/>
      <c r="H43" s="6">
        <f>SUM(H38:H41)</f>
        <v>638996</v>
      </c>
      <c r="I43" s="18"/>
      <c r="J43" s="17">
        <f>SUM(J38:J41)</f>
        <v>27168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27168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7">
        <v>0</v>
      </c>
      <c r="K49" s="10">
        <f>+'22a&amp;b'!BZ116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7">
        <v>0</v>
      </c>
      <c r="K50" s="10">
        <f>+'22a&amp;b'!BZ117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+'22a&amp;b'!BZ118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+'22a&amp;b'!BZ119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617</v>
      </c>
      <c r="D56" s="6">
        <f>+D33+D43+D54</f>
        <v>2892</v>
      </c>
      <c r="E56" s="3"/>
      <c r="F56" s="17">
        <f>+F33+F43+F54</f>
        <v>310137</v>
      </c>
      <c r="G56" s="6"/>
      <c r="H56" s="6">
        <f>+H33+H43+H54</f>
        <v>2966798</v>
      </c>
      <c r="I56" s="18"/>
      <c r="J56" s="17">
        <f>+J33+J43+J54</f>
        <v>99629</v>
      </c>
      <c r="K56" s="10">
        <f>+K33+K43+K54</f>
        <v>27802</v>
      </c>
      <c r="L56" s="10">
        <f>+L33+L43+L54</f>
        <v>4881</v>
      </c>
      <c r="M56" s="10">
        <f>+M33+M43+M54</f>
        <v>32683</v>
      </c>
      <c r="N56" s="10">
        <f>+N33+N43+N54</f>
        <v>442449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289</v>
      </c>
    </row>
    <row r="61" spans="1:14" x14ac:dyDescent="0.2">
      <c r="A61" t="s">
        <v>290</v>
      </c>
    </row>
  </sheetData>
  <phoneticPr fontId="0" type="noConversion"/>
  <printOptions horizontalCentered="1" verticalCentered="1" gridLines="1"/>
  <pageMargins left="0" right="0" top="0.5" bottom="0" header="0" footer="0"/>
  <pageSetup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6"/>
  <sheetViews>
    <sheetView workbookViewId="0">
      <selection activeCell="O6" sqref="O6"/>
    </sheetView>
  </sheetViews>
  <sheetFormatPr defaultRowHeight="12.75" x14ac:dyDescent="0.2"/>
  <cols>
    <col min="1" max="1" width="44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20.140625" bestFit="1" customWidth="1"/>
    <col min="8" max="8" width="10" bestFit="1" customWidth="1"/>
    <col min="9" max="13" width="16" bestFit="1" customWidth="1"/>
  </cols>
  <sheetData>
    <row r="1" spans="1:13" x14ac:dyDescent="0.2">
      <c r="A1" s="14">
        <v>1997</v>
      </c>
    </row>
    <row r="6" spans="1:13" x14ac:dyDescent="0.2">
      <c r="A6" t="s">
        <v>0</v>
      </c>
      <c r="L6" t="s">
        <v>1</v>
      </c>
    </row>
    <row r="7" spans="1:13" x14ac:dyDescent="0.2">
      <c r="A7" t="s">
        <v>98</v>
      </c>
      <c r="L7" s="1" t="s">
        <v>99</v>
      </c>
      <c r="M7" s="2">
        <f>+'Y1'!M7</f>
        <v>24</v>
      </c>
    </row>
    <row r="11" spans="1:13" x14ac:dyDescent="0.2">
      <c r="A11" t="s">
        <v>26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</row>
    <row r="12" spans="1:13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100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</row>
    <row r="13" spans="1:13" ht="25.5" x14ac:dyDescent="0.2">
      <c r="A13" t="s">
        <v>28</v>
      </c>
      <c r="B13" s="1" t="s">
        <v>75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101</v>
      </c>
      <c r="H13" s="1" t="s">
        <v>80</v>
      </c>
      <c r="I13" s="1" t="s">
        <v>81</v>
      </c>
      <c r="J13" s="8" t="str">
        <f>+'Y1'!J13</f>
        <v>(EX. C,                            PG.23C)</v>
      </c>
      <c r="K13" s="1" t="s">
        <v>82</v>
      </c>
      <c r="L13" s="1" t="s">
        <v>72</v>
      </c>
      <c r="M13" s="1" t="s">
        <v>83</v>
      </c>
    </row>
    <row r="14" spans="1:13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</row>
    <row r="15" spans="1:13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3" x14ac:dyDescent="0.2">
      <c r="A16" t="s">
        <v>29</v>
      </c>
    </row>
    <row r="17" spans="1:14" x14ac:dyDescent="0.2">
      <c r="A17" t="s">
        <v>30</v>
      </c>
      <c r="B17" s="3">
        <v>273</v>
      </c>
      <c r="C17" s="3">
        <v>651</v>
      </c>
      <c r="D17" s="9">
        <v>260.68</v>
      </c>
      <c r="E17" s="10">
        <v>71167</v>
      </c>
      <c r="F17" s="11">
        <v>1345</v>
      </c>
      <c r="G17" s="11">
        <v>875595</v>
      </c>
      <c r="H17" s="9">
        <v>3.1140000000000001E-2</v>
      </c>
      <c r="I17" s="10">
        <v>27266</v>
      </c>
      <c r="J17" s="10">
        <v>21354</v>
      </c>
      <c r="K17" s="3" t="s">
        <v>38</v>
      </c>
      <c r="L17" s="10">
        <v>21354</v>
      </c>
      <c r="M17" s="10">
        <v>119787</v>
      </c>
      <c r="N17" s="3"/>
    </row>
    <row r="18" spans="1:14" x14ac:dyDescent="0.2">
      <c r="A18" t="s">
        <v>31</v>
      </c>
      <c r="B18" s="3">
        <v>118</v>
      </c>
      <c r="C18" s="3">
        <v>279</v>
      </c>
      <c r="D18" s="9">
        <v>818.97</v>
      </c>
      <c r="E18" s="10">
        <v>96638</v>
      </c>
      <c r="F18" s="11">
        <v>2785</v>
      </c>
      <c r="G18" s="11">
        <v>777015</v>
      </c>
      <c r="H18" s="9">
        <v>3.1130000000000001E-2</v>
      </c>
      <c r="I18" s="10">
        <v>24188</v>
      </c>
      <c r="J18" s="10">
        <v>0</v>
      </c>
      <c r="K18" s="10">
        <v>4832</v>
      </c>
      <c r="L18" s="10">
        <v>4832</v>
      </c>
      <c r="M18" s="10">
        <v>125658</v>
      </c>
      <c r="N18" s="3"/>
    </row>
    <row r="19" spans="1:14" x14ac:dyDescent="0.2">
      <c r="A19" t="s">
        <v>32</v>
      </c>
      <c r="B19" s="3">
        <v>26</v>
      </c>
      <c r="C19" s="3">
        <v>88</v>
      </c>
      <c r="D19" s="9">
        <v>88.23</v>
      </c>
      <c r="E19" s="10">
        <v>2294</v>
      </c>
      <c r="F19" s="3">
        <v>340</v>
      </c>
      <c r="G19" s="11">
        <v>29920</v>
      </c>
      <c r="H19" s="9">
        <v>3.124E-2</v>
      </c>
      <c r="I19" s="10">
        <v>935</v>
      </c>
      <c r="J19" s="10">
        <v>252</v>
      </c>
      <c r="K19" s="3" t="s">
        <v>38</v>
      </c>
      <c r="L19" s="10">
        <v>252</v>
      </c>
      <c r="M19" s="10">
        <v>3481</v>
      </c>
      <c r="N19" s="3"/>
    </row>
    <row r="20" spans="1:14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  <c r="N20" s="3"/>
    </row>
    <row r="21" spans="1:14" x14ac:dyDescent="0.2">
      <c r="A21" t="s">
        <v>33</v>
      </c>
      <c r="B21" s="3">
        <v>0</v>
      </c>
      <c r="C21" s="3">
        <v>269</v>
      </c>
      <c r="D21" s="3"/>
      <c r="E21" s="10">
        <v>0</v>
      </c>
      <c r="F21" s="3">
        <v>31</v>
      </c>
      <c r="G21" s="11">
        <v>8339</v>
      </c>
      <c r="H21" s="9">
        <v>3.0970000000000001E-2</v>
      </c>
      <c r="I21" s="10">
        <v>258</v>
      </c>
      <c r="J21" s="10">
        <v>0</v>
      </c>
      <c r="K21" s="3" t="s">
        <v>38</v>
      </c>
      <c r="L21" s="10">
        <v>0</v>
      </c>
      <c r="M21" s="10">
        <v>258</v>
      </c>
      <c r="N21" s="3"/>
    </row>
    <row r="22" spans="1:14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  <c r="N22" s="3"/>
    </row>
    <row r="23" spans="1:14" x14ac:dyDescent="0.2">
      <c r="A23" t="s">
        <v>34</v>
      </c>
      <c r="B23" s="3">
        <v>123</v>
      </c>
      <c r="C23" s="3">
        <v>590</v>
      </c>
      <c r="D23" s="9">
        <v>2.58</v>
      </c>
      <c r="E23" s="10">
        <v>317</v>
      </c>
      <c r="F23" s="11">
        <v>1138</v>
      </c>
      <c r="G23" s="11">
        <v>671420</v>
      </c>
      <c r="H23" s="9">
        <v>3.1119999999999998E-2</v>
      </c>
      <c r="I23" s="10">
        <v>20895</v>
      </c>
      <c r="J23" s="10">
        <v>2427</v>
      </c>
      <c r="K23" s="3" t="s">
        <v>38</v>
      </c>
      <c r="L23" s="10">
        <v>2427</v>
      </c>
      <c r="M23" s="10">
        <v>23639</v>
      </c>
      <c r="N23" s="3"/>
    </row>
    <row r="24" spans="1:14" x14ac:dyDescent="0.2">
      <c r="A24" t="s">
        <v>35</v>
      </c>
      <c r="B24" s="3">
        <v>124</v>
      </c>
      <c r="C24" s="3">
        <v>581</v>
      </c>
      <c r="D24" s="9">
        <v>2.56</v>
      </c>
      <c r="E24" s="10">
        <v>318</v>
      </c>
      <c r="F24" s="3">
        <v>407</v>
      </c>
      <c r="G24" s="11">
        <v>236467</v>
      </c>
      <c r="H24" s="9">
        <v>3.1140000000000001E-2</v>
      </c>
      <c r="I24" s="10">
        <v>7364</v>
      </c>
      <c r="J24" s="10">
        <v>2070</v>
      </c>
      <c r="K24" s="3" t="s">
        <v>38</v>
      </c>
      <c r="L24" s="10">
        <v>2070</v>
      </c>
      <c r="M24" s="10">
        <v>9752</v>
      </c>
      <c r="N24" s="3"/>
    </row>
    <row r="25" spans="1:14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  <c r="N25" s="3"/>
    </row>
    <row r="26" spans="1:14" x14ac:dyDescent="0.2">
      <c r="A26" t="s">
        <v>36</v>
      </c>
      <c r="B26" s="3">
        <v>109</v>
      </c>
      <c r="C26" s="3">
        <v>403</v>
      </c>
      <c r="D26" s="9">
        <v>157.87</v>
      </c>
      <c r="E26" s="10">
        <v>17208</v>
      </c>
      <c r="F26" s="11">
        <v>1080</v>
      </c>
      <c r="G26" s="11">
        <v>435240</v>
      </c>
      <c r="H26" s="9">
        <v>3.1109999999999999E-2</v>
      </c>
      <c r="I26" s="10">
        <v>13540</v>
      </c>
      <c r="J26" s="10">
        <v>4236</v>
      </c>
      <c r="K26" s="3" t="s">
        <v>38</v>
      </c>
      <c r="L26" s="10">
        <v>4236</v>
      </c>
      <c r="M26" s="10">
        <v>34984</v>
      </c>
      <c r="N26" s="3"/>
    </row>
    <row r="27" spans="1:14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3"/>
    </row>
    <row r="28" spans="1:14" x14ac:dyDescent="0.2">
      <c r="A28" t="s">
        <v>37</v>
      </c>
      <c r="B28" s="3">
        <v>12</v>
      </c>
      <c r="C28" s="3">
        <v>78</v>
      </c>
      <c r="D28" s="9">
        <v>635.16999999999996</v>
      </c>
      <c r="E28" s="10">
        <v>7622</v>
      </c>
      <c r="F28" s="3">
        <v>0</v>
      </c>
      <c r="G28" s="3">
        <v>0</v>
      </c>
      <c r="H28" s="3" t="s">
        <v>38</v>
      </c>
      <c r="I28" s="3" t="s">
        <v>38</v>
      </c>
      <c r="J28" s="10">
        <v>0</v>
      </c>
      <c r="K28" s="10">
        <v>381</v>
      </c>
      <c r="L28" s="10">
        <v>381</v>
      </c>
      <c r="M28" s="10">
        <v>8003</v>
      </c>
      <c r="N28" s="3"/>
    </row>
    <row r="29" spans="1:14" s="3" customFormat="1" x14ac:dyDescent="0.2">
      <c r="B29" s="3" t="s">
        <v>90</v>
      </c>
      <c r="C29" s="3" t="s">
        <v>90</v>
      </c>
      <c r="E29" s="3" t="s">
        <v>90</v>
      </c>
      <c r="G29" s="3" t="s">
        <v>102</v>
      </c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4" x14ac:dyDescent="0.2">
      <c r="A30" t="s">
        <v>39</v>
      </c>
      <c r="B30" s="3">
        <v>785</v>
      </c>
      <c r="C30" s="11">
        <v>2939</v>
      </c>
      <c r="D30" s="3"/>
      <c r="E30" s="10">
        <v>195564</v>
      </c>
      <c r="F30" s="3"/>
      <c r="G30" s="11">
        <v>3033996</v>
      </c>
      <c r="H30" s="3"/>
      <c r="I30" s="10">
        <v>94446</v>
      </c>
      <c r="J30" s="10">
        <v>30339</v>
      </c>
      <c r="K30" s="10">
        <v>5213</v>
      </c>
      <c r="L30" s="10">
        <v>35552</v>
      </c>
      <c r="M30" s="10">
        <v>325562</v>
      </c>
      <c r="N30" s="3"/>
    </row>
    <row r="31" spans="1:14" s="3" customFormat="1" x14ac:dyDescent="0.2">
      <c r="B31" s="3" t="s">
        <v>93</v>
      </c>
      <c r="C31" s="3" t="s">
        <v>93</v>
      </c>
      <c r="E31" s="3" t="s">
        <v>93</v>
      </c>
      <c r="G31" s="3" t="s">
        <v>103</v>
      </c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4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t="s">
        <v>41</v>
      </c>
      <c r="B35" s="3">
        <v>243</v>
      </c>
      <c r="C35" s="3">
        <v>207</v>
      </c>
      <c r="D35" s="9">
        <v>264</v>
      </c>
      <c r="E35" s="10">
        <v>64152</v>
      </c>
      <c r="F35" s="3">
        <v>0</v>
      </c>
      <c r="G35" s="3">
        <v>0</v>
      </c>
      <c r="H35" s="3" t="s">
        <v>38</v>
      </c>
      <c r="I35" s="3" t="s">
        <v>38</v>
      </c>
      <c r="J35" s="10">
        <v>0</v>
      </c>
      <c r="K35" s="10">
        <v>3208</v>
      </c>
      <c r="L35" s="10">
        <v>3208</v>
      </c>
      <c r="M35" s="10">
        <v>67360</v>
      </c>
      <c r="N35" s="3"/>
    </row>
    <row r="36" spans="1:14" x14ac:dyDescent="0.2">
      <c r="A36" t="s">
        <v>42</v>
      </c>
      <c r="B36" s="3">
        <v>11</v>
      </c>
      <c r="C36" s="3">
        <v>9</v>
      </c>
      <c r="D36" s="9">
        <v>2705</v>
      </c>
      <c r="E36" s="10">
        <v>29755</v>
      </c>
      <c r="F36" s="3">
        <v>0</v>
      </c>
      <c r="G36" s="3">
        <v>0</v>
      </c>
      <c r="H36" s="3" t="s">
        <v>38</v>
      </c>
      <c r="I36" s="3" t="s">
        <v>38</v>
      </c>
      <c r="J36" s="10">
        <v>0</v>
      </c>
      <c r="K36" s="10">
        <v>1488</v>
      </c>
      <c r="L36" s="10">
        <v>1488</v>
      </c>
      <c r="M36" s="10">
        <v>31243</v>
      </c>
      <c r="N36" s="3"/>
    </row>
    <row r="37" spans="1:14" x14ac:dyDescent="0.2">
      <c r="A37" t="s">
        <v>43</v>
      </c>
      <c r="B37" s="3">
        <v>0</v>
      </c>
      <c r="C37" s="3">
        <v>1</v>
      </c>
      <c r="D37" s="3" t="s">
        <v>38</v>
      </c>
      <c r="E37" s="10">
        <v>5629</v>
      </c>
      <c r="F37" s="11">
        <v>11000</v>
      </c>
      <c r="G37" s="11">
        <v>11000</v>
      </c>
      <c r="H37" s="9">
        <v>4.267E-2</v>
      </c>
      <c r="I37" s="10">
        <v>469</v>
      </c>
      <c r="J37" s="10">
        <v>0</v>
      </c>
      <c r="K37" s="10">
        <v>281</v>
      </c>
      <c r="L37" s="10">
        <v>281</v>
      </c>
      <c r="M37" s="10">
        <v>6379</v>
      </c>
      <c r="N37" s="3"/>
    </row>
    <row r="38" spans="1:14" x14ac:dyDescent="0.2">
      <c r="A38" t="s">
        <v>44</v>
      </c>
      <c r="B38" s="3">
        <v>1</v>
      </c>
      <c r="C38" s="3">
        <v>0</v>
      </c>
      <c r="D38" s="9">
        <v>4692</v>
      </c>
      <c r="E38" s="10">
        <v>4692</v>
      </c>
      <c r="F38" s="11">
        <v>15300</v>
      </c>
      <c r="G38" s="3">
        <v>0</v>
      </c>
      <c r="H38" s="9">
        <v>4.267E-2</v>
      </c>
      <c r="I38" s="10">
        <v>0</v>
      </c>
      <c r="J38" s="10">
        <v>50</v>
      </c>
      <c r="K38" s="3" t="s">
        <v>38</v>
      </c>
      <c r="L38" s="10">
        <v>50</v>
      </c>
      <c r="M38" s="10">
        <v>4742</v>
      </c>
      <c r="N38" s="3"/>
    </row>
    <row r="39" spans="1:14" s="3" customFormat="1" x14ac:dyDescent="0.2">
      <c r="B39" s="3" t="s">
        <v>90</v>
      </c>
      <c r="C39" s="3" t="s">
        <v>90</v>
      </c>
      <c r="E39" s="3" t="s">
        <v>90</v>
      </c>
      <c r="G39" s="3" t="s">
        <v>102</v>
      </c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4" x14ac:dyDescent="0.2">
      <c r="A40" t="s">
        <v>45</v>
      </c>
      <c r="B40" s="3">
        <v>255</v>
      </c>
      <c r="C40" s="3">
        <v>217</v>
      </c>
      <c r="D40" s="3"/>
      <c r="E40" s="10">
        <v>104228</v>
      </c>
      <c r="F40" s="3"/>
      <c r="G40" s="11">
        <v>11000</v>
      </c>
      <c r="H40" s="3"/>
      <c r="I40" s="10">
        <v>469</v>
      </c>
      <c r="J40" s="10">
        <v>50</v>
      </c>
      <c r="K40" s="10">
        <v>4977</v>
      </c>
      <c r="L40" s="10">
        <v>5027</v>
      </c>
      <c r="M40" s="10">
        <v>109724</v>
      </c>
      <c r="N40" s="3"/>
    </row>
    <row r="41" spans="1:14" s="3" customFormat="1" x14ac:dyDescent="0.2">
      <c r="B41" s="3" t="s">
        <v>93</v>
      </c>
      <c r="C41" s="3" t="s">
        <v>93</v>
      </c>
      <c r="E41" s="3" t="s">
        <v>93</v>
      </c>
      <c r="G41" s="3" t="s">
        <v>103</v>
      </c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4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t="s">
        <v>41</v>
      </c>
      <c r="B46" s="3">
        <v>9</v>
      </c>
      <c r="C46" s="3">
        <v>20</v>
      </c>
      <c r="D46" s="9">
        <v>279.56</v>
      </c>
      <c r="E46" s="10">
        <v>2516</v>
      </c>
      <c r="F46" s="3">
        <v>0</v>
      </c>
      <c r="G46" s="3">
        <v>0</v>
      </c>
      <c r="H46" s="3" t="s">
        <v>38</v>
      </c>
      <c r="I46" s="3" t="s">
        <v>38</v>
      </c>
      <c r="J46" s="10">
        <v>0</v>
      </c>
      <c r="K46" s="10">
        <v>126</v>
      </c>
      <c r="L46" s="10">
        <v>126</v>
      </c>
      <c r="M46" s="10">
        <v>2642</v>
      </c>
      <c r="N46" s="3"/>
    </row>
    <row r="47" spans="1:14" x14ac:dyDescent="0.2">
      <c r="A47" t="s">
        <v>48</v>
      </c>
      <c r="B47" s="3">
        <v>1</v>
      </c>
      <c r="C47" s="3">
        <v>2</v>
      </c>
      <c r="D47" s="9">
        <v>1133</v>
      </c>
      <c r="E47" s="10">
        <v>1133</v>
      </c>
      <c r="F47" s="3">
        <v>0</v>
      </c>
      <c r="G47" s="3">
        <v>0</v>
      </c>
      <c r="H47" s="3" t="s">
        <v>38</v>
      </c>
      <c r="I47" s="3" t="s">
        <v>38</v>
      </c>
      <c r="J47" s="10">
        <v>0</v>
      </c>
      <c r="K47" s="10">
        <v>57</v>
      </c>
      <c r="L47" s="10">
        <v>57</v>
      </c>
      <c r="M47" s="10">
        <v>1190</v>
      </c>
      <c r="N47" s="3"/>
    </row>
    <row r="48" spans="1:14" x14ac:dyDescent="0.2">
      <c r="A48" t="s">
        <v>49</v>
      </c>
      <c r="B48" s="3">
        <v>0</v>
      </c>
      <c r="C48" s="3">
        <v>0</v>
      </c>
      <c r="D48" s="3" t="s">
        <v>38</v>
      </c>
      <c r="E48" s="10">
        <v>7840</v>
      </c>
      <c r="F48" s="11">
        <v>14100</v>
      </c>
      <c r="G48" s="3">
        <v>0</v>
      </c>
      <c r="H48" s="9">
        <v>4.1079999999999998E-2</v>
      </c>
      <c r="I48" s="10">
        <v>0</v>
      </c>
      <c r="J48" s="10">
        <v>0</v>
      </c>
      <c r="K48" s="10">
        <v>392</v>
      </c>
      <c r="L48" s="10">
        <v>392</v>
      </c>
      <c r="M48" s="10">
        <v>8232</v>
      </c>
      <c r="N48" s="3"/>
    </row>
    <row r="49" spans="1:14" x14ac:dyDescent="0.2">
      <c r="A49" t="s">
        <v>50</v>
      </c>
      <c r="B49" s="3">
        <v>0</v>
      </c>
      <c r="C49" s="3">
        <v>0</v>
      </c>
      <c r="D49" s="3"/>
      <c r="E49" s="10">
        <v>0</v>
      </c>
      <c r="F49" s="11">
        <v>82400</v>
      </c>
      <c r="G49" s="3">
        <v>0</v>
      </c>
      <c r="H49" s="9">
        <v>3.2710000000000003E-2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3"/>
    </row>
    <row r="50" spans="1:14" s="3" customFormat="1" x14ac:dyDescent="0.2">
      <c r="B50" s="3" t="s">
        <v>90</v>
      </c>
      <c r="C50" s="3" t="s">
        <v>90</v>
      </c>
      <c r="E50" s="3" t="s">
        <v>90</v>
      </c>
      <c r="G50" s="3" t="s">
        <v>102</v>
      </c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4" x14ac:dyDescent="0.2">
      <c r="A51" t="s">
        <v>51</v>
      </c>
      <c r="B51" s="3">
        <v>10</v>
      </c>
      <c r="C51" s="3">
        <v>22</v>
      </c>
      <c r="D51" s="3"/>
      <c r="E51" s="10">
        <v>11489</v>
      </c>
      <c r="F51" s="3"/>
      <c r="G51" s="3">
        <v>0</v>
      </c>
      <c r="H51" s="3"/>
      <c r="I51" s="10">
        <v>0</v>
      </c>
      <c r="J51" s="10">
        <v>0</v>
      </c>
      <c r="K51" s="10">
        <v>575</v>
      </c>
      <c r="L51" s="10">
        <v>575</v>
      </c>
      <c r="M51" s="10">
        <v>12064</v>
      </c>
      <c r="N51" s="3"/>
    </row>
    <row r="52" spans="1:14" s="3" customFormat="1" x14ac:dyDescent="0.2">
      <c r="B52" s="3" t="s">
        <v>93</v>
      </c>
      <c r="C52" s="3" t="s">
        <v>93</v>
      </c>
      <c r="E52" s="3" t="s">
        <v>93</v>
      </c>
      <c r="G52" s="3" t="s">
        <v>103</v>
      </c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4" x14ac:dyDescent="0.2">
      <c r="A53" t="s">
        <v>52</v>
      </c>
      <c r="B53" s="11">
        <v>1050</v>
      </c>
      <c r="C53" s="11">
        <v>3178</v>
      </c>
      <c r="D53" s="3"/>
      <c r="E53" s="10">
        <v>311281</v>
      </c>
      <c r="F53" s="3"/>
      <c r="G53" s="11">
        <v>3044996</v>
      </c>
      <c r="H53" s="3"/>
      <c r="I53" s="10">
        <v>94915</v>
      </c>
      <c r="J53" s="10">
        <v>30389</v>
      </c>
      <c r="K53" s="10">
        <v>10765</v>
      </c>
      <c r="L53" s="10">
        <v>41154</v>
      </c>
      <c r="M53" s="10">
        <v>447350</v>
      </c>
      <c r="N53" s="3"/>
    </row>
    <row r="54" spans="1:14" s="3" customFormat="1" x14ac:dyDescent="0.2">
      <c r="B54" s="3" t="s">
        <v>93</v>
      </c>
      <c r="C54" s="3" t="s">
        <v>93</v>
      </c>
      <c r="E54" s="3" t="s">
        <v>93</v>
      </c>
      <c r="G54" s="3" t="s">
        <v>103</v>
      </c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5" spans="1:14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x14ac:dyDescent="0.2">
      <c r="A56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phoneticPr fontId="0" type="noConversion"/>
  <printOptions horizontalCentered="1" verticalCentered="1" gridLines="1"/>
  <pageMargins left="0" right="0" top="0" bottom="0" header="0" footer="0"/>
  <pageSetup scale="6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61"/>
  <sheetViews>
    <sheetView workbookViewId="0">
      <pane xSplit="1" ySplit="9" topLeftCell="B10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262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266</v>
      </c>
      <c r="N4" s="1">
        <f>+'Y1'!M7</f>
        <v>24</v>
      </c>
    </row>
    <row r="6" spans="1:14" ht="25.5" x14ac:dyDescent="0.2">
      <c r="A6" t="s">
        <v>278</v>
      </c>
      <c r="C6" s="12" t="s">
        <v>57</v>
      </c>
      <c r="D6" s="12" t="s">
        <v>58</v>
      </c>
      <c r="E6" s="54" t="s">
        <v>288</v>
      </c>
      <c r="F6" s="8" t="s">
        <v>283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8" t="s">
        <v>283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276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+'22a&amp;b'!CA13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85</v>
      </c>
      <c r="D15" s="6">
        <v>492</v>
      </c>
      <c r="E15" s="19">
        <f>ROUND(F15/C15,2)</f>
        <v>1207.52</v>
      </c>
      <c r="F15" s="17">
        <v>102639</v>
      </c>
      <c r="G15" s="6">
        <v>896</v>
      </c>
      <c r="H15" s="11">
        <f>D15*G15</f>
        <v>440832</v>
      </c>
      <c r="I15" s="18">
        <v>3.1109999999999999E-2</v>
      </c>
      <c r="J15" s="10">
        <f t="shared" ref="J15:J31" si="0">ROUND(H15*I15,0)</f>
        <v>13714</v>
      </c>
      <c r="K15" s="10">
        <f>+'22a&amp;b'!CA16</f>
        <v>0</v>
      </c>
      <c r="L15" s="10">
        <f>ROUND(F15*0.05,0)</f>
        <v>5132</v>
      </c>
      <c r="M15" s="10">
        <f t="shared" ref="M15:M31" si="1">+K15+L15</f>
        <v>5132</v>
      </c>
      <c r="N15" s="10">
        <f>+F15+J15+M15</f>
        <v>121485</v>
      </c>
    </row>
    <row r="16" spans="1:14" x14ac:dyDescent="0.2">
      <c r="A16" t="s">
        <v>254</v>
      </c>
      <c r="C16" s="6">
        <v>26</v>
      </c>
      <c r="D16" s="6">
        <v>233</v>
      </c>
      <c r="E16" s="19">
        <f>ROUND(F16/C16,2)</f>
        <v>65.849999999999994</v>
      </c>
      <c r="F16" s="17">
        <v>1712</v>
      </c>
      <c r="G16" s="6">
        <v>266</v>
      </c>
      <c r="H16" s="11">
        <f>D16*G16</f>
        <v>61978</v>
      </c>
      <c r="I16" s="18">
        <v>3.124E-2</v>
      </c>
      <c r="J16" s="10">
        <f t="shared" si="0"/>
        <v>1936</v>
      </c>
      <c r="K16" s="10">
        <f>+'22a&amp;b'!CA17</f>
        <v>513</v>
      </c>
      <c r="L16" s="10">
        <v>0</v>
      </c>
      <c r="M16" s="10">
        <f t="shared" si="1"/>
        <v>513</v>
      </c>
      <c r="N16" s="10">
        <f>+F16+J16+M16</f>
        <v>4161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+'22a&amp;b'!CA19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+'22a&amp;b'!CA22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+'22a&amp;b'!CA23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40</v>
      </c>
      <c r="D25" s="6">
        <v>225</v>
      </c>
      <c r="E25" s="19">
        <f>ROUND(F25/C25,2)</f>
        <v>476.78</v>
      </c>
      <c r="F25" s="17">
        <v>19071</v>
      </c>
      <c r="G25" s="6">
        <v>1144</v>
      </c>
      <c r="H25" s="11">
        <f>D25*G25</f>
        <v>257400</v>
      </c>
      <c r="I25" s="18">
        <v>3.1099999999999999E-2</v>
      </c>
      <c r="J25" s="10">
        <f t="shared" si="0"/>
        <v>8005</v>
      </c>
      <c r="K25" s="10">
        <f>+'22a&amp;b'!CA26</f>
        <v>3168</v>
      </c>
      <c r="L25" s="10">
        <v>0</v>
      </c>
      <c r="M25" s="10">
        <f t="shared" si="1"/>
        <v>3168</v>
      </c>
      <c r="N25" s="10">
        <f>+F25+J25+M25</f>
        <v>30244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83</v>
      </c>
      <c r="D28" s="6">
        <v>385</v>
      </c>
      <c r="E28" s="19">
        <f>ROUND(F28/C28,2)</f>
        <v>544.23</v>
      </c>
      <c r="F28" s="17">
        <v>45171</v>
      </c>
      <c r="G28" s="6">
        <v>1810</v>
      </c>
      <c r="H28" s="11">
        <f>D28*G28</f>
        <v>696850</v>
      </c>
      <c r="I28" s="18">
        <v>3.1099999999999999E-2</v>
      </c>
      <c r="J28" s="10">
        <f t="shared" si="0"/>
        <v>21672</v>
      </c>
      <c r="K28" s="10">
        <f>+'22a&amp;b'!CA29</f>
        <v>10372</v>
      </c>
      <c r="L28" s="10">
        <v>0</v>
      </c>
      <c r="M28" s="10">
        <f t="shared" si="1"/>
        <v>10372</v>
      </c>
      <c r="N28" s="10">
        <f>+F28+J28+M28</f>
        <v>77215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v>158</v>
      </c>
      <c r="H29" s="11">
        <f>D29*G29</f>
        <v>316</v>
      </c>
      <c r="I29" s="18">
        <v>3.124E-2</v>
      </c>
      <c r="J29" s="10">
        <f t="shared" si="0"/>
        <v>10</v>
      </c>
      <c r="K29" s="10">
        <f>+'22a&amp;b'!CA30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351</v>
      </c>
      <c r="D31" s="6">
        <v>1826</v>
      </c>
      <c r="E31" s="19">
        <f>ROUND(F31/C31,2)</f>
        <v>373.12</v>
      </c>
      <c r="F31" s="17">
        <v>130965</v>
      </c>
      <c r="G31" s="6">
        <v>612</v>
      </c>
      <c r="H31" s="11">
        <f>D31*G31</f>
        <v>1117512</v>
      </c>
      <c r="I31" s="18">
        <v>3.116E-2</v>
      </c>
      <c r="J31" s="10">
        <f t="shared" si="0"/>
        <v>34822</v>
      </c>
      <c r="K31" s="10">
        <f>+'22a&amp;b'!CA32</f>
        <v>14770</v>
      </c>
      <c r="L31" s="10">
        <v>0</v>
      </c>
      <c r="M31" s="10">
        <f t="shared" si="1"/>
        <v>14770</v>
      </c>
      <c r="N31" s="10">
        <f>+F31+J31+M31</f>
        <v>180557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585</v>
      </c>
      <c r="D33" s="6">
        <f>SUM(D12:D31)</f>
        <v>3163</v>
      </c>
      <c r="E33" s="3"/>
      <c r="F33" s="17">
        <f>SUM(F12:F31)</f>
        <v>299558</v>
      </c>
      <c r="G33" s="6"/>
      <c r="H33" s="6">
        <f>SUM(H12:H31)</f>
        <v>2574888</v>
      </c>
      <c r="I33" s="18"/>
      <c r="J33" s="17">
        <f>SUM(J12:J31)</f>
        <v>80159</v>
      </c>
      <c r="K33" s="10">
        <f>SUM(K11:K31)</f>
        <v>28823</v>
      </c>
      <c r="L33" s="10">
        <f>SUM(L12:L31)</f>
        <v>5132</v>
      </c>
      <c r="M33" s="10">
        <f>SUM(M12:M31)</f>
        <v>33955</v>
      </c>
      <c r="N33" s="10">
        <f>SUM(N12:N31)</f>
        <v>413672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+'22a&amp;b'!CA78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+'22a&amp;b'!CA79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20</v>
      </c>
      <c r="E40" s="19">
        <v>0</v>
      </c>
      <c r="F40" s="10">
        <v>0</v>
      </c>
      <c r="G40" s="6">
        <v>13282</v>
      </c>
      <c r="H40" s="11">
        <f>D40*G40</f>
        <v>265640</v>
      </c>
      <c r="I40" s="18">
        <v>4.2349999999999999E-2</v>
      </c>
      <c r="J40" s="10">
        <f>ROUND(H40*I40,0)</f>
        <v>11250</v>
      </c>
      <c r="K40" s="10">
        <f>+'22a&amp;b'!CA80</f>
        <v>0</v>
      </c>
      <c r="L40" s="10">
        <v>0</v>
      </c>
      <c r="M40" s="10">
        <f>+K40+L40</f>
        <v>0</v>
      </c>
      <c r="N40" s="10">
        <f>+F40+J40+M40</f>
        <v>11250</v>
      </c>
    </row>
    <row r="41" spans="1:14" x14ac:dyDescent="0.2">
      <c r="A41" t="s">
        <v>44</v>
      </c>
      <c r="C41" s="3">
        <v>0</v>
      </c>
      <c r="D41" s="6">
        <v>11</v>
      </c>
      <c r="E41" s="19">
        <v>0</v>
      </c>
      <c r="F41" s="10">
        <v>0</v>
      </c>
      <c r="G41" s="6">
        <v>14102</v>
      </c>
      <c r="H41" s="11">
        <f>D41*G41</f>
        <v>155122</v>
      </c>
      <c r="I41" s="18">
        <v>4.2770000000000002E-2</v>
      </c>
      <c r="J41" s="10">
        <f>ROUND(H41*I41,0)</f>
        <v>6635</v>
      </c>
      <c r="K41" s="10">
        <f>+'22a&amp;b'!CA81</f>
        <v>0</v>
      </c>
      <c r="L41" s="10">
        <v>0</v>
      </c>
      <c r="M41" s="10">
        <f>+K41+L41</f>
        <v>0</v>
      </c>
      <c r="N41" s="10">
        <f>+F41+J41+M41</f>
        <v>6635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31</v>
      </c>
      <c r="E43" s="3"/>
      <c r="F43" s="17">
        <f>SUM(F38:F41)</f>
        <v>0</v>
      </c>
      <c r="G43" s="6"/>
      <c r="H43" s="6">
        <f>SUM(H38:H41)</f>
        <v>420762</v>
      </c>
      <c r="I43" s="18"/>
      <c r="J43" s="17">
        <f>SUM(J38:J41)</f>
        <v>17885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17885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7">
        <v>0</v>
      </c>
      <c r="K49" s="10">
        <f>+'22a&amp;b'!CA116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7">
        <v>0</v>
      </c>
      <c r="K50" s="10">
        <f>+'22a&amp;b'!CA117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+'22a&amp;b'!CA118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+'22a&amp;b'!CA119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585</v>
      </c>
      <c r="D56" s="6">
        <f>+D33+D43+D54</f>
        <v>3194</v>
      </c>
      <c r="E56" s="3"/>
      <c r="F56" s="17">
        <f>+F33+F43+F54</f>
        <v>299558</v>
      </c>
      <c r="G56" s="6"/>
      <c r="H56" s="6">
        <f>+H33+H43+H54</f>
        <v>2995650</v>
      </c>
      <c r="I56" s="18"/>
      <c r="J56" s="17">
        <f>+J33+J43+J54</f>
        <v>98044</v>
      </c>
      <c r="K56" s="10">
        <f>+K33+K43+K54</f>
        <v>28823</v>
      </c>
      <c r="L56" s="10">
        <f>+L33+L43+L54</f>
        <v>5132</v>
      </c>
      <c r="M56" s="10">
        <f>+M33+M43+M54</f>
        <v>33955</v>
      </c>
      <c r="N56" s="10">
        <f>+N33+N43+N54</f>
        <v>431557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291</v>
      </c>
    </row>
    <row r="61" spans="1:14" x14ac:dyDescent="0.2">
      <c r="A61" t="s">
        <v>292</v>
      </c>
    </row>
  </sheetData>
  <phoneticPr fontId="0" type="noConversion"/>
  <printOptions horizontalCentered="1" verticalCentered="1" gridLines="1"/>
  <pageMargins left="0" right="0" top="1" bottom="0" header="0" footer="0"/>
  <pageSetup scale="6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61"/>
  <sheetViews>
    <sheetView workbookViewId="0">
      <pane xSplit="1" ySplit="10" topLeftCell="B11" activePane="bottomRight" state="frozen"/>
      <selection activeCell="O6" sqref="O6"/>
      <selection pane="topRight" activeCell="O6" sqref="O6"/>
      <selection pane="bottomLeft" activeCell="O6" sqref="O6"/>
      <selection pane="bottomRight" activeCell="G51" sqref="G51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277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279</v>
      </c>
      <c r="N4" s="1">
        <f>+'Y1'!M7</f>
        <v>24</v>
      </c>
    </row>
    <row r="6" spans="1:14" ht="25.5" x14ac:dyDescent="0.2">
      <c r="A6" t="s">
        <v>301</v>
      </c>
      <c r="C6" s="12" t="s">
        <v>57</v>
      </c>
      <c r="D6" s="12" t="s">
        <v>58</v>
      </c>
      <c r="E6" s="54" t="s">
        <v>299</v>
      </c>
      <c r="F6" s="55" t="s">
        <v>298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298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+'22a&amp;b'!CB13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75</v>
      </c>
      <c r="D15" s="6">
        <v>496</v>
      </c>
      <c r="E15" s="19">
        <f>ROUND(F15/C15,2)</f>
        <v>974.31</v>
      </c>
      <c r="F15" s="17">
        <v>73073</v>
      </c>
      <c r="G15" s="6">
        <v>896</v>
      </c>
      <c r="H15" s="11">
        <f>D15*G15</f>
        <v>444416</v>
      </c>
      <c r="I15" s="18">
        <v>3.1109999999999999E-2</v>
      </c>
      <c r="J15" s="10">
        <f t="shared" ref="J15:J31" si="0">ROUND(H15*I15,0)</f>
        <v>13826</v>
      </c>
      <c r="K15" s="10">
        <f>+'22a&amp;b'!CB16</f>
        <v>0</v>
      </c>
      <c r="L15" s="10">
        <f>ROUND(F15*0.05,0)</f>
        <v>3654</v>
      </c>
      <c r="M15" s="10">
        <f t="shared" ref="M15:M31" si="1">+K15+L15</f>
        <v>3654</v>
      </c>
      <c r="N15" s="10">
        <f>+F15+J15+M15</f>
        <v>90553</v>
      </c>
    </row>
    <row r="16" spans="1:14" x14ac:dyDescent="0.2">
      <c r="A16" t="s">
        <v>254</v>
      </c>
      <c r="C16" s="6">
        <v>34</v>
      </c>
      <c r="D16" s="6">
        <v>249</v>
      </c>
      <c r="E16" s="19">
        <f>ROUND(F16/C16,2)</f>
        <v>84.56</v>
      </c>
      <c r="F16" s="17">
        <v>2875</v>
      </c>
      <c r="G16" s="6">
        <v>267</v>
      </c>
      <c r="H16" s="11">
        <f>D16*G16</f>
        <v>66483</v>
      </c>
      <c r="I16" s="18">
        <v>3.124E-2</v>
      </c>
      <c r="J16" s="10">
        <f t="shared" si="0"/>
        <v>2077</v>
      </c>
      <c r="K16" s="10">
        <f>+'22a&amp;b'!CB17</f>
        <v>671</v>
      </c>
      <c r="L16" s="10">
        <v>0</v>
      </c>
      <c r="M16" s="10">
        <f t="shared" si="1"/>
        <v>671</v>
      </c>
      <c r="N16" s="10">
        <f>+F16+J16+M16</f>
        <v>5623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+'22a&amp;b'!CB19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+'22a&amp;b'!CB22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+'22a&amp;b'!CB23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48</v>
      </c>
      <c r="D25" s="6">
        <v>230</v>
      </c>
      <c r="E25" s="19">
        <f>ROUND(F25/C25,2)</f>
        <v>446.06</v>
      </c>
      <c r="F25" s="17">
        <v>21411</v>
      </c>
      <c r="G25" s="6">
        <v>1145</v>
      </c>
      <c r="H25" s="11">
        <f>D25*G25</f>
        <v>263350</v>
      </c>
      <c r="I25" s="18">
        <v>3.1099999999999999E-2</v>
      </c>
      <c r="J25" s="10">
        <f t="shared" si="0"/>
        <v>8190</v>
      </c>
      <c r="K25" s="10">
        <f>+'22a&amp;b'!CB26</f>
        <v>3802</v>
      </c>
      <c r="L25" s="10">
        <v>0</v>
      </c>
      <c r="M25" s="10">
        <f t="shared" si="1"/>
        <v>3802</v>
      </c>
      <c r="N25" s="10">
        <f>+F25+J25+M25</f>
        <v>33403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90</v>
      </c>
      <c r="D28" s="6">
        <v>425</v>
      </c>
      <c r="E28" s="19">
        <f>ROUND(F28/C28,2)</f>
        <v>561.21</v>
      </c>
      <c r="F28" s="17">
        <v>50509</v>
      </c>
      <c r="G28" s="6">
        <v>1810</v>
      </c>
      <c r="H28" s="11">
        <f>D28*G28</f>
        <v>769250</v>
      </c>
      <c r="I28" s="18">
        <v>3.1099999999999999E-2</v>
      </c>
      <c r="J28" s="10">
        <f t="shared" si="0"/>
        <v>23924</v>
      </c>
      <c r="K28" s="10">
        <f>+'22a&amp;b'!CB29</f>
        <v>11246</v>
      </c>
      <c r="L28" s="10">
        <v>0</v>
      </c>
      <c r="M28" s="10">
        <f t="shared" si="1"/>
        <v>11246</v>
      </c>
      <c r="N28" s="10">
        <f>+F28+J28+M28</f>
        <v>85679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v>157</v>
      </c>
      <c r="H29" s="11">
        <f>D29*G29</f>
        <v>314</v>
      </c>
      <c r="I29" s="18">
        <v>3.124E-2</v>
      </c>
      <c r="J29" s="10">
        <f t="shared" si="0"/>
        <v>10</v>
      </c>
      <c r="K29" s="10">
        <f>+'22a&amp;b'!CB30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440</v>
      </c>
      <c r="D31" s="6">
        <v>2185</v>
      </c>
      <c r="E31" s="19">
        <f>ROUND(F31/C31,2)</f>
        <v>275.33</v>
      </c>
      <c r="F31" s="17">
        <v>121144</v>
      </c>
      <c r="G31" s="6">
        <v>613</v>
      </c>
      <c r="H31" s="11">
        <f>D31*G31</f>
        <v>1339405</v>
      </c>
      <c r="I31" s="18">
        <v>3.116E-2</v>
      </c>
      <c r="J31" s="10">
        <f t="shared" si="0"/>
        <v>41736</v>
      </c>
      <c r="K31" s="10">
        <f>+'22a&amp;b'!CB32</f>
        <v>18515</v>
      </c>
      <c r="L31" s="10">
        <v>0</v>
      </c>
      <c r="M31" s="10">
        <f t="shared" si="1"/>
        <v>18515</v>
      </c>
      <c r="N31" s="10">
        <f>+F31+J31+M31</f>
        <v>181395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687</v>
      </c>
      <c r="D33" s="6">
        <f>SUM(D12:D31)</f>
        <v>3587</v>
      </c>
      <c r="E33" s="3"/>
      <c r="F33" s="17">
        <f>SUM(F12:F31)</f>
        <v>269012</v>
      </c>
      <c r="G33" s="6"/>
      <c r="H33" s="6">
        <f>SUM(H12:H31)</f>
        <v>2883218</v>
      </c>
      <c r="I33" s="18"/>
      <c r="J33" s="17">
        <f>SUM(J12:J31)</f>
        <v>89763</v>
      </c>
      <c r="K33" s="10">
        <f>SUM(K11:K31)</f>
        <v>34234</v>
      </c>
      <c r="L33" s="10">
        <f>SUM(L12:L31)</f>
        <v>3654</v>
      </c>
      <c r="M33" s="10">
        <f>SUM(M12:M31)</f>
        <v>37888</v>
      </c>
      <c r="N33" s="10">
        <f>SUM(N12:N31)</f>
        <v>396663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+'22a&amp;b'!CB78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+'22a&amp;b'!CB79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f>+'22a&amp;b'!CB80</f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f>+'22a&amp;b'!CB81</f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3"/>
      <c r="K49" s="10">
        <f>+'22a&amp;b'!CB116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3"/>
      <c r="K50" s="10">
        <f>+'22a&amp;b'!CB117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+'22a&amp;b'!CB118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+'22a&amp;b'!CB119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687</v>
      </c>
      <c r="D56" s="6">
        <f>+D33+D43+D54</f>
        <v>3587</v>
      </c>
      <c r="E56" s="3"/>
      <c r="F56" s="17">
        <f>+F33+F43+F54</f>
        <v>269012</v>
      </c>
      <c r="G56" s="6"/>
      <c r="H56" s="6">
        <f>+H33+H43+H54</f>
        <v>2883218</v>
      </c>
      <c r="I56" s="18"/>
      <c r="J56" s="17">
        <f>+J33+J43+J54</f>
        <v>89763</v>
      </c>
      <c r="K56" s="10">
        <f>+K33+K43+K54</f>
        <v>34234</v>
      </c>
      <c r="L56" s="10">
        <f>+L33+L43+L54</f>
        <v>3654</v>
      </c>
      <c r="M56" s="10">
        <f>+M33+M43+M54</f>
        <v>37888</v>
      </c>
      <c r="N56" s="10">
        <f>+N33+N43+N54</f>
        <v>396663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302</v>
      </c>
    </row>
    <row r="61" spans="1:14" x14ac:dyDescent="0.2">
      <c r="A61" t="s">
        <v>293</v>
      </c>
    </row>
  </sheetData>
  <phoneticPr fontId="0" type="noConversion"/>
  <printOptions horizontalCentered="1" verticalCentered="1" gridLines="1"/>
  <pageMargins left="0" right="0" top="1" bottom="0" header="0" footer="0"/>
  <pageSetup scale="6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61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277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280</v>
      </c>
      <c r="N4" s="1">
        <f>+'Y1'!M7</f>
        <v>24</v>
      </c>
    </row>
    <row r="6" spans="1:14" ht="25.5" x14ac:dyDescent="0.2">
      <c r="A6" t="s">
        <v>305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f>1413-707</f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+'22a&amp;b'!CC13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87</v>
      </c>
      <c r="D15" s="6">
        <v>481</v>
      </c>
      <c r="E15" s="19">
        <f>ROUND(F15/C15,2)</f>
        <v>1147.46</v>
      </c>
      <c r="F15" s="17">
        <v>99829</v>
      </c>
      <c r="G15" s="6">
        <f>1792-896</f>
        <v>896</v>
      </c>
      <c r="H15" s="11">
        <f>D15*G15</f>
        <v>430976</v>
      </c>
      <c r="I15" s="18">
        <v>3.1109999999999999E-2</v>
      </c>
      <c r="J15" s="10">
        <f t="shared" ref="J15:J31" si="0">ROUND(H15*I15,0)</f>
        <v>13408</v>
      </c>
      <c r="K15" s="10">
        <f>+'22a&amp;b'!CC16</f>
        <v>0</v>
      </c>
      <c r="L15" s="10">
        <f>ROUND(F15*0.05,0)</f>
        <v>4991</v>
      </c>
      <c r="M15" s="10">
        <f t="shared" ref="M15:M31" si="1">+K15+L15</f>
        <v>4991</v>
      </c>
      <c r="N15" s="10">
        <f>+F15+J15+M15</f>
        <v>118228</v>
      </c>
    </row>
    <row r="16" spans="1:14" x14ac:dyDescent="0.2">
      <c r="A16" t="s">
        <v>254</v>
      </c>
      <c r="C16" s="6">
        <v>46</v>
      </c>
      <c r="D16" s="6">
        <v>254</v>
      </c>
      <c r="E16" s="19">
        <f>ROUND(F16/C16,2)</f>
        <v>84</v>
      </c>
      <c r="F16" s="17">
        <v>3864</v>
      </c>
      <c r="G16" s="6">
        <f>533-267</f>
        <v>266</v>
      </c>
      <c r="H16" s="11">
        <f>D16*G16</f>
        <v>67564</v>
      </c>
      <c r="I16" s="18">
        <v>3.124E-2</v>
      </c>
      <c r="J16" s="10">
        <f t="shared" si="0"/>
        <v>2111</v>
      </c>
      <c r="K16" s="10">
        <f>+'22a&amp;b'!CC17</f>
        <v>908</v>
      </c>
      <c r="L16" s="10">
        <v>0</v>
      </c>
      <c r="M16" s="10">
        <f t="shared" si="1"/>
        <v>908</v>
      </c>
      <c r="N16" s="10">
        <f>+F16+J16+M16</f>
        <v>6883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+'22a&amp;b'!CC19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f>2400-1200</f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+'22a&amp;b'!CC22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f>893-447</f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+'22a&amp;b'!CC23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45</v>
      </c>
      <c r="D25" s="6">
        <v>245</v>
      </c>
      <c r="E25" s="19">
        <f>ROUND(F25/C25,2)</f>
        <v>460</v>
      </c>
      <c r="F25" s="17">
        <v>20700</v>
      </c>
      <c r="G25" s="6">
        <f>2289-1145</f>
        <v>1144</v>
      </c>
      <c r="H25" s="11">
        <f>D25*G25</f>
        <v>280280</v>
      </c>
      <c r="I25" s="18">
        <v>3.1099999999999999E-2</v>
      </c>
      <c r="J25" s="10">
        <f t="shared" si="0"/>
        <v>8717</v>
      </c>
      <c r="K25" s="10">
        <f>+'22a&amp;b'!CC26</f>
        <v>3564</v>
      </c>
      <c r="L25" s="10">
        <v>0</v>
      </c>
      <c r="M25" s="10">
        <f t="shared" si="1"/>
        <v>3564</v>
      </c>
      <c r="N25" s="10">
        <f>+F25+J25+M25</f>
        <v>32981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94</v>
      </c>
      <c r="D28" s="6">
        <v>460</v>
      </c>
      <c r="E28" s="19">
        <f>ROUND(F28/C28,2)</f>
        <v>544.15</v>
      </c>
      <c r="F28" s="17">
        <v>51150</v>
      </c>
      <c r="G28" s="6">
        <f>3618-1810</f>
        <v>1808</v>
      </c>
      <c r="H28" s="11">
        <f>D28*G28</f>
        <v>831680</v>
      </c>
      <c r="I28" s="18">
        <v>3.1099999999999999E-2</v>
      </c>
      <c r="J28" s="10">
        <f t="shared" si="0"/>
        <v>25865</v>
      </c>
      <c r="K28" s="10">
        <f>+'22a&amp;b'!CC29</f>
        <v>11746</v>
      </c>
      <c r="L28" s="10">
        <v>0</v>
      </c>
      <c r="M28" s="10">
        <f t="shared" si="1"/>
        <v>11746</v>
      </c>
      <c r="N28" s="10">
        <f>+F28+J28+M28</f>
        <v>88761</v>
      </c>
    </row>
    <row r="29" spans="1:15" x14ac:dyDescent="0.2">
      <c r="A29" s="22" t="s">
        <v>208</v>
      </c>
      <c r="C29" s="6">
        <v>0</v>
      </c>
      <c r="D29" s="6">
        <v>2</v>
      </c>
      <c r="E29" s="19">
        <v>0</v>
      </c>
      <c r="F29" s="17">
        <v>0</v>
      </c>
      <c r="G29" s="6">
        <f>315-157</f>
        <v>158</v>
      </c>
      <c r="H29" s="11">
        <f>D29*G29</f>
        <v>316</v>
      </c>
      <c r="I29" s="18">
        <v>3.124E-2</v>
      </c>
      <c r="J29" s="10">
        <f t="shared" si="0"/>
        <v>10</v>
      </c>
      <c r="K29" s="10">
        <f>+'22a&amp;b'!CC30</f>
        <v>0</v>
      </c>
      <c r="L29" s="10">
        <v>0</v>
      </c>
      <c r="M29" s="10">
        <f t="shared" si="1"/>
        <v>0</v>
      </c>
      <c r="N29" s="10">
        <f>+F29+J29+M29</f>
        <v>10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560</v>
      </c>
      <c r="D31" s="6">
        <v>2391</v>
      </c>
      <c r="E31" s="19">
        <f>ROUND(F31/C31,2)</f>
        <v>427.85</v>
      </c>
      <c r="F31" s="17">
        <v>239596</v>
      </c>
      <c r="G31" s="6">
        <f>1225-613</f>
        <v>612</v>
      </c>
      <c r="H31" s="11">
        <f>D31*G31</f>
        <v>1463292</v>
      </c>
      <c r="I31" s="18">
        <v>3.116E-2</v>
      </c>
      <c r="J31" s="10">
        <f t="shared" si="0"/>
        <v>45596</v>
      </c>
      <c r="K31" s="10">
        <f>+'22a&amp;b'!CC32</f>
        <v>23565</v>
      </c>
      <c r="L31" s="10">
        <v>0</v>
      </c>
      <c r="M31" s="10">
        <f t="shared" si="1"/>
        <v>23565</v>
      </c>
      <c r="N31" s="10">
        <f>+F31+J31+M31</f>
        <v>308757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832</v>
      </c>
      <c r="D33" s="6">
        <f>SUM(D12:D31)</f>
        <v>3833</v>
      </c>
      <c r="E33" s="3"/>
      <c r="F33" s="17">
        <f>SUM(F12:F31)</f>
        <v>415139</v>
      </c>
      <c r="G33" s="6"/>
      <c r="H33" s="6">
        <f>SUM(H12:H31)</f>
        <v>3074108</v>
      </c>
      <c r="I33" s="18"/>
      <c r="J33" s="17">
        <f>SUM(J12:J31)</f>
        <v>95707</v>
      </c>
      <c r="K33" s="10">
        <f>SUM(K11:K31)</f>
        <v>39783</v>
      </c>
      <c r="L33" s="10">
        <f>SUM(L12:L31)</f>
        <v>4991</v>
      </c>
      <c r="M33" s="10">
        <f>SUM(M12:M31)</f>
        <v>44774</v>
      </c>
      <c r="N33" s="10">
        <f>SUM(N12:N31)</f>
        <v>555620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+'22a&amp;b'!CC78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+'22a&amp;b'!CC79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f>+'22a&amp;b'!CC80</f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f>+'22a&amp;b'!CC81</f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f>+'22a&amp;b'!CC116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f>+'22a&amp;b'!CC117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+'22a&amp;b'!CC118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+'22a&amp;b'!CC119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832</v>
      </c>
      <c r="D56" s="6">
        <f>+D33+D43+D54</f>
        <v>3833</v>
      </c>
      <c r="E56" s="3"/>
      <c r="F56" s="17">
        <f>+F33+F43+F54</f>
        <v>415139</v>
      </c>
      <c r="G56" s="6"/>
      <c r="H56" s="6">
        <f>+H33+H43+H54</f>
        <v>3074108</v>
      </c>
      <c r="I56" s="18"/>
      <c r="J56" s="17">
        <f>+J33+J43+J54</f>
        <v>95707</v>
      </c>
      <c r="K56" s="10">
        <f>+K33+K43+K54</f>
        <v>39783</v>
      </c>
      <c r="L56" s="10">
        <f>+L33+L43+L54</f>
        <v>4991</v>
      </c>
      <c r="M56" s="10">
        <f>+M33+M43+M54</f>
        <v>44774</v>
      </c>
      <c r="N56" s="10">
        <f>+N33+N43+N54</f>
        <v>555620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313</v>
      </c>
    </row>
    <row r="61" spans="1:14" x14ac:dyDescent="0.2">
      <c r="A61" t="s">
        <v>303</v>
      </c>
    </row>
  </sheetData>
  <phoneticPr fontId="0" type="noConversion"/>
  <printOptions horizontalCentered="1" verticalCentered="1" gridLines="1"/>
  <pageMargins left="0" right="0" top="1" bottom="0" header="0" footer="0"/>
  <pageSetup scale="6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69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6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304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308</v>
      </c>
      <c r="N4" s="1">
        <f>+'Y1'!M7</f>
        <v>24</v>
      </c>
    </row>
    <row r="6" spans="1:14" ht="25.5" x14ac:dyDescent="0.2">
      <c r="A6" t="s">
        <v>315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707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+'22a&amp;b'!CD13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128</v>
      </c>
      <c r="D15" s="6">
        <v>295</v>
      </c>
      <c r="E15" s="19">
        <f>ROUND(F15/C15,2)</f>
        <v>1022.27</v>
      </c>
      <c r="F15" s="17">
        <f>130791+60</f>
        <v>130851</v>
      </c>
      <c r="G15" s="6">
        <v>896</v>
      </c>
      <c r="H15" s="11">
        <f>D15*G15</f>
        <v>264320</v>
      </c>
      <c r="I15" s="18">
        <v>4.3459999999999999E-2</v>
      </c>
      <c r="J15" s="10">
        <f t="shared" ref="J15:J31" si="0">ROUND(H15*I15,0)</f>
        <v>11487</v>
      </c>
      <c r="K15" s="10">
        <f>+'22a&amp;b'!CD16</f>
        <v>0</v>
      </c>
      <c r="L15" s="10">
        <f>ROUND(F15*0.05,0)</f>
        <v>6543</v>
      </c>
      <c r="M15" s="10">
        <f t="shared" ref="M15:M31" si="1">+K15+L15</f>
        <v>6543</v>
      </c>
      <c r="N15" s="10">
        <f>+F15+J15+M15</f>
        <v>148881</v>
      </c>
    </row>
    <row r="16" spans="1:14" x14ac:dyDescent="0.2">
      <c r="A16" t="s">
        <v>254</v>
      </c>
      <c r="C16" s="6">
        <v>29</v>
      </c>
      <c r="D16" s="6">
        <v>115</v>
      </c>
      <c r="E16" s="19">
        <f>ROUND(F16/C16,2)</f>
        <v>86.48</v>
      </c>
      <c r="F16" s="17">
        <v>2508</v>
      </c>
      <c r="G16" s="6">
        <v>277</v>
      </c>
      <c r="H16" s="11">
        <f>D16*G16</f>
        <v>31855</v>
      </c>
      <c r="I16" s="18">
        <v>4.3619999999999999E-2</v>
      </c>
      <c r="J16" s="10">
        <f t="shared" si="0"/>
        <v>1390</v>
      </c>
      <c r="K16" s="10">
        <f>+'22a&amp;b'!CD17</f>
        <v>572</v>
      </c>
      <c r="L16" s="10">
        <v>0</v>
      </c>
      <c r="M16" s="10">
        <f t="shared" si="1"/>
        <v>572</v>
      </c>
      <c r="N16" s="10">
        <f>+F16+J16+M16</f>
        <v>4470</v>
      </c>
    </row>
    <row r="17" spans="1:14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4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+'22a&amp;b'!CD19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4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4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4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+'22a&amp;b'!CD22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4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447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+'22a&amp;b'!CD23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4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4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4" x14ac:dyDescent="0.2">
      <c r="A25" t="s">
        <v>257</v>
      </c>
      <c r="C25" s="6">
        <v>50</v>
      </c>
      <c r="D25" s="6">
        <v>153</v>
      </c>
      <c r="E25" s="19">
        <f>ROUND(F25/C25,2)</f>
        <v>450</v>
      </c>
      <c r="F25" s="17">
        <v>22500</v>
      </c>
      <c r="G25" s="6">
        <v>1145</v>
      </c>
      <c r="H25" s="11">
        <f>D25*G25</f>
        <v>175185</v>
      </c>
      <c r="I25" s="18">
        <v>4.3459999999999999E-2</v>
      </c>
      <c r="J25" s="10">
        <f t="shared" si="0"/>
        <v>7614</v>
      </c>
      <c r="K25" s="10">
        <f>+'22a&amp;b'!CD26</f>
        <v>3960</v>
      </c>
      <c r="L25" s="10">
        <v>0</v>
      </c>
      <c r="M25" s="10">
        <f t="shared" si="1"/>
        <v>3960</v>
      </c>
      <c r="N25" s="10">
        <f>+F25+J25+M25</f>
        <v>34074</v>
      </c>
    </row>
    <row r="26" spans="1:14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4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4" x14ac:dyDescent="0.2">
      <c r="A28" s="22" t="s">
        <v>207</v>
      </c>
      <c r="C28" s="6">
        <v>84</v>
      </c>
      <c r="D28" s="6">
        <v>304</v>
      </c>
      <c r="E28" s="19">
        <f>ROUND(F28/C28,2)</f>
        <v>563.1</v>
      </c>
      <c r="F28" s="17">
        <v>47300</v>
      </c>
      <c r="G28" s="6">
        <v>1810</v>
      </c>
      <c r="H28" s="11">
        <f>D28*G28</f>
        <v>550240</v>
      </c>
      <c r="I28" s="18">
        <v>4.3479999999999998E-2</v>
      </c>
      <c r="J28" s="10">
        <f t="shared" si="0"/>
        <v>23924</v>
      </c>
      <c r="K28" s="10">
        <f>+'22a&amp;b'!CD29</f>
        <v>10497</v>
      </c>
      <c r="L28" s="10">
        <v>0</v>
      </c>
      <c r="M28" s="10">
        <f t="shared" si="1"/>
        <v>10497</v>
      </c>
      <c r="N28" s="10">
        <f>+F28+J28+M28</f>
        <v>81721</v>
      </c>
    </row>
    <row r="29" spans="1:14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157</v>
      </c>
      <c r="H29" s="11">
        <f>D29*G29</f>
        <v>0</v>
      </c>
      <c r="I29" s="18">
        <v>4.3430000000000003E-2</v>
      </c>
      <c r="J29" s="10">
        <f t="shared" si="0"/>
        <v>0</v>
      </c>
      <c r="K29" s="10">
        <f>+'22a&amp;b'!CD30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4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4" x14ac:dyDescent="0.2">
      <c r="A31" s="22" t="s">
        <v>209</v>
      </c>
      <c r="C31" s="6">
        <v>515</v>
      </c>
      <c r="D31" s="6">
        <v>1605</v>
      </c>
      <c r="E31" s="19">
        <f>ROUND(F31/C31,2)</f>
        <v>381</v>
      </c>
      <c r="F31" s="17">
        <v>196214</v>
      </c>
      <c r="G31" s="6">
        <v>613</v>
      </c>
      <c r="H31" s="11">
        <f>D31*G31</f>
        <v>983865</v>
      </c>
      <c r="I31" s="18">
        <v>4.3490000000000001E-2</v>
      </c>
      <c r="J31" s="10">
        <f t="shared" si="0"/>
        <v>42788</v>
      </c>
      <c r="K31" s="10">
        <f>+'22a&amp;b'!CD32</f>
        <v>21671</v>
      </c>
      <c r="L31" s="10">
        <v>0</v>
      </c>
      <c r="M31" s="10">
        <f t="shared" si="1"/>
        <v>21671</v>
      </c>
      <c r="N31" s="10">
        <f>+F31+J31+M31</f>
        <v>260673</v>
      </c>
    </row>
    <row r="32" spans="1:14" x14ac:dyDescent="0.2">
      <c r="A32" s="22"/>
      <c r="C32" s="6"/>
      <c r="D32" s="6"/>
      <c r="E32" s="19"/>
      <c r="F32" s="17"/>
      <c r="G32" s="6"/>
      <c r="H32" s="11"/>
      <c r="I32" s="18"/>
      <c r="J32" s="10"/>
      <c r="K32" s="10"/>
      <c r="L32" s="10"/>
      <c r="M32" s="10"/>
      <c r="N32" s="10"/>
    </row>
    <row r="33" spans="1:15" x14ac:dyDescent="0.2">
      <c r="A33" s="60" t="s">
        <v>317</v>
      </c>
      <c r="C33" s="6"/>
      <c r="D33" s="6"/>
      <c r="E33" s="19"/>
      <c r="F33" s="17"/>
      <c r="G33" s="6"/>
      <c r="H33" s="11"/>
      <c r="I33" s="18"/>
      <c r="J33" s="10"/>
      <c r="K33" s="10"/>
      <c r="L33" s="10"/>
      <c r="M33" s="10"/>
      <c r="N33" s="10"/>
    </row>
    <row r="34" spans="1:15" x14ac:dyDescent="0.2">
      <c r="A34" s="60"/>
      <c r="C34" s="6"/>
      <c r="D34" s="6"/>
      <c r="E34" s="19"/>
      <c r="F34" s="17"/>
      <c r="G34" s="6"/>
      <c r="H34" s="11"/>
      <c r="I34" s="18"/>
      <c r="J34" s="10"/>
      <c r="K34" s="10"/>
      <c r="L34" s="10"/>
      <c r="M34" s="10"/>
      <c r="N34" s="10"/>
    </row>
    <row r="35" spans="1:15" x14ac:dyDescent="0.2">
      <c r="A35" s="22" t="s">
        <v>318</v>
      </c>
      <c r="C35" s="6"/>
      <c r="D35" s="6"/>
      <c r="E35" s="19"/>
      <c r="F35" s="17"/>
      <c r="G35" s="6"/>
      <c r="H35" s="11"/>
      <c r="I35" s="18"/>
      <c r="J35" s="10"/>
      <c r="K35" s="10"/>
      <c r="L35" s="10"/>
      <c r="M35" s="10"/>
      <c r="N35" s="10"/>
    </row>
    <row r="36" spans="1:15" x14ac:dyDescent="0.2">
      <c r="A36" s="22" t="s">
        <v>319</v>
      </c>
      <c r="C36" s="6"/>
      <c r="D36" s="6"/>
      <c r="E36" s="19"/>
      <c r="F36" s="17">
        <v>58968</v>
      </c>
      <c r="G36" s="6"/>
      <c r="H36" s="11"/>
      <c r="I36" s="18"/>
      <c r="J36" s="10"/>
      <c r="K36" s="10"/>
      <c r="L36" s="10"/>
      <c r="M36" s="10"/>
      <c r="N36" s="10">
        <f>+F36</f>
        <v>58968</v>
      </c>
    </row>
    <row r="37" spans="1:15" x14ac:dyDescent="0.2">
      <c r="A37" s="22"/>
      <c r="C37" s="6"/>
      <c r="D37" s="6"/>
      <c r="E37" s="19"/>
      <c r="F37" s="17"/>
      <c r="G37" s="6"/>
      <c r="H37" s="11"/>
      <c r="I37" s="18"/>
      <c r="J37" s="10"/>
      <c r="K37" s="10"/>
      <c r="L37" s="10"/>
      <c r="M37" s="10"/>
      <c r="N37" s="10"/>
    </row>
    <row r="38" spans="1:15" x14ac:dyDescent="0.2">
      <c r="A38" s="22" t="s">
        <v>320</v>
      </c>
      <c r="C38" s="6"/>
      <c r="D38" s="6"/>
      <c r="E38" s="19"/>
      <c r="F38" s="17"/>
      <c r="G38" s="6"/>
      <c r="H38" s="11"/>
      <c r="I38" s="18"/>
      <c r="J38" s="10"/>
      <c r="K38" s="10"/>
      <c r="L38" s="10"/>
      <c r="M38" s="10"/>
      <c r="N38" s="10"/>
    </row>
    <row r="39" spans="1:15" x14ac:dyDescent="0.2">
      <c r="A39" s="22" t="s">
        <v>321</v>
      </c>
      <c r="C39" s="6"/>
      <c r="D39" s="6"/>
      <c r="E39" s="19"/>
      <c r="F39" s="17">
        <v>15700</v>
      </c>
      <c r="G39" s="6"/>
      <c r="H39" s="11"/>
      <c r="I39" s="18"/>
      <c r="J39" s="10"/>
      <c r="K39" s="10"/>
      <c r="L39" s="10"/>
      <c r="M39" s="10"/>
      <c r="N39" s="10">
        <f>+F39</f>
        <v>15700</v>
      </c>
    </row>
    <row r="40" spans="1:15" x14ac:dyDescent="0.2">
      <c r="C40" s="6" t="s">
        <v>201</v>
      </c>
      <c r="D40" s="6" t="s">
        <v>201</v>
      </c>
      <c r="E40" s="6"/>
      <c r="F40" s="6" t="s">
        <v>201</v>
      </c>
      <c r="G40" s="3"/>
      <c r="H40" s="6" t="s">
        <v>201</v>
      </c>
      <c r="I40" s="18"/>
      <c r="J40" s="6" t="s">
        <v>201</v>
      </c>
      <c r="K40" s="6" t="s">
        <v>201</v>
      </c>
      <c r="L40" s="6" t="s">
        <v>201</v>
      </c>
      <c r="M40" s="6" t="s">
        <v>201</v>
      </c>
      <c r="N40" s="6" t="s">
        <v>201</v>
      </c>
      <c r="O40" s="6"/>
    </row>
    <row r="41" spans="1:15" x14ac:dyDescent="0.2">
      <c r="A41" t="s">
        <v>39</v>
      </c>
      <c r="C41" s="6">
        <f>SUM(C12:C31)</f>
        <v>806</v>
      </c>
      <c r="D41" s="6">
        <f>SUM(D12:D31)</f>
        <v>2472</v>
      </c>
      <c r="E41" s="3"/>
      <c r="F41" s="17">
        <f>SUM(F12:F39)</f>
        <v>474041</v>
      </c>
      <c r="G41" s="6"/>
      <c r="H41" s="6">
        <f>SUM(H12:H31)</f>
        <v>2005465</v>
      </c>
      <c r="I41" s="18"/>
      <c r="J41" s="17">
        <f>SUM(J12:J31)</f>
        <v>87203</v>
      </c>
      <c r="K41" s="10">
        <f>SUM(K11:K31)</f>
        <v>36700</v>
      </c>
      <c r="L41" s="10">
        <f>SUM(L12:L31)</f>
        <v>6543</v>
      </c>
      <c r="M41" s="10">
        <f>SUM(M12:M31)</f>
        <v>43243</v>
      </c>
      <c r="N41" s="10">
        <f>SUM(N12:N39)</f>
        <v>604487</v>
      </c>
    </row>
    <row r="42" spans="1:15" x14ac:dyDescent="0.2">
      <c r="C42" s="3" t="s">
        <v>94</v>
      </c>
      <c r="D42" s="3" t="s">
        <v>94</v>
      </c>
      <c r="E42" s="3"/>
      <c r="F42" s="3" t="s">
        <v>94</v>
      </c>
      <c r="G42" s="3"/>
      <c r="H42" s="3" t="s">
        <v>94</v>
      </c>
      <c r="I42" s="3"/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</row>
    <row r="43" spans="1:15" x14ac:dyDescent="0.2">
      <c r="C43" s="3"/>
      <c r="D43" s="3"/>
      <c r="E43" s="3"/>
      <c r="F43" s="3"/>
      <c r="G43" s="6"/>
      <c r="H43" s="3"/>
      <c r="I43" s="18"/>
      <c r="J43" s="3"/>
      <c r="K43" s="3"/>
      <c r="L43" s="3"/>
      <c r="M43" s="3"/>
      <c r="N43" s="3"/>
    </row>
    <row r="44" spans="1:15" x14ac:dyDescent="0.2">
      <c r="C44" s="3"/>
      <c r="D44" s="3"/>
      <c r="E44" s="3"/>
      <c r="F44" s="3"/>
      <c r="G44" s="6"/>
      <c r="H44" s="3"/>
      <c r="I44" s="18"/>
      <c r="J44" s="3"/>
      <c r="K44" s="3"/>
      <c r="L44" s="3"/>
      <c r="M44" s="3"/>
      <c r="N44" s="3"/>
    </row>
    <row r="45" spans="1:15" x14ac:dyDescent="0.2">
      <c r="A45" t="s">
        <v>40</v>
      </c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5" x14ac:dyDescent="0.2">
      <c r="A46" t="s">
        <v>41</v>
      </c>
      <c r="C46" s="3">
        <v>0</v>
      </c>
      <c r="D46" s="6">
        <v>0</v>
      </c>
      <c r="E46" s="19">
        <v>0</v>
      </c>
      <c r="F46" s="10">
        <v>0</v>
      </c>
      <c r="G46" s="6">
        <v>0</v>
      </c>
      <c r="H46" s="11">
        <f>D46*G46</f>
        <v>0</v>
      </c>
      <c r="I46" s="18" t="s">
        <v>38</v>
      </c>
      <c r="J46" s="10">
        <v>0</v>
      </c>
      <c r="K46" s="10">
        <f>+'22a&amp;b'!CD78</f>
        <v>0</v>
      </c>
      <c r="L46" s="10">
        <f>F46*0.05</f>
        <v>0</v>
      </c>
      <c r="M46" s="10">
        <f>+K46+L46</f>
        <v>0</v>
      </c>
      <c r="N46" s="10">
        <f>+F46+J46+M46</f>
        <v>0</v>
      </c>
    </row>
    <row r="47" spans="1:15" x14ac:dyDescent="0.2">
      <c r="A47" t="s">
        <v>42</v>
      </c>
      <c r="C47" s="3">
        <v>0</v>
      </c>
      <c r="D47" s="6">
        <v>0</v>
      </c>
      <c r="E47" s="19">
        <v>0</v>
      </c>
      <c r="F47" s="10">
        <v>0</v>
      </c>
      <c r="G47" s="6">
        <v>0</v>
      </c>
      <c r="H47" s="11">
        <f>D47*G47</f>
        <v>0</v>
      </c>
      <c r="I47" s="18" t="s">
        <v>38</v>
      </c>
      <c r="J47" s="10">
        <v>0</v>
      </c>
      <c r="K47" s="10">
        <f>+'22a&amp;b'!CD79</f>
        <v>0</v>
      </c>
      <c r="L47" s="10">
        <f>F47*0.05</f>
        <v>0</v>
      </c>
      <c r="M47" s="10">
        <f>+K47+L47</f>
        <v>0</v>
      </c>
      <c r="N47" s="10">
        <f>+F47+J47+M47</f>
        <v>0</v>
      </c>
    </row>
    <row r="48" spans="1:15" x14ac:dyDescent="0.2">
      <c r="A48" t="s">
        <v>43</v>
      </c>
      <c r="C48" s="3">
        <v>0</v>
      </c>
      <c r="D48" s="6">
        <v>0</v>
      </c>
      <c r="E48" s="19">
        <v>0</v>
      </c>
      <c r="F48" s="10">
        <v>0</v>
      </c>
      <c r="G48" s="6">
        <v>0</v>
      </c>
      <c r="H48" s="11">
        <f>D48*G48</f>
        <v>0</v>
      </c>
      <c r="I48" s="18">
        <v>0</v>
      </c>
      <c r="J48" s="10">
        <f>ROUND(H48*I48,0)</f>
        <v>0</v>
      </c>
      <c r="K48" s="10">
        <f>+'22a&amp;b'!CD80</f>
        <v>0</v>
      </c>
      <c r="L48" s="10">
        <v>0</v>
      </c>
      <c r="M48" s="10">
        <f>+K48+L48</f>
        <v>0</v>
      </c>
      <c r="N48" s="10">
        <f>+F48+J48+M48</f>
        <v>0</v>
      </c>
    </row>
    <row r="49" spans="1:14" x14ac:dyDescent="0.2">
      <c r="A49" t="s">
        <v>44</v>
      </c>
      <c r="C49" s="3">
        <v>0</v>
      </c>
      <c r="D49" s="6">
        <v>0</v>
      </c>
      <c r="E49" s="19">
        <v>0</v>
      </c>
      <c r="F49" s="10">
        <v>0</v>
      </c>
      <c r="G49" s="6">
        <v>0</v>
      </c>
      <c r="H49" s="11">
        <f>D49*G49</f>
        <v>0</v>
      </c>
      <c r="I49" s="18">
        <v>0</v>
      </c>
      <c r="J49" s="10">
        <f>ROUND(H49*I49,0)</f>
        <v>0</v>
      </c>
      <c r="K49" s="10">
        <f>+'22a&amp;b'!CD81</f>
        <v>0</v>
      </c>
      <c r="L49" s="10">
        <v>0</v>
      </c>
      <c r="M49" s="10">
        <f>+K49+L49</f>
        <v>0</v>
      </c>
      <c r="N49" s="10">
        <f>+F49+J49+M49</f>
        <v>0</v>
      </c>
    </row>
    <row r="50" spans="1:14" x14ac:dyDescent="0.2">
      <c r="C50" s="6" t="s">
        <v>201</v>
      </c>
      <c r="D50" s="6" t="s">
        <v>201</v>
      </c>
      <c r="E50" s="6"/>
      <c r="F50" s="6" t="s">
        <v>201</v>
      </c>
      <c r="G50" s="6"/>
      <c r="H50" s="6" t="s">
        <v>201</v>
      </c>
      <c r="I50" s="6"/>
      <c r="J50" s="6" t="s">
        <v>201</v>
      </c>
      <c r="K50" s="6" t="s">
        <v>201</v>
      </c>
      <c r="L50" s="6" t="s">
        <v>201</v>
      </c>
      <c r="M50" s="6" t="s">
        <v>201</v>
      </c>
      <c r="N50" s="6" t="s">
        <v>201</v>
      </c>
    </row>
    <row r="51" spans="1:14" x14ac:dyDescent="0.2">
      <c r="A51" t="s">
        <v>45</v>
      </c>
      <c r="C51" s="3">
        <f>SUM(C46:C49)</f>
        <v>0</v>
      </c>
      <c r="D51" s="6">
        <f>SUM(D46:D49)</f>
        <v>0</v>
      </c>
      <c r="E51" s="3"/>
      <c r="F51" s="17">
        <f>SUM(F46:F49)</f>
        <v>0</v>
      </c>
      <c r="G51" s="6"/>
      <c r="H51" s="6">
        <f>SUM(H46:H49)</f>
        <v>0</v>
      </c>
      <c r="I51" s="18"/>
      <c r="J51" s="17">
        <f>SUM(J46:J49)</f>
        <v>0</v>
      </c>
      <c r="K51" s="10">
        <f>SUM(K45:K49)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</row>
    <row r="52" spans="1:14" x14ac:dyDescent="0.2">
      <c r="C52" s="3" t="s">
        <v>94</v>
      </c>
      <c r="D52" s="3" t="s">
        <v>94</v>
      </c>
      <c r="E52" s="3"/>
      <c r="F52" s="3" t="s">
        <v>94</v>
      </c>
      <c r="G52" s="3"/>
      <c r="H52" s="3" t="s">
        <v>94</v>
      </c>
      <c r="I52" s="3"/>
      <c r="J52" s="3" t="s">
        <v>94</v>
      </c>
      <c r="K52" s="3" t="s">
        <v>94</v>
      </c>
      <c r="L52" s="3" t="s">
        <v>94</v>
      </c>
      <c r="M52" s="3" t="s">
        <v>94</v>
      </c>
      <c r="N52" s="3" t="s">
        <v>94</v>
      </c>
    </row>
    <row r="53" spans="1:14" x14ac:dyDescent="0.2">
      <c r="C53" s="3"/>
      <c r="D53" s="3"/>
      <c r="E53" s="3"/>
      <c r="F53" s="3"/>
      <c r="G53" s="6"/>
      <c r="H53" s="3"/>
      <c r="I53" s="18"/>
      <c r="J53" s="3"/>
      <c r="K53" s="3"/>
      <c r="L53" s="3"/>
      <c r="M53" s="3"/>
      <c r="N53" s="3"/>
    </row>
    <row r="54" spans="1:14" x14ac:dyDescent="0.2">
      <c r="C54" s="3"/>
      <c r="D54" s="3"/>
      <c r="E54" s="3"/>
      <c r="F54" s="3"/>
      <c r="G54" s="6"/>
      <c r="H54" s="3"/>
      <c r="I54" s="18"/>
      <c r="J54" s="3"/>
      <c r="K54" s="3"/>
      <c r="L54" s="3"/>
      <c r="M54" s="3"/>
      <c r="N54" s="3"/>
    </row>
    <row r="55" spans="1:14" x14ac:dyDescent="0.2">
      <c r="A55" t="s">
        <v>46</v>
      </c>
      <c r="C55" s="3"/>
      <c r="D55" s="3"/>
      <c r="E55" s="3"/>
      <c r="F55" s="3"/>
      <c r="G55" s="6"/>
      <c r="H55" s="3"/>
      <c r="I55" s="18"/>
      <c r="J55" s="3"/>
      <c r="K55" s="3"/>
      <c r="L55" s="3"/>
      <c r="M55" s="3"/>
      <c r="N55" s="3"/>
    </row>
    <row r="56" spans="1:14" x14ac:dyDescent="0.2">
      <c r="A56" s="1" t="s">
        <v>258</v>
      </c>
      <c r="C56" s="3"/>
      <c r="D56" s="3"/>
      <c r="E56" s="3"/>
      <c r="F56" s="3"/>
      <c r="G56" s="6"/>
      <c r="H56" s="3"/>
      <c r="I56" s="18"/>
      <c r="J56" s="3"/>
      <c r="K56" s="3"/>
      <c r="L56" s="3"/>
      <c r="M56" s="3"/>
      <c r="N56" s="3"/>
    </row>
    <row r="57" spans="1:14" x14ac:dyDescent="0.2">
      <c r="A57" t="s">
        <v>41</v>
      </c>
      <c r="C57" s="3">
        <v>0</v>
      </c>
      <c r="D57" s="3">
        <v>0</v>
      </c>
      <c r="E57" s="9">
        <v>0</v>
      </c>
      <c r="F57" s="10">
        <v>0</v>
      </c>
      <c r="G57" s="6">
        <v>0</v>
      </c>
      <c r="H57" s="3">
        <v>0</v>
      </c>
      <c r="I57" s="18" t="s">
        <v>38</v>
      </c>
      <c r="J57" s="3"/>
      <c r="K57" s="10">
        <f>+'22a&amp;b'!CD116</f>
        <v>0</v>
      </c>
      <c r="L57" s="10">
        <v>0</v>
      </c>
      <c r="M57" s="10">
        <v>0</v>
      </c>
      <c r="N57" s="10">
        <v>0</v>
      </c>
    </row>
    <row r="58" spans="1:14" x14ac:dyDescent="0.2">
      <c r="A58" t="s">
        <v>48</v>
      </c>
      <c r="C58" s="3">
        <v>0</v>
      </c>
      <c r="D58" s="3">
        <v>0</v>
      </c>
      <c r="E58" s="9">
        <v>0</v>
      </c>
      <c r="F58" s="10">
        <v>0</v>
      </c>
      <c r="G58" s="6">
        <v>0</v>
      </c>
      <c r="H58" s="3">
        <v>0</v>
      </c>
      <c r="I58" s="18" t="s">
        <v>38</v>
      </c>
      <c r="J58" s="3"/>
      <c r="K58" s="10">
        <f>+'22a&amp;b'!CD117</f>
        <v>0</v>
      </c>
      <c r="L58" s="10">
        <v>0</v>
      </c>
      <c r="M58" s="10">
        <v>0</v>
      </c>
      <c r="N58" s="10">
        <v>0</v>
      </c>
    </row>
    <row r="59" spans="1:14" x14ac:dyDescent="0.2">
      <c r="A59" t="s">
        <v>49</v>
      </c>
      <c r="C59" s="3">
        <v>0</v>
      </c>
      <c r="D59" s="3">
        <v>0</v>
      </c>
      <c r="E59" s="9">
        <v>0</v>
      </c>
      <c r="F59" s="10">
        <v>0</v>
      </c>
      <c r="G59" s="6">
        <v>0</v>
      </c>
      <c r="H59" s="3">
        <v>0</v>
      </c>
      <c r="I59" s="18">
        <v>0</v>
      </c>
      <c r="J59" s="10">
        <f>ROUND(H59*I59,0)</f>
        <v>0</v>
      </c>
      <c r="K59" s="10">
        <f>+'22a&amp;b'!CD118</f>
        <v>0</v>
      </c>
      <c r="L59" s="10">
        <v>0</v>
      </c>
      <c r="M59" s="10">
        <v>0</v>
      </c>
      <c r="N59" s="10">
        <v>0</v>
      </c>
    </row>
    <row r="60" spans="1:14" x14ac:dyDescent="0.2">
      <c r="A60" t="s">
        <v>50</v>
      </c>
      <c r="C60" s="3">
        <v>0</v>
      </c>
      <c r="D60" s="3">
        <v>0</v>
      </c>
      <c r="E60" s="9">
        <v>0</v>
      </c>
      <c r="F60" s="10">
        <v>0</v>
      </c>
      <c r="G60" s="6">
        <v>0</v>
      </c>
      <c r="H60" s="3">
        <v>0</v>
      </c>
      <c r="I60" s="18">
        <v>0</v>
      </c>
      <c r="J60" s="10">
        <f>ROUND(H60*I60,0)</f>
        <v>0</v>
      </c>
      <c r="K60" s="10">
        <f>+'22a&amp;b'!CD119</f>
        <v>0</v>
      </c>
      <c r="L60" s="10">
        <v>0</v>
      </c>
      <c r="M60" s="10">
        <v>0</v>
      </c>
      <c r="N60" s="10">
        <v>0</v>
      </c>
    </row>
    <row r="61" spans="1:14" x14ac:dyDescent="0.2">
      <c r="C61" s="6" t="s">
        <v>201</v>
      </c>
      <c r="D61" s="6" t="s">
        <v>201</v>
      </c>
      <c r="E61" s="6"/>
      <c r="F61" s="6" t="s">
        <v>201</v>
      </c>
      <c r="G61" s="6"/>
      <c r="H61" s="6" t="s">
        <v>201</v>
      </c>
      <c r="I61" s="6"/>
      <c r="J61" s="6" t="s">
        <v>201</v>
      </c>
      <c r="K61" s="6" t="s">
        <v>201</v>
      </c>
      <c r="L61" s="6" t="s">
        <v>201</v>
      </c>
      <c r="M61" s="6" t="s">
        <v>201</v>
      </c>
      <c r="N61" s="6" t="s">
        <v>201</v>
      </c>
    </row>
    <row r="62" spans="1:14" x14ac:dyDescent="0.2">
      <c r="A62" t="s">
        <v>51</v>
      </c>
      <c r="C62" s="3">
        <v>0</v>
      </c>
      <c r="D62" s="3">
        <v>0</v>
      </c>
      <c r="E62" s="3"/>
      <c r="F62" s="10">
        <v>0</v>
      </c>
      <c r="G62" s="6"/>
      <c r="H62" s="3">
        <v>0</v>
      </c>
      <c r="I62" s="18"/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x14ac:dyDescent="0.2">
      <c r="C63" s="3" t="s">
        <v>94</v>
      </c>
      <c r="D63" s="3" t="s">
        <v>94</v>
      </c>
      <c r="E63" s="3"/>
      <c r="F63" s="3" t="s">
        <v>94</v>
      </c>
      <c r="G63" s="3"/>
      <c r="H63" s="3" t="s">
        <v>94</v>
      </c>
      <c r="I63" s="3"/>
      <c r="J63" s="3" t="s">
        <v>94</v>
      </c>
      <c r="K63" s="3" t="s">
        <v>94</v>
      </c>
      <c r="L63" s="3" t="s">
        <v>94</v>
      </c>
      <c r="M63" s="3" t="s">
        <v>94</v>
      </c>
      <c r="N63" s="3" t="s">
        <v>94</v>
      </c>
    </row>
    <row r="64" spans="1:14" x14ac:dyDescent="0.2">
      <c r="A64" t="s">
        <v>52</v>
      </c>
      <c r="C64" s="6">
        <f>+C41+C51+C62</f>
        <v>806</v>
      </c>
      <c r="D64" s="6">
        <f>+D41+D51+D62</f>
        <v>2472</v>
      </c>
      <c r="E64" s="3"/>
      <c r="F64" s="17">
        <f>+F41+F51+F62</f>
        <v>474041</v>
      </c>
      <c r="G64" s="6"/>
      <c r="H64" s="6">
        <f>+H41+H51+H62</f>
        <v>2005465</v>
      </c>
      <c r="I64" s="18"/>
      <c r="J64" s="17">
        <f>+J41+J51+J62</f>
        <v>87203</v>
      </c>
      <c r="K64" s="10">
        <f>+K41+K51+K62</f>
        <v>36700</v>
      </c>
      <c r="L64" s="10">
        <f>+L41+L51+L62</f>
        <v>6543</v>
      </c>
      <c r="M64" s="10">
        <f>+M41+M51+M62</f>
        <v>43243</v>
      </c>
      <c r="N64" s="10">
        <f>+N41+N51+N62</f>
        <v>604487</v>
      </c>
    </row>
    <row r="65" spans="1:14" x14ac:dyDescent="0.2">
      <c r="C65" s="3" t="s">
        <v>94</v>
      </c>
      <c r="D65" s="3" t="s">
        <v>94</v>
      </c>
      <c r="E65" s="3"/>
      <c r="F65" s="3" t="s">
        <v>94</v>
      </c>
      <c r="G65" s="3"/>
      <c r="H65" s="3" t="s">
        <v>94</v>
      </c>
      <c r="I65" s="3"/>
      <c r="J65" s="3" t="s">
        <v>94</v>
      </c>
      <c r="K65" s="3" t="s">
        <v>94</v>
      </c>
      <c r="L65" s="3" t="s">
        <v>94</v>
      </c>
      <c r="M65" s="3" t="s">
        <v>94</v>
      </c>
      <c r="N65" s="3" t="s">
        <v>94</v>
      </c>
    </row>
    <row r="67" spans="1:14" x14ac:dyDescent="0.2">
      <c r="A67" t="s">
        <v>108</v>
      </c>
    </row>
    <row r="68" spans="1:14" x14ac:dyDescent="0.2">
      <c r="A68" t="s">
        <v>322</v>
      </c>
    </row>
    <row r="69" spans="1:14" x14ac:dyDescent="0.2">
      <c r="A69" t="s">
        <v>323</v>
      </c>
    </row>
  </sheetData>
  <phoneticPr fontId="16" type="noConversion"/>
  <printOptions horizontalCentered="1" gridLines="1"/>
  <pageMargins left="0" right="0" top="1" bottom="0" header="0" footer="0"/>
  <pageSetup scale="5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61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304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311</v>
      </c>
      <c r="N4" s="1">
        <f>+'Y1'!M7</f>
        <v>24</v>
      </c>
    </row>
    <row r="6" spans="1:14" ht="25.5" x14ac:dyDescent="0.2">
      <c r="A6" t="s">
        <v>327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309</v>
      </c>
      <c r="I8" s="12" t="s">
        <v>80</v>
      </c>
      <c r="J8" s="12" t="s">
        <v>81</v>
      </c>
      <c r="K8" s="34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706</v>
      </c>
      <c r="H12" s="11">
        <f>D12*G12</f>
        <v>0</v>
      </c>
      <c r="I12" s="18">
        <v>3.1119999999999998E-2</v>
      </c>
      <c r="J12" s="10">
        <f>ROUND(H12*I12,0)</f>
        <v>0</v>
      </c>
      <c r="K12" s="10">
        <f>+'22a&amp;b'!CE13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100</v>
      </c>
      <c r="D15" s="6">
        <v>421</v>
      </c>
      <c r="E15" s="19">
        <f>ROUND(F15/C15,2)</f>
        <v>879.82</v>
      </c>
      <c r="F15" s="17">
        <v>87982</v>
      </c>
      <c r="G15" s="6">
        <v>896</v>
      </c>
      <c r="H15" s="11">
        <f>D15*G15</f>
        <v>377216</v>
      </c>
      <c r="I15" s="18">
        <v>4.3459999999999999E-2</v>
      </c>
      <c r="J15" s="10">
        <f t="shared" ref="J15:J31" si="0">ROUND(H15*I15,0)</f>
        <v>16394</v>
      </c>
      <c r="K15" s="10">
        <f>+'22a&amp;b'!CE16</f>
        <v>0</v>
      </c>
      <c r="L15" s="10">
        <f>ROUND(F15*0.05,0)</f>
        <v>4399</v>
      </c>
      <c r="M15" s="10">
        <f t="shared" ref="M15:M31" si="1">+K15+L15</f>
        <v>4399</v>
      </c>
      <c r="N15" s="10">
        <f>+F15+J15+M15</f>
        <v>108775</v>
      </c>
    </row>
    <row r="16" spans="1:14" x14ac:dyDescent="0.2">
      <c r="A16" t="s">
        <v>254</v>
      </c>
      <c r="C16" s="6">
        <v>50</v>
      </c>
      <c r="D16" s="6">
        <v>151</v>
      </c>
      <c r="E16" s="19">
        <f>ROUND(F16/C16,2)</f>
        <v>89.58</v>
      </c>
      <c r="F16" s="17">
        <v>4479</v>
      </c>
      <c r="G16" s="6">
        <v>276</v>
      </c>
      <c r="H16" s="11">
        <f>D16*G16</f>
        <v>41676</v>
      </c>
      <c r="I16" s="18">
        <v>4.3619999999999999E-2</v>
      </c>
      <c r="J16" s="10">
        <f t="shared" si="0"/>
        <v>1818</v>
      </c>
      <c r="K16" s="10">
        <f>+'22a&amp;b'!CE17</f>
        <v>987</v>
      </c>
      <c r="L16" s="10">
        <v>0</v>
      </c>
      <c r="M16" s="10">
        <f t="shared" si="1"/>
        <v>987</v>
      </c>
      <c r="N16" s="10">
        <f>+F16+J16+M16</f>
        <v>7284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+'22a&amp;b'!CE19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1200</v>
      </c>
      <c r="H21" s="11">
        <f>D21*G21</f>
        <v>0</v>
      </c>
      <c r="I21" s="18">
        <v>3.1140000000000001E-2</v>
      </c>
      <c r="J21" s="10">
        <f t="shared" si="0"/>
        <v>0</v>
      </c>
      <c r="K21" s="10">
        <f>+'22a&amp;b'!CE22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446</v>
      </c>
      <c r="H22" s="11">
        <f>D22*G22</f>
        <v>0</v>
      </c>
      <c r="I22" s="18">
        <v>3.116E-2</v>
      </c>
      <c r="J22" s="10">
        <f t="shared" si="0"/>
        <v>0</v>
      </c>
      <c r="K22" s="10">
        <f>+'22a&amp;b'!CE23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45</v>
      </c>
      <c r="D25" s="6">
        <v>209</v>
      </c>
      <c r="E25" s="19">
        <f>ROUND(F25/C25,2)</f>
        <v>450</v>
      </c>
      <c r="F25" s="17">
        <v>20250</v>
      </c>
      <c r="G25" s="6">
        <v>1144</v>
      </c>
      <c r="H25" s="11">
        <f>D25*G25</f>
        <v>239096</v>
      </c>
      <c r="I25" s="18">
        <v>4.3459999999999999E-2</v>
      </c>
      <c r="J25" s="10">
        <f t="shared" si="0"/>
        <v>10391</v>
      </c>
      <c r="K25" s="10">
        <f>+'22a&amp;b'!CE26</f>
        <v>3564</v>
      </c>
      <c r="L25" s="10">
        <v>0</v>
      </c>
      <c r="M25" s="10">
        <f t="shared" si="1"/>
        <v>3564</v>
      </c>
      <c r="N25" s="10">
        <f>+F25+J25+M25</f>
        <v>34205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129</v>
      </c>
      <c r="D28" s="6">
        <v>426</v>
      </c>
      <c r="E28" s="19">
        <f>ROUND(F28/C28,2)</f>
        <v>551.94000000000005</v>
      </c>
      <c r="F28" s="17">
        <v>71200</v>
      </c>
      <c r="G28" s="6">
        <v>1808</v>
      </c>
      <c r="H28" s="11">
        <f>D28*G28</f>
        <v>770208</v>
      </c>
      <c r="I28" s="18">
        <v>4.3479999999999998E-2</v>
      </c>
      <c r="J28" s="10">
        <f t="shared" si="0"/>
        <v>33489</v>
      </c>
      <c r="K28" s="10">
        <f>+'22a&amp;b'!CE29</f>
        <v>16120</v>
      </c>
      <c r="L28" s="10">
        <v>0</v>
      </c>
      <c r="M28" s="10">
        <f t="shared" si="1"/>
        <v>16120</v>
      </c>
      <c r="N28" s="10">
        <f>+F28+J28+M28</f>
        <v>120809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158</v>
      </c>
      <c r="H29" s="11">
        <f>D29*G29</f>
        <v>0</v>
      </c>
      <c r="I29" s="18">
        <v>4.3430000000000003E-2</v>
      </c>
      <c r="J29" s="10">
        <f t="shared" si="0"/>
        <v>0</v>
      </c>
      <c r="K29" s="10">
        <f>+'22a&amp;b'!CE30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485</v>
      </c>
      <c r="D31" s="6">
        <v>2113</v>
      </c>
      <c r="E31" s="19">
        <f>ROUND(F31/C31,2)</f>
        <v>353.79</v>
      </c>
      <c r="F31" s="17">
        <v>171590</v>
      </c>
      <c r="G31" s="6">
        <v>612</v>
      </c>
      <c r="H31" s="11">
        <f>D31*G31</f>
        <v>1293156</v>
      </c>
      <c r="I31" s="18">
        <v>4.3490000000000001E-2</v>
      </c>
      <c r="J31" s="10">
        <f t="shared" si="0"/>
        <v>56239</v>
      </c>
      <c r="K31" s="10">
        <f>+'22a&amp;b'!CE32</f>
        <v>20409</v>
      </c>
      <c r="L31" s="10">
        <v>0</v>
      </c>
      <c r="M31" s="10">
        <f t="shared" si="1"/>
        <v>20409</v>
      </c>
      <c r="N31" s="10">
        <f>+F31+J31+M31</f>
        <v>248238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809</v>
      </c>
      <c r="D33" s="6">
        <f>SUM(D12:D31)</f>
        <v>3320</v>
      </c>
      <c r="E33" s="3"/>
      <c r="F33" s="17">
        <f>SUM(F12:F31)</f>
        <v>355501</v>
      </c>
      <c r="G33" s="6"/>
      <c r="H33" s="6">
        <f>SUM(H12:H31)</f>
        <v>2721352</v>
      </c>
      <c r="I33" s="18"/>
      <c r="J33" s="17">
        <f>SUM(J12:J31)</f>
        <v>118331</v>
      </c>
      <c r="K33" s="10">
        <f>SUM(K11:K31)</f>
        <v>41080</v>
      </c>
      <c r="L33" s="10">
        <f>SUM(L12:L31)</f>
        <v>4399</v>
      </c>
      <c r="M33" s="10">
        <f>SUM(M12:M31)</f>
        <v>45479</v>
      </c>
      <c r="N33" s="10">
        <f>SUM(N12:N31)</f>
        <v>519311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f>+'22a&amp;b'!CC78</f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f>+'22a&amp;b'!CC79</f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f>+'22a&amp;b'!CC80</f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f>+'22a&amp;b'!CC81</f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f>+'22a&amp;b'!CC116</f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f>+'22a&amp;b'!CC117</f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f>+'22a&amp;b'!CC118</f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f>+'22a&amp;b'!CC119</f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809</v>
      </c>
      <c r="D56" s="6">
        <f>+D33+D43+D54</f>
        <v>3320</v>
      </c>
      <c r="E56" s="3"/>
      <c r="F56" s="17">
        <f>+F33+F43+F54</f>
        <v>355501</v>
      </c>
      <c r="G56" s="6"/>
      <c r="H56" s="6">
        <f>+H33+H43+H54</f>
        <v>2721352</v>
      </c>
      <c r="I56" s="18"/>
      <c r="J56" s="17">
        <f>+J33+J43+J54</f>
        <v>118331</v>
      </c>
      <c r="K56" s="10">
        <f>+K33+K43+K54</f>
        <v>41080</v>
      </c>
      <c r="L56" s="10">
        <f>+L33+L43+L54</f>
        <v>4399</v>
      </c>
      <c r="M56" s="10">
        <f>+M33+M43+M54</f>
        <v>45479</v>
      </c>
      <c r="N56" s="10">
        <f>+N33+N43+N54</f>
        <v>519311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324</v>
      </c>
    </row>
    <row r="61" spans="1:14" x14ac:dyDescent="0.2">
      <c r="A61" t="s">
        <v>323</v>
      </c>
    </row>
  </sheetData>
  <phoneticPr fontId="16" type="noConversion"/>
  <printOptions horizontalCentered="1" verticalCentered="1" gridLines="1"/>
  <pageMargins left="0" right="0" top="1" bottom="0" header="0" footer="0"/>
  <pageSetup scale="6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61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326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325</v>
      </c>
      <c r="N4" s="1">
        <f>+'Y1'!M7</f>
        <v>24</v>
      </c>
    </row>
    <row r="6" spans="1:14" ht="25.5" x14ac:dyDescent="0.2">
      <c r="A6" t="s">
        <v>333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341</v>
      </c>
      <c r="I8" s="12" t="s">
        <v>80</v>
      </c>
      <c r="J8" s="12" t="s">
        <v>81</v>
      </c>
      <c r="K8" s="61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0</v>
      </c>
      <c r="H12" s="11">
        <f>D12*G12</f>
        <v>0</v>
      </c>
      <c r="I12" s="18">
        <v>0</v>
      </c>
      <c r="J12" s="10">
        <f>ROUND(H12*I12,0)</f>
        <v>0</v>
      </c>
      <c r="K12" s="10">
        <f>+'22a&amp;b'!CF13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119</v>
      </c>
      <c r="D15" s="6">
        <v>521</v>
      </c>
      <c r="E15" s="19">
        <f>ROUND(F15/C15,2)</f>
        <v>1358.15</v>
      </c>
      <c r="F15" s="17">
        <v>161620</v>
      </c>
      <c r="G15" s="6">
        <v>1016</v>
      </c>
      <c r="H15" s="11">
        <f>D15*G15</f>
        <v>529336</v>
      </c>
      <c r="I15" s="18">
        <v>4.3459999999999999E-2</v>
      </c>
      <c r="J15" s="10">
        <f t="shared" ref="J15:J31" si="0">ROUND(H15*I15,0)</f>
        <v>23005</v>
      </c>
      <c r="K15" s="10">
        <f>+'22a&amp;b'!CF16</f>
        <v>9189</v>
      </c>
      <c r="L15" s="10">
        <f>ROUND(F15*0,0)</f>
        <v>0</v>
      </c>
      <c r="M15" s="10">
        <f t="shared" ref="M15:M31" si="1">+K15+L15</f>
        <v>9189</v>
      </c>
      <c r="N15" s="10">
        <f>+F15+J15+M15</f>
        <v>193814</v>
      </c>
    </row>
    <row r="16" spans="1:14" x14ac:dyDescent="0.2">
      <c r="A16" t="s">
        <v>254</v>
      </c>
      <c r="C16" s="6">
        <v>56</v>
      </c>
      <c r="D16" s="6">
        <v>196</v>
      </c>
      <c r="E16" s="19">
        <f>ROUND(F16/C16,2)</f>
        <v>83.11</v>
      </c>
      <c r="F16" s="17">
        <v>4654</v>
      </c>
      <c r="G16" s="6">
        <v>568</v>
      </c>
      <c r="H16" s="11">
        <f>D16*G16</f>
        <v>111328</v>
      </c>
      <c r="I16" s="18">
        <v>4.3450000000000003E-2</v>
      </c>
      <c r="J16" s="10">
        <f t="shared" si="0"/>
        <v>4837</v>
      </c>
      <c r="K16" s="10">
        <f>+'22a&amp;b'!CF17</f>
        <v>3454</v>
      </c>
      <c r="L16" s="10">
        <v>0</v>
      </c>
      <c r="M16" s="10">
        <f t="shared" si="1"/>
        <v>3454</v>
      </c>
      <c r="N16" s="10">
        <f>+F16+J16+M16</f>
        <v>12945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+'22a&amp;b'!CF19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>D21*G21</f>
        <v>0</v>
      </c>
      <c r="I21" s="18">
        <v>0</v>
      </c>
      <c r="J21" s="10">
        <f t="shared" si="0"/>
        <v>0</v>
      </c>
      <c r="K21" s="10">
        <f>+'22a&amp;b'!CF22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0</v>
      </c>
      <c r="H22" s="11">
        <f>D22*G22</f>
        <v>0</v>
      </c>
      <c r="I22" s="18">
        <v>0</v>
      </c>
      <c r="J22" s="10">
        <f t="shared" si="0"/>
        <v>0</v>
      </c>
      <c r="K22" s="10">
        <f>+'22a&amp;b'!CF23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61</v>
      </c>
      <c r="D25" s="6">
        <v>252</v>
      </c>
      <c r="E25" s="19">
        <f>ROUND(F25/C25,2)</f>
        <v>457.38</v>
      </c>
      <c r="F25" s="17">
        <v>27900</v>
      </c>
      <c r="G25" s="6">
        <v>875</v>
      </c>
      <c r="H25" s="11">
        <f>D25*G25</f>
        <v>220500</v>
      </c>
      <c r="I25" s="18">
        <v>4.3459999999999999E-2</v>
      </c>
      <c r="J25" s="10">
        <f t="shared" si="0"/>
        <v>9583</v>
      </c>
      <c r="K25" s="10">
        <f>+'22a&amp;b'!CF26</f>
        <v>8539</v>
      </c>
      <c r="L25" s="10">
        <v>0</v>
      </c>
      <c r="M25" s="10">
        <f t="shared" si="1"/>
        <v>8539</v>
      </c>
      <c r="N25" s="10">
        <f>+F25+J25+M25</f>
        <v>46022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121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95</v>
      </c>
      <c r="D28" s="6">
        <v>520</v>
      </c>
      <c r="E28" s="19">
        <f>ROUND(F28/C28,2)</f>
        <v>552.63</v>
      </c>
      <c r="F28" s="17">
        <v>52500</v>
      </c>
      <c r="G28" s="6">
        <v>861</v>
      </c>
      <c r="H28" s="11">
        <f>D28*G28</f>
        <v>447720</v>
      </c>
      <c r="I28" s="18">
        <v>4.3479999999999998E-2</v>
      </c>
      <c r="J28" s="10">
        <f t="shared" si="0"/>
        <v>19467</v>
      </c>
      <c r="K28" s="10">
        <f>+'22a&amp;b'!CF29</f>
        <v>10597</v>
      </c>
      <c r="L28" s="10">
        <v>0</v>
      </c>
      <c r="M28" s="10">
        <f t="shared" si="1"/>
        <v>10597</v>
      </c>
      <c r="N28" s="10">
        <f>+F28+J28+M28</f>
        <v>82564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0</v>
      </c>
      <c r="H29" s="11">
        <f>D29*G29</f>
        <v>0</v>
      </c>
      <c r="I29" s="18">
        <v>0</v>
      </c>
      <c r="J29" s="10">
        <f t="shared" si="0"/>
        <v>0</v>
      </c>
      <c r="K29" s="10">
        <f>+'22a&amp;b'!CF30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560</v>
      </c>
      <c r="D31" s="6">
        <v>2612</v>
      </c>
      <c r="E31" s="19">
        <f>ROUND(F31/C31,2)</f>
        <v>361.32</v>
      </c>
      <c r="F31" s="17">
        <v>202339</v>
      </c>
      <c r="G31" s="38">
        <v>435</v>
      </c>
      <c r="H31" s="11">
        <f>D31*G31</f>
        <v>1136220</v>
      </c>
      <c r="I31" s="18">
        <v>4.3490000000000001E-2</v>
      </c>
      <c r="J31" s="10">
        <f t="shared" si="0"/>
        <v>49414</v>
      </c>
      <c r="K31" s="10">
        <f>+'22a&amp;b'!CF32</f>
        <v>27871</v>
      </c>
      <c r="L31" s="10">
        <v>0</v>
      </c>
      <c r="M31" s="10">
        <f t="shared" si="1"/>
        <v>27871</v>
      </c>
      <c r="N31" s="10">
        <f>+F31+J31+M31</f>
        <v>279624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891</v>
      </c>
      <c r="D33" s="6">
        <f>SUM(D12:D31)</f>
        <v>4101</v>
      </c>
      <c r="E33" s="3"/>
      <c r="F33" s="17">
        <f>SUM(F12:F31)</f>
        <v>449013</v>
      </c>
      <c r="G33" s="6"/>
      <c r="H33" s="6">
        <f>SUM(H12:H31)</f>
        <v>2445104</v>
      </c>
      <c r="I33" s="18"/>
      <c r="J33" s="17">
        <f>SUM(J12:J31)</f>
        <v>106306</v>
      </c>
      <c r="K33" s="10">
        <f>SUM(K11:K31)</f>
        <v>59650</v>
      </c>
      <c r="L33" s="10">
        <f>SUM(L12:L31)</f>
        <v>0</v>
      </c>
      <c r="M33" s="10">
        <f>SUM(M12:M31)</f>
        <v>59650</v>
      </c>
      <c r="N33" s="10">
        <f>SUM(N12:N31)</f>
        <v>614969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891</v>
      </c>
      <c r="D56" s="6">
        <f>+D33+D43+D54</f>
        <v>4101</v>
      </c>
      <c r="E56" s="3"/>
      <c r="F56" s="17">
        <f>+F33+F43+F54</f>
        <v>449013</v>
      </c>
      <c r="G56" s="6"/>
      <c r="H56" s="6">
        <f>+H33+H43+H54</f>
        <v>2445104</v>
      </c>
      <c r="I56" s="18"/>
      <c r="J56" s="17">
        <f>+J33+J43+J54</f>
        <v>106306</v>
      </c>
      <c r="K56" s="10">
        <f>+K33+K43+K54</f>
        <v>59650</v>
      </c>
      <c r="L56" s="10">
        <f>+L33+L43+L54</f>
        <v>0</v>
      </c>
      <c r="M56" s="10">
        <f>+M33+M43+M54</f>
        <v>59650</v>
      </c>
      <c r="N56" s="10">
        <f>+N33+N43+N54</f>
        <v>614969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324</v>
      </c>
    </row>
    <row r="61" spans="1:14" x14ac:dyDescent="0.2">
      <c r="A61" t="s">
        <v>323</v>
      </c>
    </row>
  </sheetData>
  <phoneticPr fontId="16" type="noConversion"/>
  <printOptions horizontalCentered="1" verticalCentered="1" gridLines="1"/>
  <pageMargins left="0" right="0" top="1" bottom="0" header="0.8" footer="0"/>
  <pageSetup scale="6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60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39.7109375" customWidth="1"/>
    <col min="2" max="2" width="1.7109375" customWidth="1"/>
    <col min="3" max="4" width="13.7109375" customWidth="1"/>
    <col min="5" max="5" width="12.7109375" customWidth="1"/>
    <col min="6" max="6" width="11.5703125" customWidth="1"/>
    <col min="7" max="7" width="14.7109375" customWidth="1"/>
    <col min="8" max="9" width="11.5703125" customWidth="1"/>
    <col min="10" max="10" width="12.7109375" customWidth="1"/>
    <col min="11" max="12" width="14.7109375" customWidth="1"/>
    <col min="13" max="13" width="13.42578125" customWidth="1"/>
    <col min="14" max="14" width="16.7109375" customWidth="1"/>
  </cols>
  <sheetData>
    <row r="1" spans="1:14" x14ac:dyDescent="0.2">
      <c r="A1" s="45" t="s">
        <v>326</v>
      </c>
      <c r="B1" s="14"/>
    </row>
    <row r="3" spans="1:14" x14ac:dyDescent="0.2">
      <c r="A3" s="28" t="s">
        <v>0</v>
      </c>
      <c r="H3" s="15"/>
      <c r="M3" s="37" t="s">
        <v>140</v>
      </c>
    </row>
    <row r="4" spans="1:14" ht="25.5" x14ac:dyDescent="0.2">
      <c r="A4" s="36" t="s">
        <v>128</v>
      </c>
      <c r="M4" s="8" t="s">
        <v>332</v>
      </c>
      <c r="N4" s="1">
        <f>+'Y1'!M7</f>
        <v>24</v>
      </c>
    </row>
    <row r="6" spans="1:14" ht="25.5" x14ac:dyDescent="0.2">
      <c r="A6" t="s">
        <v>338</v>
      </c>
      <c r="C6" s="12" t="s">
        <v>57</v>
      </c>
      <c r="D6" s="12" t="s">
        <v>58</v>
      </c>
      <c r="E6" s="54" t="s">
        <v>299</v>
      </c>
      <c r="F6" s="55" t="s">
        <v>314</v>
      </c>
      <c r="G6" s="12" t="s">
        <v>61</v>
      </c>
      <c r="H6" s="12" t="s">
        <v>4</v>
      </c>
      <c r="I6" s="8" t="s">
        <v>200</v>
      </c>
      <c r="J6" s="8" t="s">
        <v>199</v>
      </c>
      <c r="K6" s="12" t="s">
        <v>63</v>
      </c>
      <c r="L6" s="12" t="s">
        <v>64</v>
      </c>
      <c r="M6" s="12"/>
      <c r="N6" s="55" t="s">
        <v>314</v>
      </c>
    </row>
    <row r="7" spans="1:14" ht="25.5" x14ac:dyDescent="0.2">
      <c r="C7" s="12" t="s">
        <v>66</v>
      </c>
      <c r="D7" s="12" t="s">
        <v>66</v>
      </c>
      <c r="E7" s="54" t="s">
        <v>67</v>
      </c>
      <c r="F7" s="12" t="s">
        <v>27</v>
      </c>
      <c r="G7" s="12" t="s">
        <v>248</v>
      </c>
      <c r="H7" s="8" t="s">
        <v>69</v>
      </c>
      <c r="I7" s="12" t="s">
        <v>70</v>
      </c>
      <c r="J7" s="12" t="s">
        <v>71</v>
      </c>
      <c r="K7" s="12" t="s">
        <v>72</v>
      </c>
      <c r="L7" s="12" t="s">
        <v>72</v>
      </c>
      <c r="M7" s="12" t="s">
        <v>73</v>
      </c>
      <c r="N7" s="12" t="s">
        <v>74</v>
      </c>
    </row>
    <row r="8" spans="1:14" ht="38.25" x14ac:dyDescent="0.2">
      <c r="A8" t="s">
        <v>28</v>
      </c>
      <c r="C8" s="12" t="s">
        <v>75</v>
      </c>
      <c r="D8" s="12" t="s">
        <v>119</v>
      </c>
      <c r="E8" s="54" t="s">
        <v>76</v>
      </c>
      <c r="F8" s="12" t="s">
        <v>77</v>
      </c>
      <c r="G8" s="8" t="s">
        <v>247</v>
      </c>
      <c r="H8" s="52" t="s">
        <v>341</v>
      </c>
      <c r="I8" s="12" t="s">
        <v>80</v>
      </c>
      <c r="J8" s="12" t="s">
        <v>81</v>
      </c>
      <c r="K8" s="61" t="str">
        <f>+'Y1'!J13</f>
        <v>(EX. C,                            PG.23C)</v>
      </c>
      <c r="L8" s="8" t="s">
        <v>217</v>
      </c>
      <c r="M8" s="12" t="s">
        <v>72</v>
      </c>
      <c r="N8" s="12" t="s">
        <v>83</v>
      </c>
    </row>
    <row r="9" spans="1:14" x14ac:dyDescent="0.2">
      <c r="C9" s="7">
        <v>-1</v>
      </c>
      <c r="D9" s="7">
        <v>-2</v>
      </c>
      <c r="E9" s="7">
        <v>-3</v>
      </c>
      <c r="F9" s="7">
        <v>-4</v>
      </c>
      <c r="G9" s="7">
        <v>-5</v>
      </c>
      <c r="H9" s="7">
        <v>-6</v>
      </c>
      <c r="I9" s="7">
        <v>-7</v>
      </c>
      <c r="J9" s="7">
        <v>-8</v>
      </c>
      <c r="K9" s="7">
        <v>-9</v>
      </c>
      <c r="L9" s="7">
        <v>-10</v>
      </c>
      <c r="M9" s="7">
        <v>-11</v>
      </c>
      <c r="N9" s="7">
        <v>-12</v>
      </c>
    </row>
    <row r="10" spans="1:14" x14ac:dyDescent="0.2">
      <c r="C10" s="12"/>
      <c r="D10" s="12"/>
      <c r="E10" s="12"/>
      <c r="F10" s="12" t="s">
        <v>84</v>
      </c>
      <c r="G10" s="12"/>
      <c r="H10" s="12" t="s">
        <v>85</v>
      </c>
      <c r="I10" s="12"/>
      <c r="J10" s="12" t="s">
        <v>86</v>
      </c>
      <c r="K10" s="12"/>
      <c r="L10" s="12" t="s">
        <v>87</v>
      </c>
      <c r="M10" s="12" t="s">
        <v>88</v>
      </c>
      <c r="N10" s="12" t="s">
        <v>89</v>
      </c>
    </row>
    <row r="11" spans="1:14" x14ac:dyDescent="0.2">
      <c r="A11" t="s">
        <v>29</v>
      </c>
    </row>
    <row r="12" spans="1:14" x14ac:dyDescent="0.2">
      <c r="A12" t="s">
        <v>30</v>
      </c>
      <c r="C12" s="6">
        <v>0</v>
      </c>
      <c r="D12" s="6">
        <v>0</v>
      </c>
      <c r="E12" s="19">
        <v>0</v>
      </c>
      <c r="F12" s="17">
        <v>0</v>
      </c>
      <c r="G12" s="6">
        <v>0</v>
      </c>
      <c r="H12" s="11">
        <f>D12*G12</f>
        <v>0</v>
      </c>
      <c r="I12" s="18">
        <v>0</v>
      </c>
      <c r="J12" s="10">
        <f>ROUND(H12*I12,0)</f>
        <v>0</v>
      </c>
      <c r="K12" s="10">
        <f>+'22a&amp;b'!CG13</f>
        <v>0</v>
      </c>
      <c r="L12" s="10">
        <f>ROUND(F12*0.05,0)</f>
        <v>0</v>
      </c>
      <c r="M12" s="10">
        <f>+K12+L12</f>
        <v>0</v>
      </c>
      <c r="N12" s="10">
        <f>+F12+J12+M12</f>
        <v>0</v>
      </c>
    </row>
    <row r="13" spans="1:14" x14ac:dyDescent="0.2">
      <c r="C13" s="6"/>
      <c r="D13" s="6"/>
      <c r="E13" s="19"/>
      <c r="F13" s="17"/>
      <c r="G13" s="6"/>
      <c r="H13" s="11"/>
      <c r="I13" s="18"/>
      <c r="J13" s="10"/>
      <c r="K13" s="10"/>
      <c r="L13" s="10"/>
      <c r="M13" s="10"/>
      <c r="N13" s="10"/>
    </row>
    <row r="14" spans="1:14" x14ac:dyDescent="0.2">
      <c r="A14" s="22" t="s">
        <v>261</v>
      </c>
      <c r="C14" s="6"/>
      <c r="D14" s="6"/>
      <c r="E14" s="19"/>
      <c r="F14" s="17"/>
      <c r="G14" s="6"/>
      <c r="H14" s="11"/>
      <c r="I14" s="18"/>
      <c r="J14" s="10"/>
      <c r="K14" s="10"/>
      <c r="L14" s="10"/>
      <c r="M14" s="10"/>
      <c r="N14" s="10"/>
    </row>
    <row r="15" spans="1:14" x14ac:dyDescent="0.2">
      <c r="A15" s="22" t="s">
        <v>253</v>
      </c>
      <c r="C15" s="6">
        <v>89</v>
      </c>
      <c r="D15" s="6">
        <v>545</v>
      </c>
      <c r="E15" s="19">
        <f>ROUND(F15/C15,2)</f>
        <v>991.21</v>
      </c>
      <c r="F15" s="17">
        <v>88218</v>
      </c>
      <c r="G15" s="6">
        <v>1016</v>
      </c>
      <c r="H15" s="11">
        <f>D15*G15</f>
        <v>553720</v>
      </c>
      <c r="I15" s="18">
        <v>4.3459999999999999E-2</v>
      </c>
      <c r="J15" s="10">
        <f t="shared" ref="J15:J31" si="0">ROUND(H15*I15,0)</f>
        <v>24065</v>
      </c>
      <c r="K15" s="10">
        <f>+'22a&amp;b'!CG16</f>
        <v>6873</v>
      </c>
      <c r="L15" s="10">
        <f>ROUND(F15*0,0)</f>
        <v>0</v>
      </c>
      <c r="M15" s="10">
        <f t="shared" ref="M15:M31" si="1">+K15+L15</f>
        <v>6873</v>
      </c>
      <c r="N15" s="10">
        <f>+F15+J15+M15</f>
        <v>119156</v>
      </c>
    </row>
    <row r="16" spans="1:14" x14ac:dyDescent="0.2">
      <c r="A16" t="s">
        <v>254</v>
      </c>
      <c r="C16" s="6">
        <v>20</v>
      </c>
      <c r="D16" s="6">
        <v>223</v>
      </c>
      <c r="E16" s="19">
        <f>ROUND(F16/C16,2)</f>
        <v>87.5</v>
      </c>
      <c r="F16" s="17">
        <v>1750</v>
      </c>
      <c r="G16" s="6">
        <v>568</v>
      </c>
      <c r="H16" s="11">
        <f>D16*G16</f>
        <v>126664</v>
      </c>
      <c r="I16" s="18">
        <v>4.3450000000000003E-2</v>
      </c>
      <c r="J16" s="10">
        <f t="shared" si="0"/>
        <v>5504</v>
      </c>
      <c r="K16" s="10">
        <f>+'22a&amp;b'!CG17</f>
        <v>1234</v>
      </c>
      <c r="L16" s="10">
        <v>0</v>
      </c>
      <c r="M16" s="10">
        <f t="shared" si="1"/>
        <v>1234</v>
      </c>
      <c r="N16" s="10">
        <f>+F16+J16+M16</f>
        <v>8488</v>
      </c>
    </row>
    <row r="17" spans="1:15" x14ac:dyDescent="0.2">
      <c r="C17" s="6"/>
      <c r="D17" s="6"/>
      <c r="E17" s="19"/>
      <c r="F17" s="17"/>
      <c r="G17" s="6"/>
      <c r="H17" s="11"/>
      <c r="I17" s="18"/>
      <c r="J17" s="10"/>
      <c r="K17" s="10"/>
      <c r="L17" s="10"/>
      <c r="M17" s="10"/>
      <c r="N17" s="10"/>
    </row>
    <row r="18" spans="1:15" x14ac:dyDescent="0.2">
      <c r="A18" t="s">
        <v>33</v>
      </c>
      <c r="C18" s="6">
        <v>0</v>
      </c>
      <c r="D18" s="6">
        <v>0</v>
      </c>
      <c r="E18" s="19">
        <v>0</v>
      </c>
      <c r="F18" s="17">
        <v>0</v>
      </c>
      <c r="G18" s="6">
        <v>0</v>
      </c>
      <c r="H18" s="11">
        <f>D18*G18</f>
        <v>0</v>
      </c>
      <c r="I18" s="18">
        <v>0</v>
      </c>
      <c r="J18" s="10">
        <f t="shared" si="0"/>
        <v>0</v>
      </c>
      <c r="K18" s="10">
        <f>+'22a&amp;b'!CG19</f>
        <v>0</v>
      </c>
      <c r="L18" s="10">
        <f>ROUND(F18*0.05,0)</f>
        <v>0</v>
      </c>
      <c r="M18" s="10">
        <f t="shared" si="1"/>
        <v>0</v>
      </c>
      <c r="N18" s="10">
        <f>+F18+J18+M18</f>
        <v>0</v>
      </c>
    </row>
    <row r="19" spans="1:15" x14ac:dyDescent="0.2">
      <c r="C19" s="6"/>
      <c r="D19" s="6"/>
      <c r="E19" s="19"/>
      <c r="F19" s="17"/>
      <c r="G19" s="6"/>
      <c r="H19" s="11"/>
      <c r="I19" s="18"/>
      <c r="J19" s="10"/>
      <c r="K19" s="10"/>
      <c r="L19" s="10"/>
      <c r="M19" s="10"/>
      <c r="N19" s="10"/>
    </row>
    <row r="20" spans="1:15" x14ac:dyDescent="0.2">
      <c r="A20" t="s">
        <v>259</v>
      </c>
      <c r="C20" s="6"/>
      <c r="D20" s="6"/>
      <c r="E20" s="19"/>
      <c r="F20" s="17"/>
      <c r="G20" s="6"/>
      <c r="H20" s="11"/>
      <c r="I20" s="18"/>
      <c r="J20" s="10"/>
      <c r="K20" s="10"/>
      <c r="L20" s="10"/>
      <c r="M20" s="10"/>
      <c r="N20" s="10"/>
    </row>
    <row r="21" spans="1:15" x14ac:dyDescent="0.2">
      <c r="A21" t="s">
        <v>255</v>
      </c>
      <c r="C21" s="6">
        <v>0</v>
      </c>
      <c r="D21" s="6">
        <v>0</v>
      </c>
      <c r="E21" s="19">
        <v>0</v>
      </c>
      <c r="F21" s="17">
        <v>0</v>
      </c>
      <c r="G21" s="6">
        <v>0</v>
      </c>
      <c r="H21" s="11">
        <f>D21*G21</f>
        <v>0</v>
      </c>
      <c r="I21" s="18">
        <v>0</v>
      </c>
      <c r="J21" s="10">
        <f t="shared" si="0"/>
        <v>0</v>
      </c>
      <c r="K21" s="10">
        <f>+'22a&amp;b'!CG22</f>
        <v>0</v>
      </c>
      <c r="L21" s="10">
        <v>0</v>
      </c>
      <c r="M21" s="10">
        <f t="shared" si="1"/>
        <v>0</v>
      </c>
      <c r="N21" s="10">
        <f>+F21+J21+M21</f>
        <v>0</v>
      </c>
    </row>
    <row r="22" spans="1:15" x14ac:dyDescent="0.2">
      <c r="A22" t="s">
        <v>256</v>
      </c>
      <c r="C22" s="6">
        <v>0</v>
      </c>
      <c r="D22" s="6">
        <v>0</v>
      </c>
      <c r="E22" s="19">
        <v>0</v>
      </c>
      <c r="F22" s="17">
        <v>0</v>
      </c>
      <c r="G22" s="6">
        <v>0</v>
      </c>
      <c r="H22" s="11">
        <f>D22*G22</f>
        <v>0</v>
      </c>
      <c r="I22" s="18">
        <v>0</v>
      </c>
      <c r="J22" s="10">
        <f t="shared" si="0"/>
        <v>0</v>
      </c>
      <c r="K22" s="10">
        <f>+'22a&amp;b'!CG23</f>
        <v>0</v>
      </c>
      <c r="L22" s="10">
        <f>ROUND(F22*0.05,0)</f>
        <v>0</v>
      </c>
      <c r="M22" s="10">
        <f t="shared" si="1"/>
        <v>0</v>
      </c>
      <c r="N22" s="10">
        <f>+F22+J22+M22</f>
        <v>0</v>
      </c>
    </row>
    <row r="23" spans="1:15" x14ac:dyDescent="0.2">
      <c r="C23" s="6"/>
      <c r="D23" s="6"/>
      <c r="E23" s="19"/>
      <c r="F23" s="17"/>
      <c r="G23" s="6"/>
      <c r="H23" s="11"/>
      <c r="I23" s="18"/>
      <c r="J23" s="10"/>
      <c r="K23" s="10"/>
      <c r="L23" s="10"/>
      <c r="M23" s="10"/>
      <c r="N23" s="10"/>
    </row>
    <row r="24" spans="1:15" x14ac:dyDescent="0.2">
      <c r="A24" t="s">
        <v>236</v>
      </c>
      <c r="C24" s="6"/>
      <c r="D24" s="6"/>
      <c r="E24" s="19"/>
      <c r="F24" s="17"/>
      <c r="G24" s="6"/>
      <c r="H24" s="11"/>
      <c r="I24" s="18"/>
      <c r="J24" s="10"/>
      <c r="K24" s="10"/>
      <c r="L24" s="10"/>
      <c r="M24" s="10"/>
      <c r="N24" s="10"/>
    </row>
    <row r="25" spans="1:15" x14ac:dyDescent="0.2">
      <c r="A25" t="s">
        <v>257</v>
      </c>
      <c r="C25" s="6">
        <v>74</v>
      </c>
      <c r="D25" s="6">
        <v>289</v>
      </c>
      <c r="E25" s="19">
        <f>ROUND(F25/C25,2)</f>
        <v>442.57</v>
      </c>
      <c r="F25" s="17">
        <v>32750</v>
      </c>
      <c r="G25" s="6">
        <v>874</v>
      </c>
      <c r="H25" s="11">
        <f>D25*G25</f>
        <v>252586</v>
      </c>
      <c r="I25" s="18">
        <v>4.3459999999999999E-2</v>
      </c>
      <c r="J25" s="10">
        <f t="shared" si="0"/>
        <v>10977</v>
      </c>
      <c r="K25" s="10">
        <f>+'22a&amp;b'!CG26</f>
        <v>10359</v>
      </c>
      <c r="L25" s="10">
        <v>0</v>
      </c>
      <c r="M25" s="10">
        <f t="shared" si="1"/>
        <v>10359</v>
      </c>
      <c r="N25" s="10">
        <f>+F25+J25+M25</f>
        <v>54086</v>
      </c>
    </row>
    <row r="26" spans="1:15" x14ac:dyDescent="0.2">
      <c r="C26" s="6"/>
      <c r="D26" s="6"/>
      <c r="E26" s="19"/>
      <c r="F26" s="17"/>
      <c r="G26" s="6"/>
      <c r="H26" s="11"/>
      <c r="I26" s="18"/>
      <c r="J26" s="10"/>
      <c r="K26" s="10"/>
      <c r="L26" s="10"/>
      <c r="M26" s="10"/>
      <c r="N26" s="10"/>
    </row>
    <row r="27" spans="1:15" x14ac:dyDescent="0.2">
      <c r="A27" t="s">
        <v>346</v>
      </c>
      <c r="C27" s="6"/>
      <c r="D27" s="6"/>
      <c r="E27" s="19"/>
      <c r="F27" s="17"/>
      <c r="G27" s="6"/>
      <c r="H27" s="11"/>
      <c r="I27" s="18"/>
      <c r="J27" s="10"/>
      <c r="K27" s="10"/>
      <c r="L27" s="10"/>
      <c r="M27" s="10"/>
      <c r="N27" s="10"/>
    </row>
    <row r="28" spans="1:15" x14ac:dyDescent="0.2">
      <c r="A28" s="22" t="s">
        <v>207</v>
      </c>
      <c r="C28" s="6">
        <v>108</v>
      </c>
      <c r="D28" s="6">
        <v>548</v>
      </c>
      <c r="E28" s="19">
        <f>ROUND(F28/C28,2)</f>
        <v>550</v>
      </c>
      <c r="F28" s="17">
        <v>59400</v>
      </c>
      <c r="G28" s="6">
        <v>860</v>
      </c>
      <c r="H28" s="11">
        <f>D28*G28</f>
        <v>471280</v>
      </c>
      <c r="I28" s="18">
        <v>4.3479999999999998E-2</v>
      </c>
      <c r="J28" s="10">
        <f t="shared" si="0"/>
        <v>20491</v>
      </c>
      <c r="K28" s="10">
        <f>+'22a&amp;b'!CG29</f>
        <v>12047</v>
      </c>
      <c r="L28" s="10">
        <v>0</v>
      </c>
      <c r="M28" s="10">
        <f t="shared" si="1"/>
        <v>12047</v>
      </c>
      <c r="N28" s="10">
        <f>+F28+J28+M28</f>
        <v>91938</v>
      </c>
    </row>
    <row r="29" spans="1:15" x14ac:dyDescent="0.2">
      <c r="A29" s="22" t="s">
        <v>208</v>
      </c>
      <c r="C29" s="6">
        <v>0</v>
      </c>
      <c r="D29" s="6">
        <v>0</v>
      </c>
      <c r="E29" s="19">
        <v>0</v>
      </c>
      <c r="F29" s="17">
        <v>0</v>
      </c>
      <c r="G29" s="6">
        <v>0</v>
      </c>
      <c r="H29" s="11">
        <f>D29*G29</f>
        <v>0</v>
      </c>
      <c r="I29" s="18">
        <v>0</v>
      </c>
      <c r="J29" s="10">
        <f t="shared" si="0"/>
        <v>0</v>
      </c>
      <c r="K29" s="10">
        <f>+'22a&amp;b'!CG30</f>
        <v>0</v>
      </c>
      <c r="L29" s="10">
        <v>0</v>
      </c>
      <c r="M29" s="10">
        <f t="shared" si="1"/>
        <v>0</v>
      </c>
      <c r="N29" s="10">
        <f>+F29+J29+M29</f>
        <v>0</v>
      </c>
    </row>
    <row r="30" spans="1:15" x14ac:dyDescent="0.2">
      <c r="A30" s="22"/>
      <c r="C30" s="6"/>
      <c r="D30" s="6"/>
      <c r="E30" s="19"/>
      <c r="F30" s="17"/>
      <c r="G30" s="6"/>
      <c r="H30" s="11"/>
      <c r="I30" s="18"/>
      <c r="J30" s="10"/>
      <c r="K30" s="10"/>
      <c r="L30" s="10"/>
      <c r="M30" s="10"/>
      <c r="N30" s="10"/>
    </row>
    <row r="31" spans="1:15" x14ac:dyDescent="0.2">
      <c r="A31" s="22" t="s">
        <v>209</v>
      </c>
      <c r="C31" s="6">
        <v>440</v>
      </c>
      <c r="D31" s="6">
        <v>2793</v>
      </c>
      <c r="E31" s="19">
        <f>ROUND(F31/C31,2)</f>
        <v>356.35</v>
      </c>
      <c r="F31" s="17">
        <v>156792</v>
      </c>
      <c r="G31" s="38">
        <v>435</v>
      </c>
      <c r="H31" s="11">
        <f>D31*G31</f>
        <v>1214955</v>
      </c>
      <c r="I31" s="18">
        <v>4.3490000000000001E-2</v>
      </c>
      <c r="J31" s="10">
        <f t="shared" si="0"/>
        <v>52838</v>
      </c>
      <c r="K31" s="10">
        <f>+'22a&amp;b'!CG32</f>
        <v>21899</v>
      </c>
      <c r="L31" s="10">
        <v>0</v>
      </c>
      <c r="M31" s="10">
        <f t="shared" si="1"/>
        <v>21899</v>
      </c>
      <c r="N31" s="10">
        <f>+F31+J31+M31</f>
        <v>231529</v>
      </c>
    </row>
    <row r="32" spans="1:15" x14ac:dyDescent="0.2">
      <c r="C32" s="6" t="s">
        <v>201</v>
      </c>
      <c r="D32" s="6" t="s">
        <v>201</v>
      </c>
      <c r="E32" s="6"/>
      <c r="F32" s="6" t="s">
        <v>201</v>
      </c>
      <c r="G32" s="3"/>
      <c r="H32" s="6" t="s">
        <v>201</v>
      </c>
      <c r="I32" s="18"/>
      <c r="J32" s="6" t="s">
        <v>201</v>
      </c>
      <c r="K32" s="6" t="s">
        <v>201</v>
      </c>
      <c r="L32" s="6" t="s">
        <v>201</v>
      </c>
      <c r="M32" s="6" t="s">
        <v>201</v>
      </c>
      <c r="N32" s="6" t="s">
        <v>201</v>
      </c>
      <c r="O32" s="6"/>
    </row>
    <row r="33" spans="1:14" x14ac:dyDescent="0.2">
      <c r="A33" t="s">
        <v>39</v>
      </c>
      <c r="C33" s="6">
        <f>SUM(C12:C31)</f>
        <v>731</v>
      </c>
      <c r="D33" s="6">
        <f>SUM(D12:D31)</f>
        <v>4398</v>
      </c>
      <c r="E33" s="3"/>
      <c r="F33" s="17">
        <f>SUM(F12:F31)</f>
        <v>338910</v>
      </c>
      <c r="G33" s="6"/>
      <c r="H33" s="6">
        <f>SUM(H12:H31)</f>
        <v>2619205</v>
      </c>
      <c r="I33" s="18"/>
      <c r="J33" s="17">
        <f>SUM(J12:J31)</f>
        <v>113875</v>
      </c>
      <c r="K33" s="10">
        <f>SUM(K11:K31)</f>
        <v>52412</v>
      </c>
      <c r="L33" s="10">
        <f>SUM(L12:L31)</f>
        <v>0</v>
      </c>
      <c r="M33" s="10">
        <f>SUM(M12:M31)</f>
        <v>52412</v>
      </c>
      <c r="N33" s="10">
        <f>SUM(N12:N31)</f>
        <v>505197</v>
      </c>
    </row>
    <row r="34" spans="1:14" x14ac:dyDescent="0.2">
      <c r="C34" s="3" t="s">
        <v>94</v>
      </c>
      <c r="D34" s="3" t="s">
        <v>94</v>
      </c>
      <c r="E34" s="3"/>
      <c r="F34" s="3" t="s">
        <v>94</v>
      </c>
      <c r="G34" s="3"/>
      <c r="H34" s="3" t="s">
        <v>94</v>
      </c>
      <c r="I34" s="3"/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</row>
    <row r="35" spans="1:14" x14ac:dyDescent="0.2">
      <c r="C35" s="3"/>
      <c r="D35" s="3"/>
      <c r="E35" s="3"/>
      <c r="F35" s="3"/>
      <c r="G35" s="6"/>
      <c r="H35" s="3"/>
      <c r="I35" s="18"/>
      <c r="J35" s="3"/>
      <c r="K35" s="3"/>
      <c r="L35" s="3"/>
      <c r="M35" s="3"/>
      <c r="N35" s="3"/>
    </row>
    <row r="36" spans="1:14" x14ac:dyDescent="0.2">
      <c r="C36" s="3"/>
      <c r="D36" s="3"/>
      <c r="E36" s="3"/>
      <c r="F36" s="3"/>
      <c r="G36" s="6"/>
      <c r="H36" s="3"/>
      <c r="I36" s="18"/>
      <c r="J36" s="3"/>
      <c r="K36" s="3"/>
      <c r="L36" s="3"/>
      <c r="M36" s="3"/>
      <c r="N36" s="3"/>
    </row>
    <row r="37" spans="1:14" x14ac:dyDescent="0.2">
      <c r="A37" t="s">
        <v>40</v>
      </c>
      <c r="C37" s="3"/>
      <c r="D37" s="3"/>
      <c r="E37" s="3"/>
      <c r="F37" s="3"/>
      <c r="G37" s="6"/>
      <c r="H37" s="3"/>
      <c r="I37" s="18"/>
      <c r="J37" s="3"/>
      <c r="K37" s="3"/>
      <c r="L37" s="3"/>
      <c r="M37" s="3"/>
      <c r="N37" s="3"/>
    </row>
    <row r="38" spans="1:14" x14ac:dyDescent="0.2">
      <c r="A38" t="s">
        <v>41</v>
      </c>
      <c r="C38" s="3">
        <v>0</v>
      </c>
      <c r="D38" s="6">
        <v>0</v>
      </c>
      <c r="E38" s="19">
        <v>0</v>
      </c>
      <c r="F38" s="10">
        <v>0</v>
      </c>
      <c r="G38" s="6">
        <v>0</v>
      </c>
      <c r="H38" s="11">
        <f>D38*G38</f>
        <v>0</v>
      </c>
      <c r="I38" s="18" t="s">
        <v>38</v>
      </c>
      <c r="J38" s="10">
        <v>0</v>
      </c>
      <c r="K38" s="10">
        <v>0</v>
      </c>
      <c r="L38" s="10">
        <f>F38*0.05</f>
        <v>0</v>
      </c>
      <c r="M38" s="10">
        <f>+K38+L38</f>
        <v>0</v>
      </c>
      <c r="N38" s="10">
        <f>+F38+J38+M38</f>
        <v>0</v>
      </c>
    </row>
    <row r="39" spans="1:14" x14ac:dyDescent="0.2">
      <c r="A39" t="s">
        <v>42</v>
      </c>
      <c r="C39" s="3">
        <v>0</v>
      </c>
      <c r="D39" s="6">
        <v>0</v>
      </c>
      <c r="E39" s="19">
        <v>0</v>
      </c>
      <c r="F39" s="10">
        <v>0</v>
      </c>
      <c r="G39" s="6">
        <v>0</v>
      </c>
      <c r="H39" s="11">
        <f>D39*G39</f>
        <v>0</v>
      </c>
      <c r="I39" s="18" t="s">
        <v>38</v>
      </c>
      <c r="J39" s="10">
        <v>0</v>
      </c>
      <c r="K39" s="10">
        <v>0</v>
      </c>
      <c r="L39" s="10">
        <f>F39*0.05</f>
        <v>0</v>
      </c>
      <c r="M39" s="10">
        <f>+K39+L39</f>
        <v>0</v>
      </c>
      <c r="N39" s="10">
        <f>+F39+J39+M39</f>
        <v>0</v>
      </c>
    </row>
    <row r="40" spans="1:14" x14ac:dyDescent="0.2">
      <c r="A40" t="s">
        <v>43</v>
      </c>
      <c r="C40" s="3">
        <v>0</v>
      </c>
      <c r="D40" s="6">
        <v>0</v>
      </c>
      <c r="E40" s="19">
        <v>0</v>
      </c>
      <c r="F40" s="10">
        <v>0</v>
      </c>
      <c r="G40" s="6">
        <v>0</v>
      </c>
      <c r="H40" s="11">
        <f>D40*G40</f>
        <v>0</v>
      </c>
      <c r="I40" s="18">
        <v>0</v>
      </c>
      <c r="J40" s="10">
        <f>ROUND(H40*I40,0)</f>
        <v>0</v>
      </c>
      <c r="K40" s="10">
        <v>0</v>
      </c>
      <c r="L40" s="10">
        <v>0</v>
      </c>
      <c r="M40" s="10">
        <f>+K40+L40</f>
        <v>0</v>
      </c>
      <c r="N40" s="10">
        <f>+F40+J40+M40</f>
        <v>0</v>
      </c>
    </row>
    <row r="41" spans="1:14" x14ac:dyDescent="0.2">
      <c r="A41" t="s">
        <v>44</v>
      </c>
      <c r="C41" s="3">
        <v>0</v>
      </c>
      <c r="D41" s="6">
        <v>0</v>
      </c>
      <c r="E41" s="19">
        <v>0</v>
      </c>
      <c r="F41" s="10">
        <v>0</v>
      </c>
      <c r="G41" s="6">
        <v>0</v>
      </c>
      <c r="H41" s="11">
        <f>D41*G41</f>
        <v>0</v>
      </c>
      <c r="I41" s="18">
        <v>0</v>
      </c>
      <c r="J41" s="10">
        <f>ROUND(H41*I41,0)</f>
        <v>0</v>
      </c>
      <c r="K41" s="10">
        <v>0</v>
      </c>
      <c r="L41" s="10">
        <v>0</v>
      </c>
      <c r="M41" s="10">
        <f>+K41+L41</f>
        <v>0</v>
      </c>
      <c r="N41" s="10">
        <f>+F41+J41+M41</f>
        <v>0</v>
      </c>
    </row>
    <row r="42" spans="1:14" x14ac:dyDescent="0.2">
      <c r="C42" s="6" t="s">
        <v>201</v>
      </c>
      <c r="D42" s="6" t="s">
        <v>201</v>
      </c>
      <c r="E42" s="6"/>
      <c r="F42" s="6" t="s">
        <v>201</v>
      </c>
      <c r="G42" s="6"/>
      <c r="H42" s="6" t="s">
        <v>201</v>
      </c>
      <c r="I42" s="6"/>
      <c r="J42" s="6" t="s">
        <v>201</v>
      </c>
      <c r="K42" s="6" t="s">
        <v>201</v>
      </c>
      <c r="L42" s="6" t="s">
        <v>201</v>
      </c>
      <c r="M42" s="6" t="s">
        <v>201</v>
      </c>
      <c r="N42" s="6" t="s">
        <v>201</v>
      </c>
    </row>
    <row r="43" spans="1:14" x14ac:dyDescent="0.2">
      <c r="A43" t="s">
        <v>45</v>
      </c>
      <c r="C43" s="3">
        <f>SUM(C38:C41)</f>
        <v>0</v>
      </c>
      <c r="D43" s="6">
        <f>SUM(D38:D41)</f>
        <v>0</v>
      </c>
      <c r="E43" s="3"/>
      <c r="F43" s="17">
        <f>SUM(F38:F41)</f>
        <v>0</v>
      </c>
      <c r="G43" s="6"/>
      <c r="H43" s="6">
        <f>SUM(H38:H41)</f>
        <v>0</v>
      </c>
      <c r="I43" s="18"/>
      <c r="J43" s="17">
        <f>SUM(J38:J41)</f>
        <v>0</v>
      </c>
      <c r="K43" s="10">
        <f>SUM(K37:K41)</f>
        <v>0</v>
      </c>
      <c r="L43" s="10">
        <f>SUM(L37:L41)</f>
        <v>0</v>
      </c>
      <c r="M43" s="10">
        <f>SUM(M37:M41)</f>
        <v>0</v>
      </c>
      <c r="N43" s="10">
        <f>SUM(N37:N41)</f>
        <v>0</v>
      </c>
    </row>
    <row r="44" spans="1:14" x14ac:dyDescent="0.2">
      <c r="C44" s="3" t="s">
        <v>94</v>
      </c>
      <c r="D44" s="3" t="s">
        <v>94</v>
      </c>
      <c r="E44" s="3"/>
      <c r="F44" s="3" t="s">
        <v>94</v>
      </c>
      <c r="G44" s="3"/>
      <c r="H44" s="3" t="s">
        <v>94</v>
      </c>
      <c r="I44" s="3"/>
      <c r="J44" s="3" t="s">
        <v>94</v>
      </c>
      <c r="K44" s="3" t="s">
        <v>94</v>
      </c>
      <c r="L44" s="3" t="s">
        <v>94</v>
      </c>
      <c r="M44" s="3" t="s">
        <v>94</v>
      </c>
      <c r="N44" s="3" t="s">
        <v>94</v>
      </c>
    </row>
    <row r="45" spans="1:14" x14ac:dyDescent="0.2">
      <c r="C45" s="3"/>
      <c r="D45" s="3"/>
      <c r="E45" s="3"/>
      <c r="F45" s="3"/>
      <c r="G45" s="6"/>
      <c r="H45" s="3"/>
      <c r="I45" s="18"/>
      <c r="J45" s="3"/>
      <c r="K45" s="3"/>
      <c r="L45" s="3"/>
      <c r="M45" s="3"/>
      <c r="N45" s="3"/>
    </row>
    <row r="46" spans="1:14" x14ac:dyDescent="0.2">
      <c r="C46" s="3"/>
      <c r="D46" s="3"/>
      <c r="E46" s="3"/>
      <c r="F46" s="3"/>
      <c r="G46" s="6"/>
      <c r="H46" s="3"/>
      <c r="I46" s="18"/>
      <c r="J46" s="3"/>
      <c r="K46" s="3"/>
      <c r="L46" s="3"/>
      <c r="M46" s="3"/>
      <c r="N46" s="3"/>
    </row>
    <row r="47" spans="1:14" x14ac:dyDescent="0.2">
      <c r="A47" t="s">
        <v>46</v>
      </c>
      <c r="C47" s="3"/>
      <c r="D47" s="3"/>
      <c r="E47" s="3"/>
      <c r="F47" s="3"/>
      <c r="G47" s="6"/>
      <c r="H47" s="3"/>
      <c r="I47" s="18"/>
      <c r="J47" s="3"/>
      <c r="K47" s="3"/>
      <c r="L47" s="3"/>
      <c r="M47" s="3"/>
      <c r="N47" s="3"/>
    </row>
    <row r="48" spans="1:14" x14ac:dyDescent="0.2">
      <c r="A48" s="1" t="s">
        <v>258</v>
      </c>
      <c r="C48" s="3"/>
      <c r="D48" s="3"/>
      <c r="E48" s="3"/>
      <c r="F48" s="3"/>
      <c r="G48" s="6"/>
      <c r="H48" s="3"/>
      <c r="I48" s="18"/>
      <c r="J48" s="3"/>
      <c r="K48" s="3"/>
      <c r="L48" s="3"/>
      <c r="M48" s="3"/>
      <c r="N48" s="3"/>
    </row>
    <row r="49" spans="1:14" x14ac:dyDescent="0.2">
      <c r="A49" t="s">
        <v>41</v>
      </c>
      <c r="C49" s="3">
        <v>0</v>
      </c>
      <c r="D49" s="3">
        <v>0</v>
      </c>
      <c r="E49" s="9">
        <v>0</v>
      </c>
      <c r="F49" s="10">
        <v>0</v>
      </c>
      <c r="G49" s="6">
        <v>0</v>
      </c>
      <c r="H49" s="3">
        <v>0</v>
      </c>
      <c r="I49" s="18" t="s">
        <v>38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2">
      <c r="A50" t="s">
        <v>48</v>
      </c>
      <c r="C50" s="3">
        <v>0</v>
      </c>
      <c r="D50" s="3">
        <v>0</v>
      </c>
      <c r="E50" s="9">
        <v>0</v>
      </c>
      <c r="F50" s="10">
        <v>0</v>
      </c>
      <c r="G50" s="6">
        <v>0</v>
      </c>
      <c r="H50" s="3">
        <v>0</v>
      </c>
      <c r="I50" s="18" t="s">
        <v>38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x14ac:dyDescent="0.2">
      <c r="A51" t="s">
        <v>49</v>
      </c>
      <c r="C51" s="3">
        <v>0</v>
      </c>
      <c r="D51" s="3">
        <v>0</v>
      </c>
      <c r="E51" s="9">
        <v>0</v>
      </c>
      <c r="F51" s="10">
        <v>0</v>
      </c>
      <c r="G51" s="6">
        <v>0</v>
      </c>
      <c r="H51" s="3">
        <v>0</v>
      </c>
      <c r="I51" s="18">
        <v>0</v>
      </c>
      <c r="J51" s="10">
        <f>ROUND(H51*I51,0)</f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x14ac:dyDescent="0.2">
      <c r="A52" t="s">
        <v>50</v>
      </c>
      <c r="C52" s="3">
        <v>0</v>
      </c>
      <c r="D52" s="3">
        <v>0</v>
      </c>
      <c r="E52" s="9">
        <v>0</v>
      </c>
      <c r="F52" s="10">
        <v>0</v>
      </c>
      <c r="G52" s="6">
        <v>0</v>
      </c>
      <c r="H52" s="3">
        <v>0</v>
      </c>
      <c r="I52" s="18">
        <v>0</v>
      </c>
      <c r="J52" s="10">
        <f>ROUND(H52*I52,0)</f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x14ac:dyDescent="0.2">
      <c r="C53" s="6" t="s">
        <v>201</v>
      </c>
      <c r="D53" s="6" t="s">
        <v>201</v>
      </c>
      <c r="E53" s="6"/>
      <c r="F53" s="6" t="s">
        <v>201</v>
      </c>
      <c r="G53" s="6"/>
      <c r="H53" s="6" t="s">
        <v>201</v>
      </c>
      <c r="I53" s="6"/>
      <c r="J53" s="6" t="s">
        <v>201</v>
      </c>
      <c r="K53" s="6" t="s">
        <v>201</v>
      </c>
      <c r="L53" s="6" t="s">
        <v>201</v>
      </c>
      <c r="M53" s="6" t="s">
        <v>201</v>
      </c>
      <c r="N53" s="6" t="s">
        <v>201</v>
      </c>
    </row>
    <row r="54" spans="1:14" x14ac:dyDescent="0.2">
      <c r="A54" t="s">
        <v>51</v>
      </c>
      <c r="C54" s="3">
        <v>0</v>
      </c>
      <c r="D54" s="3">
        <v>0</v>
      </c>
      <c r="E54" s="3"/>
      <c r="F54" s="10">
        <v>0</v>
      </c>
      <c r="G54" s="6"/>
      <c r="H54" s="3">
        <v>0</v>
      </c>
      <c r="I54" s="18"/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2">
      <c r="C55" s="3" t="s">
        <v>94</v>
      </c>
      <c r="D55" s="3" t="s">
        <v>94</v>
      </c>
      <c r="E55" s="3"/>
      <c r="F55" s="3" t="s">
        <v>94</v>
      </c>
      <c r="G55" s="3"/>
      <c r="H55" s="3" t="s">
        <v>94</v>
      </c>
      <c r="I55" s="3"/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</row>
    <row r="56" spans="1:14" x14ac:dyDescent="0.2">
      <c r="A56" t="s">
        <v>52</v>
      </c>
      <c r="C56" s="6">
        <f>+C33+C43+C54</f>
        <v>731</v>
      </c>
      <c r="D56" s="6">
        <f>+D33+D43+D54</f>
        <v>4398</v>
      </c>
      <c r="E56" s="3"/>
      <c r="F56" s="17">
        <f>+F33+F43+F54</f>
        <v>338910</v>
      </c>
      <c r="G56" s="6"/>
      <c r="H56" s="6">
        <f>+H33+H43+H54</f>
        <v>2619205</v>
      </c>
      <c r="I56" s="18"/>
      <c r="J56" s="17">
        <f>+J33+J43+J54</f>
        <v>113875</v>
      </c>
      <c r="K56" s="10">
        <f>+K33+K43+K54</f>
        <v>52412</v>
      </c>
      <c r="L56" s="10">
        <f>+L33+L43+L54</f>
        <v>0</v>
      </c>
      <c r="M56" s="10">
        <f>+M33+M43+M54</f>
        <v>52412</v>
      </c>
      <c r="N56" s="10">
        <f>+N33+N43+N54</f>
        <v>505197</v>
      </c>
    </row>
    <row r="57" spans="1:14" x14ac:dyDescent="0.2">
      <c r="C57" s="3" t="s">
        <v>94</v>
      </c>
      <c r="D57" s="3" t="s">
        <v>94</v>
      </c>
      <c r="E57" s="3"/>
      <c r="F57" s="3" t="s">
        <v>94</v>
      </c>
      <c r="G57" s="3"/>
      <c r="H57" s="3" t="s">
        <v>94</v>
      </c>
      <c r="I57" s="3"/>
      <c r="J57" s="3" t="s">
        <v>94</v>
      </c>
      <c r="K57" s="3" t="s">
        <v>94</v>
      </c>
      <c r="L57" s="3" t="s">
        <v>94</v>
      </c>
      <c r="M57" s="3" t="s">
        <v>94</v>
      </c>
      <c r="N57" s="3" t="s">
        <v>94</v>
      </c>
    </row>
    <row r="59" spans="1:14" x14ac:dyDescent="0.2">
      <c r="A59" t="s">
        <v>108</v>
      </c>
    </row>
    <row r="60" spans="1:14" x14ac:dyDescent="0.2">
      <c r="A60" t="s">
        <v>347</v>
      </c>
    </row>
  </sheetData>
  <phoneticPr fontId="16" type="noConversion"/>
  <printOptions horizontalCentered="1" verticalCentered="1" gridLines="1"/>
  <pageMargins left="0" right="0" top="1" bottom="0" header="0.8" footer="0"/>
  <pageSetup scale="6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69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45" t="s">
        <v>337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342</v>
      </c>
      <c r="O4" s="1">
        <f>+'Y1'!M7</f>
        <v>24</v>
      </c>
    </row>
    <row r="6" spans="1:15" ht="25.5" x14ac:dyDescent="0.2">
      <c r="C6" s="12" t="s">
        <v>57</v>
      </c>
      <c r="D6" s="12" t="s">
        <v>58</v>
      </c>
      <c r="E6" s="8"/>
      <c r="F6" s="54" t="s">
        <v>373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341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+'22a&amp;b'!CH13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119</v>
      </c>
      <c r="D15" s="6">
        <v>575</v>
      </c>
      <c r="E15" s="8" t="s">
        <v>170</v>
      </c>
      <c r="F15" s="19">
        <f>ROUND(G15/C15,2)</f>
        <v>1060.1600000000001</v>
      </c>
      <c r="G15" s="17">
        <v>126159</v>
      </c>
      <c r="H15" s="6">
        <v>1016</v>
      </c>
      <c r="I15" s="11">
        <f>D15*H15</f>
        <v>584200</v>
      </c>
      <c r="J15" s="18">
        <v>4.3459999999999999E-2</v>
      </c>
      <c r="K15" s="10">
        <f t="shared" ref="K15:K31" si="0">ROUND(I15*J15,0)</f>
        <v>25389</v>
      </c>
      <c r="L15" s="10">
        <f>+'22a&amp;b'!CH16</f>
        <v>9189</v>
      </c>
      <c r="M15" s="10">
        <f>ROUND(G15*0,0)</f>
        <v>0</v>
      </c>
      <c r="N15" s="10">
        <f t="shared" ref="N15:N31" si="1">+L15+M15</f>
        <v>9189</v>
      </c>
      <c r="O15" s="10">
        <f>+G15+K15+N15</f>
        <v>160737</v>
      </c>
    </row>
    <row r="16" spans="1:15" x14ac:dyDescent="0.2">
      <c r="A16" t="s">
        <v>254</v>
      </c>
      <c r="C16" s="6">
        <v>22</v>
      </c>
      <c r="D16" s="6">
        <v>210</v>
      </c>
      <c r="E16" s="8" t="s">
        <v>170</v>
      </c>
      <c r="F16" s="19">
        <f>ROUND(G16/C16,2)</f>
        <v>93.27</v>
      </c>
      <c r="G16" s="17">
        <v>2052</v>
      </c>
      <c r="H16" s="6">
        <v>568</v>
      </c>
      <c r="I16" s="11">
        <f>D16*H16</f>
        <v>119280</v>
      </c>
      <c r="J16" s="18">
        <v>4.3520000000000003E-2</v>
      </c>
      <c r="K16" s="10">
        <f t="shared" si="0"/>
        <v>5191</v>
      </c>
      <c r="L16" s="10">
        <f>+'22a&amp;b'!CH17</f>
        <v>1357</v>
      </c>
      <c r="M16" s="10">
        <v>0</v>
      </c>
      <c r="N16" s="10">
        <f t="shared" si="1"/>
        <v>1357</v>
      </c>
      <c r="O16" s="10">
        <f>+G16+K16+N16</f>
        <v>8600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+'22a&amp;b'!CH19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354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+'22a&amp;b'!CH22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355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+'22a&amp;b'!CH23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61</v>
      </c>
      <c r="D25" s="6">
        <v>299</v>
      </c>
      <c r="E25" s="8" t="s">
        <v>170</v>
      </c>
      <c r="F25" s="19">
        <f>ROUND(G25/C25,2)</f>
        <v>449.18</v>
      </c>
      <c r="G25" s="17">
        <v>27400</v>
      </c>
      <c r="H25" s="6">
        <v>875</v>
      </c>
      <c r="I25" s="11">
        <f>D25*H25</f>
        <v>261625</v>
      </c>
      <c r="J25" s="18">
        <v>4.3499999999999997E-2</v>
      </c>
      <c r="K25" s="10">
        <f t="shared" si="0"/>
        <v>11381</v>
      </c>
      <c r="L25" s="10">
        <f>+'22a&amp;b'!CH26</f>
        <v>8539</v>
      </c>
      <c r="M25" s="10">
        <v>0</v>
      </c>
      <c r="N25" s="10">
        <f t="shared" si="1"/>
        <v>8539</v>
      </c>
      <c r="O25" s="10">
        <f>+G25+K25+N25</f>
        <v>47320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88</v>
      </c>
      <c r="D28" s="6">
        <v>552</v>
      </c>
      <c r="E28" s="8" t="s">
        <v>170</v>
      </c>
      <c r="F28" s="19">
        <f>ROUND(G28/C28,2)</f>
        <v>552.84</v>
      </c>
      <c r="G28" s="17">
        <v>48650</v>
      </c>
      <c r="H28" s="6">
        <v>861</v>
      </c>
      <c r="I28" s="11">
        <f>D28*H28</f>
        <v>475272</v>
      </c>
      <c r="J28" s="18">
        <v>4.351E-2</v>
      </c>
      <c r="K28" s="10">
        <f t="shared" si="0"/>
        <v>20679</v>
      </c>
      <c r="L28" s="10">
        <f>+'22a&amp;b'!CH29</f>
        <v>9816</v>
      </c>
      <c r="M28" s="10">
        <v>0</v>
      </c>
      <c r="N28" s="10">
        <f t="shared" si="1"/>
        <v>9816</v>
      </c>
      <c r="O28" s="10">
        <f>+G28+K28+N28</f>
        <v>79145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+'22a&amp;b'!CH30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425</v>
      </c>
      <c r="D31" s="6">
        <v>2775</v>
      </c>
      <c r="E31" s="8" t="s">
        <v>170</v>
      </c>
      <c r="F31" s="19">
        <f>ROUND(G31/C31,2)</f>
        <v>383.51</v>
      </c>
      <c r="G31" s="17">
        <v>162993</v>
      </c>
      <c r="H31" s="38">
        <v>435</v>
      </c>
      <c r="I31" s="11">
        <f>D31*H31</f>
        <v>1207125</v>
      </c>
      <c r="J31" s="18">
        <v>4.3450000000000003E-2</v>
      </c>
      <c r="K31" s="10">
        <f t="shared" si="0"/>
        <v>52450</v>
      </c>
      <c r="L31" s="10">
        <f>+'22a&amp;b'!CH32</f>
        <v>21152</v>
      </c>
      <c r="M31" s="10">
        <v>0</v>
      </c>
      <c r="N31" s="10">
        <f t="shared" si="1"/>
        <v>21152</v>
      </c>
      <c r="O31" s="10">
        <f>+G31+K31+N31</f>
        <v>236595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6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6" x14ac:dyDescent="0.2">
      <c r="A34" s="22" t="s">
        <v>353</v>
      </c>
      <c r="C34" s="6">
        <v>28</v>
      </c>
      <c r="D34" s="6">
        <v>7</v>
      </c>
      <c r="E34" s="8" t="s">
        <v>358</v>
      </c>
      <c r="F34" s="19">
        <f>ROUND(G34/C34,2)</f>
        <v>305.36</v>
      </c>
      <c r="G34" s="17">
        <v>8550</v>
      </c>
      <c r="H34" s="38">
        <v>1879</v>
      </c>
      <c r="I34" s="11">
        <f t="shared" ref="I34:I39" si="2">D34*H34</f>
        <v>13153</v>
      </c>
      <c r="J34" s="18">
        <v>4.3490000000000001E-2</v>
      </c>
      <c r="K34" s="10">
        <f>ROUND(I34*J34,0)</f>
        <v>572</v>
      </c>
      <c r="L34" s="10">
        <f>+'22a&amp;b'!CH35</f>
        <v>13387</v>
      </c>
      <c r="M34" s="10">
        <v>0</v>
      </c>
      <c r="N34" s="10">
        <f t="shared" ref="N34:N39" si="3">+L34+M34</f>
        <v>13387</v>
      </c>
      <c r="O34" s="10">
        <f>+G34+K34+N34</f>
        <v>22509</v>
      </c>
    </row>
    <row r="35" spans="1:16" x14ac:dyDescent="0.2">
      <c r="A35" s="22" t="s">
        <v>349</v>
      </c>
      <c r="C35" s="6">
        <v>61</v>
      </c>
      <c r="D35" s="6">
        <v>16</v>
      </c>
      <c r="E35" s="8" t="s">
        <v>358</v>
      </c>
      <c r="F35" s="19">
        <f>ROUND(G35/C35,2)</f>
        <v>442.62</v>
      </c>
      <c r="G35" s="17">
        <v>27000</v>
      </c>
      <c r="H35" s="38">
        <v>301</v>
      </c>
      <c r="I35" s="11">
        <f t="shared" si="2"/>
        <v>4816</v>
      </c>
      <c r="J35" s="18">
        <v>4.3529999999999999E-2</v>
      </c>
      <c r="K35" s="10">
        <f>ROUND(I35*J35,0)</f>
        <v>210</v>
      </c>
      <c r="L35" s="10">
        <f>+'22a&amp;b'!CH36</f>
        <v>0</v>
      </c>
      <c r="M35" s="10">
        <f>ROUND(G35*0.05,0)</f>
        <v>1350</v>
      </c>
      <c r="N35" s="10">
        <f t="shared" si="3"/>
        <v>1350</v>
      </c>
      <c r="O35" s="10">
        <f>+G35+K35+N35</f>
        <v>28560</v>
      </c>
    </row>
    <row r="36" spans="1:16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6" x14ac:dyDescent="0.2">
      <c r="A37" s="60" t="s">
        <v>350</v>
      </c>
      <c r="C37" s="6">
        <v>0</v>
      </c>
      <c r="D37" s="6">
        <v>0</v>
      </c>
      <c r="E37" s="8" t="s">
        <v>358</v>
      </c>
      <c r="F37" s="19">
        <v>0</v>
      </c>
      <c r="G37" s="17">
        <v>8139</v>
      </c>
      <c r="H37" s="38">
        <v>92</v>
      </c>
      <c r="I37" s="11">
        <f t="shared" si="2"/>
        <v>0</v>
      </c>
      <c r="J37" s="18">
        <v>4.3700000000000003E-2</v>
      </c>
      <c r="K37" s="10">
        <f>ROUND(I37*J37,0)</f>
        <v>0</v>
      </c>
      <c r="L37" s="10">
        <f>+'22a&amp;b'!CH38</f>
        <v>0</v>
      </c>
      <c r="M37" s="10">
        <v>0</v>
      </c>
      <c r="N37" s="10">
        <f t="shared" si="3"/>
        <v>0</v>
      </c>
      <c r="O37" s="10">
        <f>+G37+K37+N37</f>
        <v>8139</v>
      </c>
    </row>
    <row r="38" spans="1:16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6" x14ac:dyDescent="0.2">
      <c r="A39" s="22" t="s">
        <v>351</v>
      </c>
      <c r="C39" s="6">
        <v>926</v>
      </c>
      <c r="D39" s="6">
        <v>149</v>
      </c>
      <c r="E39" s="8" t="s">
        <v>358</v>
      </c>
      <c r="F39" s="19">
        <f>ROUND(G39/C39,2)</f>
        <v>5.84</v>
      </c>
      <c r="G39" s="17">
        <v>5404</v>
      </c>
      <c r="H39" s="38">
        <v>92</v>
      </c>
      <c r="I39" s="11">
        <f t="shared" si="2"/>
        <v>13708</v>
      </c>
      <c r="J39" s="18">
        <v>4.3700000000000003E-2</v>
      </c>
      <c r="K39" s="10">
        <f>ROUND(I39*J39,0)</f>
        <v>599</v>
      </c>
      <c r="L39" s="10">
        <f>+'22a&amp;b'!CH40</f>
        <v>4621</v>
      </c>
      <c r="M39" s="10">
        <v>0</v>
      </c>
      <c r="N39" s="10">
        <f t="shared" si="3"/>
        <v>4621</v>
      </c>
      <c r="O39" s="10">
        <f>+G39+K39+N39</f>
        <v>10624</v>
      </c>
    </row>
    <row r="40" spans="1:16" x14ac:dyDescent="0.2">
      <c r="C40" s="6" t="s">
        <v>201</v>
      </c>
      <c r="D40" s="6" t="s">
        <v>201</v>
      </c>
      <c r="E40" s="74"/>
      <c r="F40" s="6"/>
      <c r="G40" s="6" t="s">
        <v>201</v>
      </c>
      <c r="H40" s="3"/>
      <c r="I40" s="6" t="s">
        <v>201</v>
      </c>
      <c r="J40" s="18"/>
      <c r="K40" s="6" t="s">
        <v>201</v>
      </c>
      <c r="L40" s="6" t="s">
        <v>201</v>
      </c>
      <c r="M40" s="6" t="s">
        <v>201</v>
      </c>
      <c r="N40" s="6" t="s">
        <v>201</v>
      </c>
      <c r="O40" s="6" t="s">
        <v>201</v>
      </c>
      <c r="P40" s="6"/>
    </row>
    <row r="41" spans="1:16" x14ac:dyDescent="0.2">
      <c r="A41" t="s">
        <v>39</v>
      </c>
      <c r="C41" s="6">
        <f>SUM(C12:C39)</f>
        <v>1730</v>
      </c>
      <c r="D41" s="6">
        <f>SUM(D12:D39)</f>
        <v>4583</v>
      </c>
      <c r="E41" s="74"/>
      <c r="F41" s="3"/>
      <c r="G41" s="17">
        <f>SUM(G12:G39)</f>
        <v>416347</v>
      </c>
      <c r="H41" s="6"/>
      <c r="I41" s="6">
        <f>SUM(I12:I39)</f>
        <v>2679179</v>
      </c>
      <c r="J41" s="18"/>
      <c r="K41" s="17">
        <f>SUM(K12:K39)</f>
        <v>116471</v>
      </c>
      <c r="L41" s="10">
        <f>SUM(L11:L39)</f>
        <v>68061</v>
      </c>
      <c r="M41" s="10">
        <f>SUM(M12:M39)</f>
        <v>1350</v>
      </c>
      <c r="N41" s="10">
        <f>SUM(N12:N39)</f>
        <v>69411</v>
      </c>
      <c r="O41" s="10">
        <f>SUM(O12:O39)</f>
        <v>602229</v>
      </c>
    </row>
    <row r="42" spans="1:16" x14ac:dyDescent="0.2">
      <c r="C42" s="3" t="s">
        <v>94</v>
      </c>
      <c r="D42" s="3" t="s">
        <v>94</v>
      </c>
      <c r="E42" s="74"/>
      <c r="F42" s="3"/>
      <c r="G42" s="3" t="s">
        <v>94</v>
      </c>
      <c r="H42" s="3"/>
      <c r="I42" s="3" t="s">
        <v>94</v>
      </c>
      <c r="J42" s="3"/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</row>
    <row r="43" spans="1:16" x14ac:dyDescent="0.2">
      <c r="C43" s="3"/>
      <c r="D43" s="3"/>
      <c r="E43" s="74"/>
      <c r="F43" s="3"/>
      <c r="G43" s="3"/>
      <c r="H43" s="6"/>
      <c r="I43" s="3"/>
      <c r="J43" s="18"/>
      <c r="K43" s="3"/>
      <c r="L43" s="3"/>
      <c r="M43" s="3"/>
      <c r="N43" s="3"/>
      <c r="O43" s="3"/>
    </row>
    <row r="44" spans="1:16" x14ac:dyDescent="0.2">
      <c r="C44" s="3"/>
      <c r="D44" s="3"/>
      <c r="E44" s="74"/>
      <c r="F44" s="3"/>
      <c r="G44" s="3"/>
      <c r="H44" s="6"/>
      <c r="I44" s="3"/>
      <c r="J44" s="18"/>
      <c r="K44" s="3"/>
      <c r="L44" s="3"/>
      <c r="M44" s="3"/>
      <c r="N44" s="3"/>
      <c r="O44" s="3"/>
    </row>
    <row r="45" spans="1:16" x14ac:dyDescent="0.2">
      <c r="A45" t="s">
        <v>40</v>
      </c>
      <c r="C45" s="3"/>
      <c r="D45" s="3"/>
      <c r="E45" s="74"/>
      <c r="F45" s="3"/>
      <c r="G45" s="3"/>
      <c r="H45" s="6"/>
      <c r="I45" s="3"/>
      <c r="J45" s="18"/>
      <c r="K45" s="3"/>
      <c r="L45" s="3"/>
      <c r="M45" s="3"/>
      <c r="N45" s="3"/>
      <c r="O45" s="3"/>
    </row>
    <row r="46" spans="1:16" x14ac:dyDescent="0.2">
      <c r="A46" t="s">
        <v>41</v>
      </c>
      <c r="C46" s="3">
        <v>0</v>
      </c>
      <c r="D46" s="6">
        <v>0</v>
      </c>
      <c r="E46" s="74"/>
      <c r="F46" s="19">
        <v>0</v>
      </c>
      <c r="G46" s="10">
        <v>0</v>
      </c>
      <c r="H46" s="6">
        <v>0</v>
      </c>
      <c r="I46" s="11">
        <f>D46*H46</f>
        <v>0</v>
      </c>
      <c r="J46" s="18" t="s">
        <v>38</v>
      </c>
      <c r="K46" s="10">
        <v>0</v>
      </c>
      <c r="L46" s="10">
        <v>0</v>
      </c>
      <c r="M46" s="10">
        <f>G46*0.05</f>
        <v>0</v>
      </c>
      <c r="N46" s="10">
        <f>+L46+M46</f>
        <v>0</v>
      </c>
      <c r="O46" s="10">
        <f>+G46+K46+N46</f>
        <v>0</v>
      </c>
    </row>
    <row r="47" spans="1:16" x14ac:dyDescent="0.2">
      <c r="A47" t="s">
        <v>42</v>
      </c>
      <c r="C47" s="3">
        <v>0</v>
      </c>
      <c r="D47" s="6">
        <v>0</v>
      </c>
      <c r="E47" s="74"/>
      <c r="F47" s="19">
        <v>0</v>
      </c>
      <c r="G47" s="10">
        <v>0</v>
      </c>
      <c r="H47" s="6">
        <v>0</v>
      </c>
      <c r="I47" s="11">
        <f>D47*H47</f>
        <v>0</v>
      </c>
      <c r="J47" s="18" t="s">
        <v>38</v>
      </c>
      <c r="K47" s="10">
        <v>0</v>
      </c>
      <c r="L47" s="10">
        <v>0</v>
      </c>
      <c r="M47" s="10">
        <f>G47*0.05</f>
        <v>0</v>
      </c>
      <c r="N47" s="10">
        <f>+L47+M47</f>
        <v>0</v>
      </c>
      <c r="O47" s="10">
        <f>+G47+K47+N47</f>
        <v>0</v>
      </c>
    </row>
    <row r="48" spans="1:16" x14ac:dyDescent="0.2">
      <c r="A48" t="s">
        <v>43</v>
      </c>
      <c r="C48" s="3">
        <v>0</v>
      </c>
      <c r="D48" s="6">
        <v>0</v>
      </c>
      <c r="E48" s="74"/>
      <c r="F48" s="19">
        <v>0</v>
      </c>
      <c r="G48" s="10">
        <v>0</v>
      </c>
      <c r="H48" s="6">
        <v>0</v>
      </c>
      <c r="I48" s="11">
        <f>D48*H48</f>
        <v>0</v>
      </c>
      <c r="J48" s="18">
        <v>0</v>
      </c>
      <c r="K48" s="10">
        <f>ROUND(I48*J48,0)</f>
        <v>0</v>
      </c>
      <c r="L48" s="10">
        <v>0</v>
      </c>
      <c r="M48" s="10">
        <v>0</v>
      </c>
      <c r="N48" s="10">
        <f>+L48+M48</f>
        <v>0</v>
      </c>
      <c r="O48" s="10">
        <f>+G48+K48+N48</f>
        <v>0</v>
      </c>
    </row>
    <row r="49" spans="1:15" x14ac:dyDescent="0.2">
      <c r="A49" t="s">
        <v>44</v>
      </c>
      <c r="C49" s="3">
        <v>0</v>
      </c>
      <c r="D49" s="6">
        <v>0</v>
      </c>
      <c r="E49" s="74"/>
      <c r="F49" s="19">
        <v>0</v>
      </c>
      <c r="G49" s="10">
        <v>0</v>
      </c>
      <c r="H49" s="6">
        <v>0</v>
      </c>
      <c r="I49" s="11">
        <f>D49*H49</f>
        <v>0</v>
      </c>
      <c r="J49" s="18">
        <v>0</v>
      </c>
      <c r="K49" s="10">
        <f>ROUND(I49*J49,0)</f>
        <v>0</v>
      </c>
      <c r="L49" s="10">
        <v>0</v>
      </c>
      <c r="M49" s="10">
        <v>0</v>
      </c>
      <c r="N49" s="10">
        <f>+L49+M49</f>
        <v>0</v>
      </c>
      <c r="O49" s="10">
        <f>+G49+K49+N49</f>
        <v>0</v>
      </c>
    </row>
    <row r="50" spans="1:15" x14ac:dyDescent="0.2">
      <c r="C50" s="6" t="s">
        <v>201</v>
      </c>
      <c r="D50" s="6" t="s">
        <v>201</v>
      </c>
      <c r="E50" s="74"/>
      <c r="F50" s="6"/>
      <c r="G50" s="6" t="s">
        <v>201</v>
      </c>
      <c r="H50" s="6"/>
      <c r="I50" s="6" t="s">
        <v>201</v>
      </c>
      <c r="J50" s="6"/>
      <c r="K50" s="6" t="s">
        <v>201</v>
      </c>
      <c r="L50" s="6" t="s">
        <v>201</v>
      </c>
      <c r="M50" s="6" t="s">
        <v>201</v>
      </c>
      <c r="N50" s="6" t="s">
        <v>201</v>
      </c>
      <c r="O50" s="6" t="s">
        <v>201</v>
      </c>
    </row>
    <row r="51" spans="1:15" x14ac:dyDescent="0.2">
      <c r="A51" t="s">
        <v>45</v>
      </c>
      <c r="C51" s="3">
        <f>SUM(C46:C49)</f>
        <v>0</v>
      </c>
      <c r="D51" s="6">
        <f>SUM(D46:D49)</f>
        <v>0</v>
      </c>
      <c r="E51" s="74"/>
      <c r="F51" s="3"/>
      <c r="G51" s="17">
        <f>SUM(G46:G49)</f>
        <v>0</v>
      </c>
      <c r="H51" s="6"/>
      <c r="I51" s="6">
        <f>SUM(I46:I49)</f>
        <v>0</v>
      </c>
      <c r="J51" s="18"/>
      <c r="K51" s="17">
        <f>SUM(K46:K49)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  <c r="O51" s="10">
        <f>SUM(O45:O49)</f>
        <v>0</v>
      </c>
    </row>
    <row r="52" spans="1:15" x14ac:dyDescent="0.2">
      <c r="C52" s="3" t="s">
        <v>94</v>
      </c>
      <c r="D52" s="3" t="s">
        <v>94</v>
      </c>
      <c r="E52" s="74"/>
      <c r="F52" s="3"/>
      <c r="G52" s="3" t="s">
        <v>94</v>
      </c>
      <c r="H52" s="3"/>
      <c r="I52" s="3" t="s">
        <v>94</v>
      </c>
      <c r="J52" s="3"/>
      <c r="K52" s="3" t="s">
        <v>94</v>
      </c>
      <c r="L52" s="3" t="s">
        <v>94</v>
      </c>
      <c r="M52" s="3" t="s">
        <v>94</v>
      </c>
      <c r="N52" s="3" t="s">
        <v>94</v>
      </c>
      <c r="O52" s="3" t="s">
        <v>94</v>
      </c>
    </row>
    <row r="53" spans="1:15" x14ac:dyDescent="0.2">
      <c r="C53" s="3"/>
      <c r="D53" s="3"/>
      <c r="E53" s="74"/>
      <c r="F53" s="3"/>
      <c r="G53" s="3"/>
      <c r="H53" s="6"/>
      <c r="I53" s="3"/>
      <c r="J53" s="18"/>
      <c r="K53" s="3"/>
      <c r="L53" s="3"/>
      <c r="M53" s="3"/>
      <c r="N53" s="3"/>
      <c r="O53" s="3"/>
    </row>
    <row r="54" spans="1:15" x14ac:dyDescent="0.2">
      <c r="C54" s="3"/>
      <c r="D54" s="3"/>
      <c r="E54" s="74"/>
      <c r="F54" s="3"/>
      <c r="G54" s="3"/>
      <c r="H54" s="6"/>
      <c r="I54" s="3"/>
      <c r="J54" s="18"/>
      <c r="K54" s="3"/>
      <c r="L54" s="3"/>
      <c r="M54" s="3"/>
      <c r="N54" s="3"/>
      <c r="O54" s="3"/>
    </row>
    <row r="55" spans="1:15" x14ac:dyDescent="0.2">
      <c r="A55" t="s">
        <v>46</v>
      </c>
      <c r="C55" s="3"/>
      <c r="D55" s="3"/>
      <c r="E55" s="74"/>
      <c r="F55" s="3"/>
      <c r="G55" s="3"/>
      <c r="H55" s="6"/>
      <c r="I55" s="3"/>
      <c r="J55" s="18"/>
      <c r="K55" s="3"/>
      <c r="L55" s="3"/>
      <c r="M55" s="3"/>
      <c r="N55" s="3"/>
      <c r="O55" s="3"/>
    </row>
    <row r="56" spans="1:15" x14ac:dyDescent="0.2">
      <c r="A56" s="1" t="s">
        <v>258</v>
      </c>
      <c r="C56" s="3"/>
      <c r="D56" s="3"/>
      <c r="E56" s="74"/>
      <c r="F56" s="3"/>
      <c r="G56" s="3"/>
      <c r="H56" s="6"/>
      <c r="I56" s="3"/>
      <c r="J56" s="18"/>
      <c r="K56" s="3"/>
      <c r="L56" s="3"/>
      <c r="M56" s="3"/>
      <c r="N56" s="3"/>
      <c r="O56" s="3"/>
    </row>
    <row r="57" spans="1:15" x14ac:dyDescent="0.2">
      <c r="A57" t="s">
        <v>41</v>
      </c>
      <c r="C57" s="3">
        <v>0</v>
      </c>
      <c r="D57" s="3">
        <v>0</v>
      </c>
      <c r="E57" s="74"/>
      <c r="F57" s="9">
        <v>0</v>
      </c>
      <c r="G57" s="10">
        <v>0</v>
      </c>
      <c r="H57" s="6">
        <v>0</v>
      </c>
      <c r="I57" s="3">
        <v>0</v>
      </c>
      <c r="J57" s="18" t="s">
        <v>38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2">
      <c r="A58" t="s">
        <v>48</v>
      </c>
      <c r="C58" s="3">
        <v>0</v>
      </c>
      <c r="D58" s="3">
        <v>0</v>
      </c>
      <c r="E58" s="74"/>
      <c r="F58" s="9">
        <v>0</v>
      </c>
      <c r="G58" s="10">
        <v>0</v>
      </c>
      <c r="H58" s="6">
        <v>0</v>
      </c>
      <c r="I58" s="3">
        <v>0</v>
      </c>
      <c r="J58" s="18" t="s">
        <v>38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t="s">
        <v>49</v>
      </c>
      <c r="C59" s="3">
        <v>0</v>
      </c>
      <c r="D59" s="3">
        <v>0</v>
      </c>
      <c r="E59" s="74"/>
      <c r="F59" s="9">
        <v>0</v>
      </c>
      <c r="G59" s="10">
        <v>0</v>
      </c>
      <c r="H59" s="6">
        <v>0</v>
      </c>
      <c r="I59" s="3">
        <v>0</v>
      </c>
      <c r="J59" s="18">
        <v>0</v>
      </c>
      <c r="K59" s="10">
        <f>ROUND(I59*J59,0)</f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2">
      <c r="A60" t="s">
        <v>50</v>
      </c>
      <c r="C60" s="3">
        <v>0</v>
      </c>
      <c r="D60" s="3">
        <v>0</v>
      </c>
      <c r="E60" s="74"/>
      <c r="F60" s="9">
        <v>0</v>
      </c>
      <c r="G60" s="10">
        <v>0</v>
      </c>
      <c r="H60" s="6">
        <v>0</v>
      </c>
      <c r="I60" s="3">
        <v>0</v>
      </c>
      <c r="J60" s="18">
        <v>0</v>
      </c>
      <c r="K60" s="10">
        <f>ROUND(I60*J60,0)</f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">
      <c r="C61" s="6" t="s">
        <v>201</v>
      </c>
      <c r="D61" s="6" t="s">
        <v>201</v>
      </c>
      <c r="E61" s="74"/>
      <c r="F61" s="6"/>
      <c r="G61" s="6" t="s">
        <v>201</v>
      </c>
      <c r="H61" s="6"/>
      <c r="I61" s="6" t="s">
        <v>201</v>
      </c>
      <c r="J61" s="6"/>
      <c r="K61" s="6" t="s">
        <v>201</v>
      </c>
      <c r="L61" s="6" t="s">
        <v>201</v>
      </c>
      <c r="M61" s="6" t="s">
        <v>201</v>
      </c>
      <c r="N61" s="6" t="s">
        <v>201</v>
      </c>
      <c r="O61" s="6" t="s">
        <v>201</v>
      </c>
    </row>
    <row r="62" spans="1:15" x14ac:dyDescent="0.2">
      <c r="A62" t="s">
        <v>51</v>
      </c>
      <c r="C62" s="3">
        <v>0</v>
      </c>
      <c r="D62" s="3">
        <v>0</v>
      </c>
      <c r="E62" s="74"/>
      <c r="F62" s="3"/>
      <c r="G62" s="10">
        <v>0</v>
      </c>
      <c r="H62" s="6"/>
      <c r="I62" s="3">
        <v>0</v>
      </c>
      <c r="J62" s="18"/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2">
      <c r="C63" s="3" t="s">
        <v>94</v>
      </c>
      <c r="D63" s="3" t="s">
        <v>94</v>
      </c>
      <c r="E63" s="74"/>
      <c r="F63" s="3"/>
      <c r="G63" s="3" t="s">
        <v>94</v>
      </c>
      <c r="H63" s="3"/>
      <c r="I63" s="3" t="s">
        <v>94</v>
      </c>
      <c r="J63" s="3"/>
      <c r="K63" s="3" t="s">
        <v>94</v>
      </c>
      <c r="L63" s="3" t="s">
        <v>94</v>
      </c>
      <c r="M63" s="3" t="s">
        <v>94</v>
      </c>
      <c r="N63" s="3" t="s">
        <v>94</v>
      </c>
      <c r="O63" s="3" t="s">
        <v>94</v>
      </c>
    </row>
    <row r="64" spans="1:15" x14ac:dyDescent="0.2">
      <c r="A64" t="s">
        <v>52</v>
      </c>
      <c r="C64" s="6">
        <f>+C41+C51+C62</f>
        <v>1730</v>
      </c>
      <c r="D64" s="6">
        <f>+D41+D51+D62</f>
        <v>4583</v>
      </c>
      <c r="E64" s="74"/>
      <c r="F64" s="3"/>
      <c r="G64" s="17">
        <f>+G41+G51+G62</f>
        <v>416347</v>
      </c>
      <c r="H64" s="6"/>
      <c r="I64" s="6">
        <f>+I41+I51+I62</f>
        <v>2679179</v>
      </c>
      <c r="J64" s="18"/>
      <c r="K64" s="17">
        <f>+K41+K51+K62</f>
        <v>116471</v>
      </c>
      <c r="L64" s="10">
        <f>+L41+L51+L62</f>
        <v>68061</v>
      </c>
      <c r="M64" s="10">
        <f>+M41+M51+M62</f>
        <v>1350</v>
      </c>
      <c r="N64" s="10">
        <f>+N41+N51+N62</f>
        <v>69411</v>
      </c>
      <c r="O64" s="10">
        <f>+O41+O51+O62</f>
        <v>602229</v>
      </c>
    </row>
    <row r="65" spans="1:15" x14ac:dyDescent="0.2">
      <c r="C65" s="3" t="s">
        <v>94</v>
      </c>
      <c r="D65" s="3" t="s">
        <v>94</v>
      </c>
      <c r="E65" s="74"/>
      <c r="F65" s="3"/>
      <c r="G65" s="3" t="s">
        <v>94</v>
      </c>
      <c r="H65" s="3"/>
      <c r="I65" s="3" t="s">
        <v>94</v>
      </c>
      <c r="J65" s="3"/>
      <c r="K65" s="3" t="s">
        <v>94</v>
      </c>
      <c r="L65" s="3" t="s">
        <v>94</v>
      </c>
      <c r="M65" s="3" t="s">
        <v>94</v>
      </c>
      <c r="N65" s="3" t="s">
        <v>94</v>
      </c>
      <c r="O65" s="3" t="s">
        <v>94</v>
      </c>
    </row>
    <row r="67" spans="1:15" x14ac:dyDescent="0.2">
      <c r="A67" t="s">
        <v>356</v>
      </c>
    </row>
    <row r="68" spans="1:15" x14ac:dyDescent="0.2">
      <c r="A68" t="s">
        <v>361</v>
      </c>
    </row>
    <row r="69" spans="1:15" x14ac:dyDescent="0.2">
      <c r="A69" t="s">
        <v>360</v>
      </c>
    </row>
  </sheetData>
  <phoneticPr fontId="16" type="noConversion"/>
  <printOptions horizontalCentered="1" gridLines="1"/>
  <pageMargins left="0" right="0" top="0.6" bottom="0" header="0" footer="0"/>
  <pageSetup scale="5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P69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45" t="s">
        <v>337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343</v>
      </c>
      <c r="O4" s="1">
        <f>+'Y1'!M7</f>
        <v>24</v>
      </c>
    </row>
    <row r="6" spans="1:15" ht="25.5" x14ac:dyDescent="0.2">
      <c r="A6" t="s">
        <v>362</v>
      </c>
      <c r="C6" s="12" t="s">
        <v>57</v>
      </c>
      <c r="D6" s="12" t="s">
        <v>58</v>
      </c>
      <c r="E6" s="8"/>
      <c r="F6" s="54" t="s">
        <v>373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341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+'22a&amp;b'!CI13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140</v>
      </c>
      <c r="D15" s="6">
        <v>620</v>
      </c>
      <c r="E15" s="8" t="s">
        <v>170</v>
      </c>
      <c r="F15" s="19">
        <f>ROUND(G15/C15,2)</f>
        <v>993.48</v>
      </c>
      <c r="G15" s="17">
        <v>139087</v>
      </c>
      <c r="H15" s="6">
        <v>1016</v>
      </c>
      <c r="I15" s="11">
        <f>D15*H15</f>
        <v>629920</v>
      </c>
      <c r="J15" s="18">
        <v>4.3459999999999999E-2</v>
      </c>
      <c r="K15" s="10">
        <f t="shared" ref="K15:K31" si="0">ROUND(I15*J15,0)</f>
        <v>27376</v>
      </c>
      <c r="L15" s="10">
        <f>+'22a&amp;b'!CI16</f>
        <v>10811</v>
      </c>
      <c r="M15" s="10">
        <f>ROUND(G15*0,0)</f>
        <v>0</v>
      </c>
      <c r="N15" s="10">
        <f t="shared" ref="N15:N31" si="1">+L15+M15</f>
        <v>10811</v>
      </c>
      <c r="O15" s="10">
        <f>+G15+K15+N15</f>
        <v>177274</v>
      </c>
    </row>
    <row r="16" spans="1:15" x14ac:dyDescent="0.2">
      <c r="A16" t="s">
        <v>254</v>
      </c>
      <c r="C16" s="6">
        <v>61</v>
      </c>
      <c r="D16" s="6">
        <v>200</v>
      </c>
      <c r="E16" s="8" t="s">
        <v>170</v>
      </c>
      <c r="F16" s="19">
        <f>ROUND(G16/C16,2)</f>
        <v>101.34</v>
      </c>
      <c r="G16" s="17">
        <v>6182</v>
      </c>
      <c r="H16" s="6">
        <v>568</v>
      </c>
      <c r="I16" s="11">
        <f>D16*H16</f>
        <v>113600</v>
      </c>
      <c r="J16" s="18">
        <v>4.3520000000000003E-2</v>
      </c>
      <c r="K16" s="10">
        <f t="shared" si="0"/>
        <v>4944</v>
      </c>
      <c r="L16" s="10">
        <f>+'22a&amp;b'!CI17</f>
        <v>3762</v>
      </c>
      <c r="M16" s="10">
        <v>0</v>
      </c>
      <c r="N16" s="10">
        <f t="shared" si="1"/>
        <v>3762</v>
      </c>
      <c r="O16" s="10">
        <f>+G16+K16+N16</f>
        <v>14888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+'22a&amp;b'!CI19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+'22a&amp;b'!CI22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+'22a&amp;b'!CI23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99</v>
      </c>
      <c r="D25" s="6">
        <v>342</v>
      </c>
      <c r="E25" s="8" t="s">
        <v>170</v>
      </c>
      <c r="F25" s="19">
        <f>ROUND(G25/C25,2)</f>
        <v>449.49</v>
      </c>
      <c r="G25" s="17">
        <v>44500</v>
      </c>
      <c r="H25" s="6">
        <v>874</v>
      </c>
      <c r="I25" s="11">
        <f>D25*H25</f>
        <v>298908</v>
      </c>
      <c r="J25" s="18">
        <v>4.3499999999999997E-2</v>
      </c>
      <c r="K25" s="10">
        <f t="shared" si="0"/>
        <v>13002</v>
      </c>
      <c r="L25" s="10">
        <f>+'22a&amp;b'!CI26</f>
        <v>13859</v>
      </c>
      <c r="M25" s="10">
        <v>0</v>
      </c>
      <c r="N25" s="10">
        <f t="shared" si="1"/>
        <v>13859</v>
      </c>
      <c r="O25" s="10">
        <f>+G25+K25+N25</f>
        <v>71361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103</v>
      </c>
      <c r="D28" s="6">
        <v>556</v>
      </c>
      <c r="E28" s="8" t="s">
        <v>170</v>
      </c>
      <c r="F28" s="19">
        <f>ROUND(G28/C28,2)</f>
        <v>544.16999999999996</v>
      </c>
      <c r="G28" s="17">
        <v>56050</v>
      </c>
      <c r="H28" s="6">
        <v>860</v>
      </c>
      <c r="I28" s="11">
        <f>D28*H28</f>
        <v>478160</v>
      </c>
      <c r="J28" s="18">
        <v>4.351E-2</v>
      </c>
      <c r="K28" s="10">
        <f t="shared" si="0"/>
        <v>20805</v>
      </c>
      <c r="L28" s="10">
        <f>+'22a&amp;b'!CI29</f>
        <v>11490</v>
      </c>
      <c r="M28" s="10">
        <v>0</v>
      </c>
      <c r="N28" s="10">
        <f t="shared" si="1"/>
        <v>11490</v>
      </c>
      <c r="O28" s="10">
        <f>+G28+K28+N28</f>
        <v>88345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+'22a&amp;b'!CI30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375</v>
      </c>
      <c r="D31" s="6">
        <v>2631</v>
      </c>
      <c r="E31" s="8" t="s">
        <v>170</v>
      </c>
      <c r="F31" s="19">
        <f>ROUND(G31/C31,2)</f>
        <v>372.99</v>
      </c>
      <c r="G31" s="17">
        <v>139871</v>
      </c>
      <c r="H31" s="38">
        <v>435</v>
      </c>
      <c r="I31" s="11">
        <f>D31*H31</f>
        <v>1144485</v>
      </c>
      <c r="J31" s="18">
        <v>4.3450000000000003E-2</v>
      </c>
      <c r="K31" s="10">
        <f t="shared" si="0"/>
        <v>49728</v>
      </c>
      <c r="L31" s="10">
        <f>+'22a&amp;b'!CI32</f>
        <v>18664</v>
      </c>
      <c r="M31" s="10">
        <v>0</v>
      </c>
      <c r="N31" s="10">
        <f t="shared" si="1"/>
        <v>18664</v>
      </c>
      <c r="O31" s="10">
        <f>+G31+K31+N31</f>
        <v>208263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6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6" x14ac:dyDescent="0.2">
      <c r="A34" t="s">
        <v>353</v>
      </c>
      <c r="C34" s="6">
        <v>63</v>
      </c>
      <c r="D34" s="6">
        <v>60</v>
      </c>
      <c r="E34" s="8" t="s">
        <v>358</v>
      </c>
      <c r="F34" s="19">
        <f>ROUND(G34/C34,2)</f>
        <v>514.29</v>
      </c>
      <c r="G34" s="17">
        <v>32400</v>
      </c>
      <c r="H34" s="38">
        <v>1879</v>
      </c>
      <c r="I34" s="11">
        <f t="shared" ref="I34:I39" si="2">D34*H34</f>
        <v>112740</v>
      </c>
      <c r="J34" s="18">
        <v>4.3490000000000001E-2</v>
      </c>
      <c r="K34" s="10">
        <f>ROUND(I34*J34,0)</f>
        <v>4903</v>
      </c>
      <c r="L34" s="10">
        <f>+'22a&amp;b'!CI35</f>
        <v>30120</v>
      </c>
      <c r="M34" s="10">
        <v>0</v>
      </c>
      <c r="N34" s="10">
        <f>+L34+M34</f>
        <v>30120</v>
      </c>
      <c r="O34" s="10">
        <f>+G34+K34+N34</f>
        <v>67423</v>
      </c>
    </row>
    <row r="35" spans="1:16" x14ac:dyDescent="0.2">
      <c r="A35" t="s">
        <v>349</v>
      </c>
      <c r="C35" s="6">
        <v>156</v>
      </c>
      <c r="D35" s="6">
        <v>144</v>
      </c>
      <c r="E35" s="8" t="s">
        <v>358</v>
      </c>
      <c r="F35" s="19">
        <f>ROUND(G35/C35,2)</f>
        <v>451.92</v>
      </c>
      <c r="G35" s="17">
        <v>70500</v>
      </c>
      <c r="H35" s="38">
        <v>300</v>
      </c>
      <c r="I35" s="11">
        <f t="shared" si="2"/>
        <v>43200</v>
      </c>
      <c r="J35" s="18">
        <v>4.3529999999999999E-2</v>
      </c>
      <c r="K35" s="10">
        <f>ROUND(I35*J35,0)</f>
        <v>1880</v>
      </c>
      <c r="L35" s="10">
        <f>+'22a&amp;b'!CI36</f>
        <v>0</v>
      </c>
      <c r="M35" s="10">
        <f>ROUND(G35*0.05,0)</f>
        <v>3525</v>
      </c>
      <c r="N35" s="10">
        <f>+L35+M35</f>
        <v>3525</v>
      </c>
      <c r="O35" s="10">
        <f>+G35+K35+N35</f>
        <v>75905</v>
      </c>
    </row>
    <row r="36" spans="1:16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6" x14ac:dyDescent="0.2">
      <c r="A37" s="60" t="s">
        <v>350</v>
      </c>
      <c r="C37" s="6">
        <v>1130</v>
      </c>
      <c r="D37" s="6">
        <v>558</v>
      </c>
      <c r="E37" s="8" t="s">
        <v>358</v>
      </c>
      <c r="F37" s="19">
        <f>ROUND(G37/C37,2)</f>
        <v>8</v>
      </c>
      <c r="G37" s="17">
        <v>9045</v>
      </c>
      <c r="H37" s="38">
        <v>92</v>
      </c>
      <c r="I37" s="11">
        <f t="shared" si="2"/>
        <v>51336</v>
      </c>
      <c r="J37" s="18">
        <v>4.3700000000000003E-2</v>
      </c>
      <c r="K37" s="10">
        <f>ROUND(I37*J37,0)</f>
        <v>2243</v>
      </c>
      <c r="L37" s="10">
        <f>+'22a&amp;b'!CI38</f>
        <v>5627</v>
      </c>
      <c r="M37" s="10">
        <v>0</v>
      </c>
      <c r="N37" s="10">
        <f>+L37+M37</f>
        <v>5627</v>
      </c>
      <c r="O37" s="10">
        <f>+G37+K37+N37</f>
        <v>16915</v>
      </c>
    </row>
    <row r="38" spans="1:16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6" x14ac:dyDescent="0.2">
      <c r="A39" s="22" t="s">
        <v>351</v>
      </c>
      <c r="C39" s="6">
        <v>2818</v>
      </c>
      <c r="D39" s="6">
        <v>2501</v>
      </c>
      <c r="E39" s="8" t="s">
        <v>358</v>
      </c>
      <c r="F39" s="19">
        <f>ROUND(G39/C39,2)</f>
        <v>10.19</v>
      </c>
      <c r="G39" s="17">
        <v>28715</v>
      </c>
      <c r="H39" s="38">
        <v>92</v>
      </c>
      <c r="I39" s="11">
        <f t="shared" si="2"/>
        <v>230092</v>
      </c>
      <c r="J39" s="18">
        <v>4.3700000000000003E-2</v>
      </c>
      <c r="K39" s="10">
        <f>ROUND(I39*J39,0)</f>
        <v>10055</v>
      </c>
      <c r="L39" s="10">
        <f>+'22a&amp;b'!CI40</f>
        <v>14062</v>
      </c>
      <c r="M39" s="10">
        <v>0</v>
      </c>
      <c r="N39" s="10">
        <f>+L39+M39</f>
        <v>14062</v>
      </c>
      <c r="O39" s="10">
        <f>+G39+K39+N39</f>
        <v>52832</v>
      </c>
    </row>
    <row r="40" spans="1:16" x14ac:dyDescent="0.2">
      <c r="C40" s="6" t="s">
        <v>201</v>
      </c>
      <c r="D40" s="6" t="s">
        <v>201</v>
      </c>
      <c r="E40" s="74"/>
      <c r="F40" s="6"/>
      <c r="G40" s="6" t="s">
        <v>201</v>
      </c>
      <c r="H40" s="3"/>
      <c r="I40" s="6" t="s">
        <v>201</v>
      </c>
      <c r="J40" s="18"/>
      <c r="K40" s="6" t="s">
        <v>201</v>
      </c>
      <c r="L40" s="6" t="s">
        <v>201</v>
      </c>
      <c r="M40" s="6" t="s">
        <v>201</v>
      </c>
      <c r="N40" s="6" t="s">
        <v>201</v>
      </c>
      <c r="O40" s="6" t="s">
        <v>201</v>
      </c>
      <c r="P40" s="6"/>
    </row>
    <row r="41" spans="1:16" x14ac:dyDescent="0.2">
      <c r="A41" t="s">
        <v>39</v>
      </c>
      <c r="C41" s="6">
        <f>SUM(C12:C39)</f>
        <v>4945</v>
      </c>
      <c r="D41" s="6">
        <f>SUM(D12:D39)</f>
        <v>7612</v>
      </c>
      <c r="E41" s="74"/>
      <c r="F41" s="3"/>
      <c r="G41" s="17">
        <f>SUM(G12:G39)</f>
        <v>526350</v>
      </c>
      <c r="H41" s="6"/>
      <c r="I41" s="6">
        <f>SUM(I12:I39)</f>
        <v>3102441</v>
      </c>
      <c r="J41" s="18"/>
      <c r="K41" s="17">
        <f>SUM(K12:K39)</f>
        <v>134936</v>
      </c>
      <c r="L41" s="10">
        <f>SUM(L11:L39)</f>
        <v>108395</v>
      </c>
      <c r="M41" s="10">
        <f>SUM(M12:M39)</f>
        <v>3525</v>
      </c>
      <c r="N41" s="10">
        <f>SUM(N12:N39)</f>
        <v>111920</v>
      </c>
      <c r="O41" s="10">
        <f>SUM(O12:O39)</f>
        <v>773206</v>
      </c>
    </row>
    <row r="42" spans="1:16" x14ac:dyDescent="0.2">
      <c r="C42" s="3" t="s">
        <v>94</v>
      </c>
      <c r="D42" s="3" t="s">
        <v>94</v>
      </c>
      <c r="E42" s="74"/>
      <c r="F42" s="3"/>
      <c r="G42" s="3" t="s">
        <v>94</v>
      </c>
      <c r="H42" s="3"/>
      <c r="I42" s="3" t="s">
        <v>94</v>
      </c>
      <c r="J42" s="3"/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</row>
    <row r="43" spans="1:16" x14ac:dyDescent="0.2">
      <c r="C43" s="3"/>
      <c r="D43" s="3"/>
      <c r="E43" s="74"/>
      <c r="F43" s="3"/>
      <c r="G43" s="3"/>
      <c r="H43" s="6"/>
      <c r="I43" s="3"/>
      <c r="J43" s="18"/>
      <c r="K43" s="3"/>
      <c r="L43" s="3"/>
      <c r="M43" s="3"/>
      <c r="N43" s="3"/>
      <c r="O43" s="3"/>
    </row>
    <row r="44" spans="1:16" x14ac:dyDescent="0.2">
      <c r="C44" s="3"/>
      <c r="D44" s="3"/>
      <c r="E44" s="74"/>
      <c r="F44" s="3"/>
      <c r="G44" s="3"/>
      <c r="H44" s="6"/>
      <c r="I44" s="3"/>
      <c r="J44" s="18"/>
      <c r="K44" s="3"/>
      <c r="L44" s="3"/>
      <c r="M44" s="3"/>
      <c r="N44" s="3"/>
      <c r="O44" s="3"/>
    </row>
    <row r="45" spans="1:16" x14ac:dyDescent="0.2">
      <c r="A45" t="s">
        <v>40</v>
      </c>
      <c r="C45" s="3"/>
      <c r="D45" s="3"/>
      <c r="E45" s="74"/>
      <c r="F45" s="3"/>
      <c r="G45" s="3"/>
      <c r="H45" s="6"/>
      <c r="I45" s="3"/>
      <c r="J45" s="18"/>
      <c r="K45" s="3"/>
      <c r="L45" s="3"/>
      <c r="M45" s="3"/>
      <c r="N45" s="3"/>
      <c r="O45" s="3"/>
    </row>
    <row r="46" spans="1:16" x14ac:dyDescent="0.2">
      <c r="A46" t="s">
        <v>41</v>
      </c>
      <c r="C46" s="3">
        <v>0</v>
      </c>
      <c r="D46" s="6">
        <v>0</v>
      </c>
      <c r="E46" s="74"/>
      <c r="F46" s="19">
        <v>0</v>
      </c>
      <c r="G46" s="10">
        <v>0</v>
      </c>
      <c r="H46" s="6">
        <v>0</v>
      </c>
      <c r="I46" s="11">
        <f>D46*H46</f>
        <v>0</v>
      </c>
      <c r="J46" s="18" t="s">
        <v>38</v>
      </c>
      <c r="K46" s="10">
        <v>0</v>
      </c>
      <c r="L46" s="10">
        <v>0</v>
      </c>
      <c r="M46" s="10">
        <f>G46*0.05</f>
        <v>0</v>
      </c>
      <c r="N46" s="10">
        <f>+L46+M46</f>
        <v>0</v>
      </c>
      <c r="O46" s="10">
        <f>+G46+K46+N46</f>
        <v>0</v>
      </c>
    </row>
    <row r="47" spans="1:16" x14ac:dyDescent="0.2">
      <c r="A47" t="s">
        <v>42</v>
      </c>
      <c r="C47" s="3">
        <v>0</v>
      </c>
      <c r="D47" s="6">
        <v>0</v>
      </c>
      <c r="E47" s="74"/>
      <c r="F47" s="19">
        <v>0</v>
      </c>
      <c r="G47" s="10">
        <v>0</v>
      </c>
      <c r="H47" s="6">
        <v>0</v>
      </c>
      <c r="I47" s="11">
        <f>D47*H47</f>
        <v>0</v>
      </c>
      <c r="J47" s="18" t="s">
        <v>38</v>
      </c>
      <c r="K47" s="10">
        <v>0</v>
      </c>
      <c r="L47" s="10">
        <v>0</v>
      </c>
      <c r="M47" s="10">
        <f>G47*0.05</f>
        <v>0</v>
      </c>
      <c r="N47" s="10">
        <f>+L47+M47</f>
        <v>0</v>
      </c>
      <c r="O47" s="10">
        <f>+G47+K47+N47</f>
        <v>0</v>
      </c>
    </row>
    <row r="48" spans="1:16" x14ac:dyDescent="0.2">
      <c r="A48" t="s">
        <v>43</v>
      </c>
      <c r="C48" s="3">
        <v>0</v>
      </c>
      <c r="D48" s="6">
        <v>0</v>
      </c>
      <c r="E48" s="74"/>
      <c r="F48" s="19">
        <v>0</v>
      </c>
      <c r="G48" s="10">
        <v>0</v>
      </c>
      <c r="H48" s="6">
        <v>0</v>
      </c>
      <c r="I48" s="11">
        <f>D48*H48</f>
        <v>0</v>
      </c>
      <c r="J48" s="18">
        <v>0</v>
      </c>
      <c r="K48" s="10">
        <f>ROUND(I48*J48,0)</f>
        <v>0</v>
      </c>
      <c r="L48" s="10">
        <v>0</v>
      </c>
      <c r="M48" s="10">
        <v>0</v>
      </c>
      <c r="N48" s="10">
        <f>+L48+M48</f>
        <v>0</v>
      </c>
      <c r="O48" s="10">
        <f>+G48+K48+N48</f>
        <v>0</v>
      </c>
    </row>
    <row r="49" spans="1:15" x14ac:dyDescent="0.2">
      <c r="A49" t="s">
        <v>44</v>
      </c>
      <c r="C49" s="3">
        <v>0</v>
      </c>
      <c r="D49" s="6">
        <v>0</v>
      </c>
      <c r="E49" s="74"/>
      <c r="F49" s="19">
        <v>0</v>
      </c>
      <c r="G49" s="10">
        <v>0</v>
      </c>
      <c r="H49" s="6">
        <v>0</v>
      </c>
      <c r="I49" s="11">
        <f>D49*H49</f>
        <v>0</v>
      </c>
      <c r="J49" s="18">
        <v>0</v>
      </c>
      <c r="K49" s="10">
        <f>ROUND(I49*J49,0)</f>
        <v>0</v>
      </c>
      <c r="L49" s="10">
        <v>0</v>
      </c>
      <c r="M49" s="10">
        <v>0</v>
      </c>
      <c r="N49" s="10">
        <f>+L49+M49</f>
        <v>0</v>
      </c>
      <c r="O49" s="10">
        <f>+G49+K49+N49</f>
        <v>0</v>
      </c>
    </row>
    <row r="50" spans="1:15" x14ac:dyDescent="0.2">
      <c r="C50" s="6" t="s">
        <v>201</v>
      </c>
      <c r="D50" s="6" t="s">
        <v>201</v>
      </c>
      <c r="E50" s="74"/>
      <c r="F50" s="6"/>
      <c r="G50" s="6" t="s">
        <v>201</v>
      </c>
      <c r="H50" s="6"/>
      <c r="I50" s="6" t="s">
        <v>201</v>
      </c>
      <c r="J50" s="6"/>
      <c r="K50" s="6" t="s">
        <v>201</v>
      </c>
      <c r="L50" s="6" t="s">
        <v>201</v>
      </c>
      <c r="M50" s="6" t="s">
        <v>201</v>
      </c>
      <c r="N50" s="6" t="s">
        <v>201</v>
      </c>
      <c r="O50" s="6" t="s">
        <v>201</v>
      </c>
    </row>
    <row r="51" spans="1:15" x14ac:dyDescent="0.2">
      <c r="A51" t="s">
        <v>45</v>
      </c>
      <c r="C51" s="3">
        <f>SUM(C46:C49)</f>
        <v>0</v>
      </c>
      <c r="D51" s="6">
        <f>SUM(D46:D49)</f>
        <v>0</v>
      </c>
      <c r="E51" s="74"/>
      <c r="F51" s="3"/>
      <c r="G51" s="17">
        <f>SUM(G46:G49)</f>
        <v>0</v>
      </c>
      <c r="H51" s="6"/>
      <c r="I51" s="6">
        <f>SUM(I46:I49)</f>
        <v>0</v>
      </c>
      <c r="J51" s="18"/>
      <c r="K51" s="17">
        <f>SUM(K46:K49)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  <c r="O51" s="10">
        <f>SUM(O45:O49)</f>
        <v>0</v>
      </c>
    </row>
    <row r="52" spans="1:15" x14ac:dyDescent="0.2">
      <c r="C52" s="3" t="s">
        <v>94</v>
      </c>
      <c r="D52" s="3" t="s">
        <v>94</v>
      </c>
      <c r="E52" s="74"/>
      <c r="F52" s="3"/>
      <c r="G52" s="3" t="s">
        <v>94</v>
      </c>
      <c r="H52" s="3"/>
      <c r="I52" s="3" t="s">
        <v>94</v>
      </c>
      <c r="J52" s="3"/>
      <c r="K52" s="3" t="s">
        <v>94</v>
      </c>
      <c r="L52" s="3" t="s">
        <v>94</v>
      </c>
      <c r="M52" s="3" t="s">
        <v>94</v>
      </c>
      <c r="N52" s="3" t="s">
        <v>94</v>
      </c>
      <c r="O52" s="3" t="s">
        <v>94</v>
      </c>
    </row>
    <row r="53" spans="1:15" x14ac:dyDescent="0.2">
      <c r="C53" s="3"/>
      <c r="D53" s="3"/>
      <c r="E53" s="74"/>
      <c r="F53" s="3"/>
      <c r="G53" s="3"/>
      <c r="H53" s="6"/>
      <c r="I53" s="3"/>
      <c r="J53" s="18"/>
      <c r="K53" s="3"/>
      <c r="L53" s="3"/>
      <c r="M53" s="3"/>
      <c r="N53" s="3"/>
      <c r="O53" s="3"/>
    </row>
    <row r="54" spans="1:15" x14ac:dyDescent="0.2">
      <c r="C54" s="3"/>
      <c r="D54" s="3"/>
      <c r="E54" s="74"/>
      <c r="F54" s="3"/>
      <c r="G54" s="3"/>
      <c r="H54" s="6"/>
      <c r="I54" s="3"/>
      <c r="J54" s="18"/>
      <c r="K54" s="3"/>
      <c r="L54" s="3"/>
      <c r="M54" s="3"/>
      <c r="N54" s="3"/>
      <c r="O54" s="3"/>
    </row>
    <row r="55" spans="1:15" x14ac:dyDescent="0.2">
      <c r="A55" t="s">
        <v>46</v>
      </c>
      <c r="C55" s="3"/>
      <c r="D55" s="3"/>
      <c r="E55" s="74"/>
      <c r="F55" s="3"/>
      <c r="G55" s="3"/>
      <c r="H55" s="6"/>
      <c r="I55" s="3"/>
      <c r="J55" s="18"/>
      <c r="K55" s="3"/>
      <c r="L55" s="3"/>
      <c r="M55" s="3"/>
      <c r="N55" s="3"/>
      <c r="O55" s="3"/>
    </row>
    <row r="56" spans="1:15" x14ac:dyDescent="0.2">
      <c r="A56" s="1" t="s">
        <v>258</v>
      </c>
      <c r="C56" s="3"/>
      <c r="D56" s="3"/>
      <c r="E56" s="74"/>
      <c r="F56" s="3"/>
      <c r="G56" s="3"/>
      <c r="H56" s="6"/>
      <c r="I56" s="3"/>
      <c r="J56" s="18"/>
      <c r="K56" s="3"/>
      <c r="L56" s="3"/>
      <c r="M56" s="3"/>
      <c r="N56" s="3"/>
      <c r="O56" s="3"/>
    </row>
    <row r="57" spans="1:15" x14ac:dyDescent="0.2">
      <c r="A57" t="s">
        <v>41</v>
      </c>
      <c r="C57" s="3">
        <v>0</v>
      </c>
      <c r="D57" s="3">
        <v>0</v>
      </c>
      <c r="E57" s="74"/>
      <c r="F57" s="9">
        <v>0</v>
      </c>
      <c r="G57" s="10">
        <v>0</v>
      </c>
      <c r="H57" s="6">
        <v>0</v>
      </c>
      <c r="I57" s="3">
        <v>0</v>
      </c>
      <c r="J57" s="18" t="s">
        <v>38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2">
      <c r="A58" t="s">
        <v>48</v>
      </c>
      <c r="C58" s="3">
        <v>0</v>
      </c>
      <c r="D58" s="3">
        <v>0</v>
      </c>
      <c r="E58" s="74"/>
      <c r="F58" s="9">
        <v>0</v>
      </c>
      <c r="G58" s="10">
        <v>0</v>
      </c>
      <c r="H58" s="6">
        <v>0</v>
      </c>
      <c r="I58" s="3">
        <v>0</v>
      </c>
      <c r="J58" s="18" t="s">
        <v>38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t="s">
        <v>49</v>
      </c>
      <c r="C59" s="3">
        <v>0</v>
      </c>
      <c r="D59" s="3">
        <v>0</v>
      </c>
      <c r="E59" s="74"/>
      <c r="F59" s="9">
        <v>0</v>
      </c>
      <c r="G59" s="10">
        <v>0</v>
      </c>
      <c r="H59" s="6">
        <v>0</v>
      </c>
      <c r="I59" s="3">
        <v>0</v>
      </c>
      <c r="J59" s="18">
        <v>0</v>
      </c>
      <c r="K59" s="10">
        <f>ROUND(I59*J59,0)</f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2">
      <c r="A60" t="s">
        <v>50</v>
      </c>
      <c r="C60" s="3">
        <v>0</v>
      </c>
      <c r="D60" s="3">
        <v>0</v>
      </c>
      <c r="E60" s="74"/>
      <c r="F60" s="9">
        <v>0</v>
      </c>
      <c r="G60" s="10">
        <v>0</v>
      </c>
      <c r="H60" s="6">
        <v>0</v>
      </c>
      <c r="I60" s="3">
        <v>0</v>
      </c>
      <c r="J60" s="18">
        <v>0</v>
      </c>
      <c r="K60" s="10">
        <f>ROUND(I60*J60,0)</f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">
      <c r="C61" s="6" t="s">
        <v>201</v>
      </c>
      <c r="D61" s="6" t="s">
        <v>201</v>
      </c>
      <c r="E61" s="74"/>
      <c r="F61" s="6"/>
      <c r="G61" s="6" t="s">
        <v>201</v>
      </c>
      <c r="H61" s="6"/>
      <c r="I61" s="6" t="s">
        <v>201</v>
      </c>
      <c r="J61" s="6"/>
      <c r="K61" s="6" t="s">
        <v>201</v>
      </c>
      <c r="L61" s="6" t="s">
        <v>201</v>
      </c>
      <c r="M61" s="6" t="s">
        <v>201</v>
      </c>
      <c r="N61" s="6" t="s">
        <v>201</v>
      </c>
      <c r="O61" s="6" t="s">
        <v>201</v>
      </c>
    </row>
    <row r="62" spans="1:15" x14ac:dyDescent="0.2">
      <c r="A62" t="s">
        <v>51</v>
      </c>
      <c r="C62" s="3">
        <v>0</v>
      </c>
      <c r="D62" s="3">
        <v>0</v>
      </c>
      <c r="E62" s="74"/>
      <c r="F62" s="3"/>
      <c r="G62" s="10">
        <v>0</v>
      </c>
      <c r="H62" s="6"/>
      <c r="I62" s="3">
        <v>0</v>
      </c>
      <c r="J62" s="18"/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2">
      <c r="C63" s="3" t="s">
        <v>94</v>
      </c>
      <c r="D63" s="3" t="s">
        <v>94</v>
      </c>
      <c r="E63" s="74"/>
      <c r="F63" s="3"/>
      <c r="G63" s="3" t="s">
        <v>94</v>
      </c>
      <c r="H63" s="3"/>
      <c r="I63" s="3" t="s">
        <v>94</v>
      </c>
      <c r="J63" s="3"/>
      <c r="K63" s="3" t="s">
        <v>94</v>
      </c>
      <c r="L63" s="3" t="s">
        <v>94</v>
      </c>
      <c r="M63" s="3" t="s">
        <v>94</v>
      </c>
      <c r="N63" s="3" t="s">
        <v>94</v>
      </c>
      <c r="O63" s="3" t="s">
        <v>94</v>
      </c>
    </row>
    <row r="64" spans="1:15" x14ac:dyDescent="0.2">
      <c r="A64" t="s">
        <v>52</v>
      </c>
      <c r="C64" s="6">
        <f>+C41+C51+C62</f>
        <v>4945</v>
      </c>
      <c r="D64" s="6">
        <f>+D41+D51+D62</f>
        <v>7612</v>
      </c>
      <c r="E64" s="74"/>
      <c r="F64" s="3"/>
      <c r="G64" s="17">
        <f>+G41+G51+G62</f>
        <v>526350</v>
      </c>
      <c r="H64" s="6"/>
      <c r="I64" s="6">
        <f>+I41+I51+I62</f>
        <v>3102441</v>
      </c>
      <c r="J64" s="18"/>
      <c r="K64" s="17">
        <f>+K41+K51+K62</f>
        <v>134936</v>
      </c>
      <c r="L64" s="10">
        <f>+L41+L51+L62</f>
        <v>108395</v>
      </c>
      <c r="M64" s="10">
        <f>+M41+M51+M62</f>
        <v>3525</v>
      </c>
      <c r="N64" s="10">
        <f>+N41+N51+N62</f>
        <v>111920</v>
      </c>
      <c r="O64" s="10">
        <f>+O41+O51+O62</f>
        <v>773206</v>
      </c>
    </row>
    <row r="65" spans="1:15" x14ac:dyDescent="0.2">
      <c r="C65" s="3" t="s">
        <v>94</v>
      </c>
      <c r="D65" s="3" t="s">
        <v>94</v>
      </c>
      <c r="E65" s="74"/>
      <c r="F65" s="3"/>
      <c r="G65" s="3" t="s">
        <v>94</v>
      </c>
      <c r="H65" s="3"/>
      <c r="I65" s="3" t="s">
        <v>94</v>
      </c>
      <c r="J65" s="3"/>
      <c r="K65" s="3" t="s">
        <v>94</v>
      </c>
      <c r="L65" s="3" t="s">
        <v>94</v>
      </c>
      <c r="M65" s="3" t="s">
        <v>94</v>
      </c>
      <c r="N65" s="3" t="s">
        <v>94</v>
      </c>
      <c r="O65" s="3" t="s">
        <v>94</v>
      </c>
    </row>
    <row r="67" spans="1:15" x14ac:dyDescent="0.2">
      <c r="A67" t="s">
        <v>108</v>
      </c>
    </row>
    <row r="68" spans="1:15" x14ac:dyDescent="0.2">
      <c r="A68" t="s">
        <v>357</v>
      </c>
    </row>
    <row r="69" spans="1:15" x14ac:dyDescent="0.2">
      <c r="A69" t="s">
        <v>360</v>
      </c>
    </row>
  </sheetData>
  <phoneticPr fontId="16" type="noConversion"/>
  <printOptions horizontalCentered="1" verticalCentered="1" gridLines="1"/>
  <pageMargins left="0" right="0" top="0.6" bottom="0" header="0" footer="0"/>
  <pageSetup scale="5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P69"/>
  <sheetViews>
    <sheetView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363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371</v>
      </c>
      <c r="O4" s="1">
        <f>+'Y1'!M7</f>
        <v>24</v>
      </c>
    </row>
    <row r="6" spans="1:15" ht="25.5" x14ac:dyDescent="0.2">
      <c r="A6" t="s">
        <v>379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267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+'22a&amp;b'!CJ13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174</v>
      </c>
      <c r="D15" s="6">
        <v>720</v>
      </c>
      <c r="E15" s="8" t="s">
        <v>170</v>
      </c>
      <c r="F15" s="19">
        <f>ROUND(G15/C15,2)</f>
        <v>1161.51</v>
      </c>
      <c r="G15" s="17">
        <v>202103</v>
      </c>
      <c r="H15" s="6">
        <v>1016</v>
      </c>
      <c r="I15" s="11">
        <f>D15*H15</f>
        <v>731520</v>
      </c>
      <c r="J15" s="18">
        <v>4.3459999999999999E-2</v>
      </c>
      <c r="K15" s="10">
        <f t="shared" ref="K15:K31" si="0">ROUND(I15*J15,0)</f>
        <v>31792</v>
      </c>
      <c r="L15" s="10">
        <f>+'22a&amp;b'!CJ16</f>
        <v>13436</v>
      </c>
      <c r="M15" s="10">
        <f>ROUND(G15*0,0)</f>
        <v>0</v>
      </c>
      <c r="N15" s="10">
        <f t="shared" ref="N15:N31" si="1">+L15+M15</f>
        <v>13436</v>
      </c>
      <c r="O15" s="10">
        <f>+G15+K15+N15</f>
        <v>247331</v>
      </c>
    </row>
    <row r="16" spans="1:15" x14ac:dyDescent="0.2">
      <c r="A16" t="s">
        <v>254</v>
      </c>
      <c r="C16" s="6">
        <v>31</v>
      </c>
      <c r="D16" s="6">
        <v>237</v>
      </c>
      <c r="E16" s="8" t="s">
        <v>170</v>
      </c>
      <c r="F16" s="19">
        <f>ROUND(G16/C16,2)</f>
        <v>114.1</v>
      </c>
      <c r="G16" s="17">
        <v>3537</v>
      </c>
      <c r="H16" s="6">
        <v>568</v>
      </c>
      <c r="I16" s="11">
        <f>D16*H16</f>
        <v>134616</v>
      </c>
      <c r="J16" s="18">
        <v>4.3520000000000003E-2</v>
      </c>
      <c r="K16" s="10">
        <f t="shared" si="0"/>
        <v>5858</v>
      </c>
      <c r="L16" s="10">
        <f>+'22a&amp;b'!CJ17</f>
        <v>1912</v>
      </c>
      <c r="M16" s="10">
        <v>0</v>
      </c>
      <c r="N16" s="10">
        <f t="shared" si="1"/>
        <v>1912</v>
      </c>
      <c r="O16" s="10">
        <f>+G16+K16+N16</f>
        <v>11307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+'22a&amp;b'!CJ19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+'22a&amp;b'!CJ22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+'22a&amp;b'!CJ23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97</v>
      </c>
      <c r="D25" s="6">
        <v>416</v>
      </c>
      <c r="E25" s="8" t="s">
        <v>170</v>
      </c>
      <c r="F25" s="19">
        <f>ROUND(G25/C25,2)</f>
        <v>422.16</v>
      </c>
      <c r="G25" s="17">
        <v>40950</v>
      </c>
      <c r="H25" s="6">
        <v>875</v>
      </c>
      <c r="I25" s="11">
        <f>D25*H25</f>
        <v>364000</v>
      </c>
      <c r="J25" s="18">
        <v>4.3499999999999997E-2</v>
      </c>
      <c r="K25" s="10">
        <f t="shared" si="0"/>
        <v>15834</v>
      </c>
      <c r="L25" s="10">
        <f>+'22a&amp;b'!CJ26</f>
        <v>13579</v>
      </c>
      <c r="M25" s="10">
        <v>0</v>
      </c>
      <c r="N25" s="10">
        <f t="shared" si="1"/>
        <v>13579</v>
      </c>
      <c r="O25" s="10">
        <f>+G25+K25+N25</f>
        <v>70363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115</v>
      </c>
      <c r="D28" s="6">
        <v>621</v>
      </c>
      <c r="E28" s="8" t="s">
        <v>170</v>
      </c>
      <c r="F28" s="19">
        <f>ROUND(G28/C28,2)</f>
        <v>527.83000000000004</v>
      </c>
      <c r="G28" s="17">
        <v>60700</v>
      </c>
      <c r="H28" s="6">
        <v>861</v>
      </c>
      <c r="I28" s="11">
        <f>D28*H28</f>
        <v>534681</v>
      </c>
      <c r="J28" s="18">
        <v>4.351E-2</v>
      </c>
      <c r="K28" s="10">
        <f t="shared" si="0"/>
        <v>23264</v>
      </c>
      <c r="L28" s="10">
        <f>+'22a&amp;b'!CJ29</f>
        <v>4462</v>
      </c>
      <c r="M28" s="10">
        <v>0</v>
      </c>
      <c r="N28" s="10">
        <f t="shared" si="1"/>
        <v>4462</v>
      </c>
      <c r="O28" s="10">
        <f>+G28+K28+N28</f>
        <v>88426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+'22a&amp;b'!CJ30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501</v>
      </c>
      <c r="D31" s="6">
        <v>2762</v>
      </c>
      <c r="E31" s="8" t="s">
        <v>170</v>
      </c>
      <c r="F31" s="19">
        <f>ROUND(G31/C31,2)</f>
        <v>392.89</v>
      </c>
      <c r="G31" s="17">
        <v>196836</v>
      </c>
      <c r="H31" s="38">
        <v>435</v>
      </c>
      <c r="I31" s="11">
        <f>D31*H31</f>
        <v>1201470</v>
      </c>
      <c r="J31" s="18">
        <v>4.3450000000000003E-2</v>
      </c>
      <c r="K31" s="10">
        <f t="shared" si="0"/>
        <v>52204</v>
      </c>
      <c r="L31" s="10">
        <f>+'22a&amp;b'!CJ32</f>
        <v>24935</v>
      </c>
      <c r="M31" s="10">
        <v>0</v>
      </c>
      <c r="N31" s="10">
        <f t="shared" si="1"/>
        <v>24935</v>
      </c>
      <c r="O31" s="10">
        <f>+G31+K31+N31</f>
        <v>273975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6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6" x14ac:dyDescent="0.2">
      <c r="A34" t="s">
        <v>353</v>
      </c>
      <c r="C34" s="6">
        <v>97</v>
      </c>
      <c r="D34" s="6">
        <v>135</v>
      </c>
      <c r="E34" s="8" t="s">
        <v>358</v>
      </c>
      <c r="F34" s="19">
        <f>ROUND(G34/C34,2)</f>
        <v>450</v>
      </c>
      <c r="G34" s="17">
        <v>43650</v>
      </c>
      <c r="H34" s="38">
        <v>1879</v>
      </c>
      <c r="I34" s="11">
        <f t="shared" ref="I34:I39" si="2">D34*H34</f>
        <v>253665</v>
      </c>
      <c r="J34" s="18">
        <v>4.3490000000000001E-2</v>
      </c>
      <c r="K34" s="10">
        <f>ROUND(I34*J34,0)</f>
        <v>11032</v>
      </c>
      <c r="L34" s="10">
        <f>+'22a&amp;b'!CJ35</f>
        <v>46376</v>
      </c>
      <c r="M34" s="10">
        <v>0</v>
      </c>
      <c r="N34" s="10">
        <f>+L34+M34</f>
        <v>46376</v>
      </c>
      <c r="O34" s="10">
        <f>+G34+K34+N34</f>
        <v>101058</v>
      </c>
    </row>
    <row r="35" spans="1:16" x14ac:dyDescent="0.2">
      <c r="A35" t="s">
        <v>349</v>
      </c>
      <c r="C35" s="6">
        <v>272</v>
      </c>
      <c r="D35" s="6">
        <v>348</v>
      </c>
      <c r="E35" s="8" t="s">
        <v>358</v>
      </c>
      <c r="F35" s="19">
        <f>ROUND(G35/C35,2)</f>
        <v>416.73</v>
      </c>
      <c r="G35" s="17">
        <v>113350</v>
      </c>
      <c r="H35" s="38">
        <v>301</v>
      </c>
      <c r="I35" s="11">
        <f t="shared" si="2"/>
        <v>104748</v>
      </c>
      <c r="J35" s="18">
        <v>4.3529999999999999E-2</v>
      </c>
      <c r="K35" s="10">
        <f>ROUND(I35*J35,0)</f>
        <v>4560</v>
      </c>
      <c r="L35" s="10">
        <f>+'22a&amp;b'!CJ36</f>
        <v>0</v>
      </c>
      <c r="M35" s="10">
        <f>ROUND(G35*0.05,0)</f>
        <v>5668</v>
      </c>
      <c r="N35" s="10">
        <f>+L35+M35</f>
        <v>5668</v>
      </c>
      <c r="O35" s="10">
        <f>+G35+K35+N35</f>
        <v>123578</v>
      </c>
    </row>
    <row r="36" spans="1:16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6" x14ac:dyDescent="0.2">
      <c r="A37" s="60" t="s">
        <v>350</v>
      </c>
      <c r="C37" s="6">
        <v>488</v>
      </c>
      <c r="D37" s="6">
        <v>1299</v>
      </c>
      <c r="E37" s="8" t="s">
        <v>358</v>
      </c>
      <c r="F37" s="19">
        <f>ROUND(G37/C37,2)</f>
        <v>50.99</v>
      </c>
      <c r="G37" s="17">
        <v>24881</v>
      </c>
      <c r="H37" s="38">
        <v>73</v>
      </c>
      <c r="I37" s="11">
        <f t="shared" si="2"/>
        <v>94827</v>
      </c>
      <c r="J37" s="18">
        <v>4.3270000000000003E-2</v>
      </c>
      <c r="K37" s="10">
        <f>ROUND(I37*J37,0)</f>
        <v>4103</v>
      </c>
      <c r="L37" s="10">
        <f>+'22a&amp;b'!CJ38</f>
        <v>2430</v>
      </c>
      <c r="M37" s="10">
        <v>0</v>
      </c>
      <c r="N37" s="10">
        <f>+L37+M37</f>
        <v>2430</v>
      </c>
      <c r="O37" s="10">
        <f>+G37+K37+N37</f>
        <v>31414</v>
      </c>
    </row>
    <row r="38" spans="1:16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6" x14ac:dyDescent="0.2">
      <c r="A39" s="22" t="s">
        <v>351</v>
      </c>
      <c r="C39" s="6">
        <v>2644</v>
      </c>
      <c r="D39" s="6">
        <v>4482</v>
      </c>
      <c r="E39" s="8" t="s">
        <v>358</v>
      </c>
      <c r="F39" s="19">
        <f>ROUND(G39/C39,2)</f>
        <v>16.100000000000001</v>
      </c>
      <c r="G39" s="17">
        <v>42564</v>
      </c>
      <c r="H39" s="38">
        <v>91</v>
      </c>
      <c r="I39" s="11">
        <f t="shared" si="2"/>
        <v>407862</v>
      </c>
      <c r="J39" s="18">
        <v>4.376E-2</v>
      </c>
      <c r="K39" s="10">
        <f>ROUND(I39*J39,0)</f>
        <v>17848</v>
      </c>
      <c r="L39" s="10">
        <f>+'22a&amp;b'!CJ40</f>
        <v>13194</v>
      </c>
      <c r="M39" s="10">
        <v>0</v>
      </c>
      <c r="N39" s="10">
        <f>+L39+M39</f>
        <v>13194</v>
      </c>
      <c r="O39" s="10">
        <f>+G39+K39+N39</f>
        <v>73606</v>
      </c>
    </row>
    <row r="40" spans="1:16" x14ac:dyDescent="0.2">
      <c r="C40" s="6" t="s">
        <v>201</v>
      </c>
      <c r="D40" s="6" t="s">
        <v>201</v>
      </c>
      <c r="E40" s="74"/>
      <c r="F40" s="6"/>
      <c r="G40" s="6" t="s">
        <v>201</v>
      </c>
      <c r="H40" s="3"/>
      <c r="I40" s="6" t="s">
        <v>201</v>
      </c>
      <c r="J40" s="18"/>
      <c r="K40" s="6" t="s">
        <v>201</v>
      </c>
      <c r="L40" s="6" t="s">
        <v>201</v>
      </c>
      <c r="M40" s="6" t="s">
        <v>201</v>
      </c>
      <c r="N40" s="6" t="s">
        <v>201</v>
      </c>
      <c r="O40" s="6" t="s">
        <v>201</v>
      </c>
      <c r="P40" s="6"/>
    </row>
    <row r="41" spans="1:16" x14ac:dyDescent="0.2">
      <c r="A41" t="s">
        <v>39</v>
      </c>
      <c r="C41" s="6">
        <f>SUM(C12:C39)</f>
        <v>4419</v>
      </c>
      <c r="D41" s="6">
        <f>SUM(D12:D39)</f>
        <v>11020</v>
      </c>
      <c r="E41" s="74"/>
      <c r="F41" s="3"/>
      <c r="G41" s="17">
        <f>SUM(G12:G39)</f>
        <v>728571</v>
      </c>
      <c r="H41" s="6"/>
      <c r="I41" s="6">
        <f>SUM(I12:I39)</f>
        <v>3827389</v>
      </c>
      <c r="J41" s="18"/>
      <c r="K41" s="17">
        <f>SUM(K12:K39)</f>
        <v>166495</v>
      </c>
      <c r="L41" s="10">
        <f>SUM(L11:L39)</f>
        <v>120324</v>
      </c>
      <c r="M41" s="10">
        <f>SUM(M12:M39)</f>
        <v>5668</v>
      </c>
      <c r="N41" s="10">
        <f>SUM(N12:N39)</f>
        <v>125992</v>
      </c>
      <c r="O41" s="10">
        <f>SUM(O12:O39)</f>
        <v>1021058</v>
      </c>
    </row>
    <row r="42" spans="1:16" x14ac:dyDescent="0.2">
      <c r="C42" s="3" t="s">
        <v>94</v>
      </c>
      <c r="D42" s="3" t="s">
        <v>94</v>
      </c>
      <c r="E42" s="74"/>
      <c r="F42" s="3"/>
      <c r="G42" s="3" t="s">
        <v>94</v>
      </c>
      <c r="H42" s="3"/>
      <c r="I42" s="3" t="s">
        <v>94</v>
      </c>
      <c r="J42" s="3"/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</row>
    <row r="43" spans="1:16" x14ac:dyDescent="0.2">
      <c r="C43" s="3"/>
      <c r="D43" s="3"/>
      <c r="E43" s="74"/>
      <c r="F43" s="3"/>
      <c r="G43" s="3"/>
      <c r="H43" s="6"/>
      <c r="I43" s="3"/>
      <c r="J43" s="18"/>
      <c r="K43" s="3"/>
      <c r="L43" s="3"/>
      <c r="M43" s="3"/>
      <c r="N43" s="3"/>
      <c r="O43" s="3"/>
    </row>
    <row r="44" spans="1:16" x14ac:dyDescent="0.2">
      <c r="C44" s="3"/>
      <c r="D44" s="3"/>
      <c r="E44" s="74"/>
      <c r="F44" s="3"/>
      <c r="G44" s="3"/>
      <c r="H44" s="6"/>
      <c r="I44" s="3"/>
      <c r="J44" s="18"/>
      <c r="K44" s="3"/>
      <c r="L44" s="3"/>
      <c r="M44" s="3"/>
      <c r="N44" s="3"/>
      <c r="O44" s="3"/>
    </row>
    <row r="45" spans="1:16" x14ac:dyDescent="0.2">
      <c r="A45" t="s">
        <v>40</v>
      </c>
      <c r="C45" s="3"/>
      <c r="D45" s="3"/>
      <c r="E45" s="74"/>
      <c r="F45" s="3"/>
      <c r="G45" s="3"/>
      <c r="H45" s="6"/>
      <c r="I45" s="3"/>
      <c r="J45" s="18"/>
      <c r="K45" s="3"/>
      <c r="L45" s="3"/>
      <c r="M45" s="3"/>
      <c r="N45" s="3"/>
      <c r="O45" s="3"/>
    </row>
    <row r="46" spans="1:16" x14ac:dyDescent="0.2">
      <c r="A46" t="s">
        <v>41</v>
      </c>
      <c r="C46" s="3">
        <v>0</v>
      </c>
      <c r="D46" s="6">
        <v>0</v>
      </c>
      <c r="E46" s="74"/>
      <c r="F46" s="19">
        <v>0</v>
      </c>
      <c r="G46" s="10">
        <v>0</v>
      </c>
      <c r="H46" s="6">
        <v>0</v>
      </c>
      <c r="I46" s="11">
        <f>D46*H46</f>
        <v>0</v>
      </c>
      <c r="J46" s="18" t="s">
        <v>38</v>
      </c>
      <c r="K46" s="10">
        <v>0</v>
      </c>
      <c r="L46" s="10">
        <v>0</v>
      </c>
      <c r="M46" s="10">
        <f>G46*0.05</f>
        <v>0</v>
      </c>
      <c r="N46" s="10">
        <f>+L46+M46</f>
        <v>0</v>
      </c>
      <c r="O46" s="10">
        <f>+G46+K46+N46</f>
        <v>0</v>
      </c>
    </row>
    <row r="47" spans="1:16" x14ac:dyDescent="0.2">
      <c r="A47" t="s">
        <v>42</v>
      </c>
      <c r="C47" s="3">
        <v>0</v>
      </c>
      <c r="D47" s="6">
        <v>0</v>
      </c>
      <c r="E47" s="74"/>
      <c r="F47" s="19">
        <v>0</v>
      </c>
      <c r="G47" s="10">
        <v>0</v>
      </c>
      <c r="H47" s="6">
        <v>0</v>
      </c>
      <c r="I47" s="11">
        <f>D47*H47</f>
        <v>0</v>
      </c>
      <c r="J47" s="18" t="s">
        <v>38</v>
      </c>
      <c r="K47" s="10">
        <v>0</v>
      </c>
      <c r="L47" s="10">
        <v>0</v>
      </c>
      <c r="M47" s="10">
        <f>G47*0.05</f>
        <v>0</v>
      </c>
      <c r="N47" s="10">
        <f>+L47+M47</f>
        <v>0</v>
      </c>
      <c r="O47" s="10">
        <f>+G47+K47+N47</f>
        <v>0</v>
      </c>
    </row>
    <row r="48" spans="1:16" x14ac:dyDescent="0.2">
      <c r="A48" t="s">
        <v>43</v>
      </c>
      <c r="C48" s="3">
        <v>0</v>
      </c>
      <c r="D48" s="6">
        <v>0</v>
      </c>
      <c r="E48" s="74"/>
      <c r="F48" s="19">
        <v>0</v>
      </c>
      <c r="G48" s="10">
        <v>0</v>
      </c>
      <c r="H48" s="6">
        <v>0</v>
      </c>
      <c r="I48" s="11">
        <f>D48*H48</f>
        <v>0</v>
      </c>
      <c r="J48" s="18">
        <v>0</v>
      </c>
      <c r="K48" s="10">
        <f>ROUND(I48*J48,0)</f>
        <v>0</v>
      </c>
      <c r="L48" s="10">
        <v>0</v>
      </c>
      <c r="M48" s="10">
        <v>0</v>
      </c>
      <c r="N48" s="10">
        <f>+L48+M48</f>
        <v>0</v>
      </c>
      <c r="O48" s="10">
        <f>+G48+K48+N48</f>
        <v>0</v>
      </c>
    </row>
    <row r="49" spans="1:15" x14ac:dyDescent="0.2">
      <c r="A49" t="s">
        <v>44</v>
      </c>
      <c r="C49" s="3">
        <v>0</v>
      </c>
      <c r="D49" s="6">
        <v>0</v>
      </c>
      <c r="E49" s="74"/>
      <c r="F49" s="19">
        <v>0</v>
      </c>
      <c r="G49" s="10">
        <v>0</v>
      </c>
      <c r="H49" s="6">
        <v>0</v>
      </c>
      <c r="I49" s="11">
        <f>D49*H49</f>
        <v>0</v>
      </c>
      <c r="J49" s="18">
        <v>0</v>
      </c>
      <c r="K49" s="10">
        <f>ROUND(I49*J49,0)</f>
        <v>0</v>
      </c>
      <c r="L49" s="10">
        <v>0</v>
      </c>
      <c r="M49" s="10">
        <v>0</v>
      </c>
      <c r="N49" s="10">
        <f>+L49+M49</f>
        <v>0</v>
      </c>
      <c r="O49" s="10">
        <f>+G49+K49+N49</f>
        <v>0</v>
      </c>
    </row>
    <row r="50" spans="1:15" x14ac:dyDescent="0.2">
      <c r="C50" s="6" t="s">
        <v>201</v>
      </c>
      <c r="D50" s="6" t="s">
        <v>201</v>
      </c>
      <c r="E50" s="74"/>
      <c r="F50" s="6"/>
      <c r="G50" s="6" t="s">
        <v>201</v>
      </c>
      <c r="H50" s="6"/>
      <c r="I50" s="6" t="s">
        <v>201</v>
      </c>
      <c r="J50" s="6"/>
      <c r="K50" s="6" t="s">
        <v>201</v>
      </c>
      <c r="L50" s="6" t="s">
        <v>201</v>
      </c>
      <c r="M50" s="6" t="s">
        <v>201</v>
      </c>
      <c r="N50" s="6" t="s">
        <v>201</v>
      </c>
      <c r="O50" s="6" t="s">
        <v>201</v>
      </c>
    </row>
    <row r="51" spans="1:15" x14ac:dyDescent="0.2">
      <c r="A51" t="s">
        <v>45</v>
      </c>
      <c r="C51" s="3">
        <f>SUM(C46:C49)</f>
        <v>0</v>
      </c>
      <c r="D51" s="6">
        <f>SUM(D46:D49)</f>
        <v>0</v>
      </c>
      <c r="E51" s="74"/>
      <c r="F51" s="3"/>
      <c r="G51" s="17">
        <f>SUM(G46:G49)</f>
        <v>0</v>
      </c>
      <c r="H51" s="6"/>
      <c r="I51" s="6">
        <f>SUM(I46:I49)</f>
        <v>0</v>
      </c>
      <c r="J51" s="18"/>
      <c r="K51" s="17">
        <f>SUM(K46:K49)</f>
        <v>0</v>
      </c>
      <c r="L51" s="10">
        <f>SUM(L45:L49)</f>
        <v>0</v>
      </c>
      <c r="M51" s="10">
        <f>SUM(M45:M49)</f>
        <v>0</v>
      </c>
      <c r="N51" s="10">
        <f>SUM(N45:N49)</f>
        <v>0</v>
      </c>
      <c r="O51" s="10">
        <f>SUM(O45:O49)</f>
        <v>0</v>
      </c>
    </row>
    <row r="52" spans="1:15" x14ac:dyDescent="0.2">
      <c r="C52" s="3" t="s">
        <v>94</v>
      </c>
      <c r="D52" s="3" t="s">
        <v>94</v>
      </c>
      <c r="E52" s="74"/>
      <c r="F52" s="3"/>
      <c r="G52" s="3" t="s">
        <v>94</v>
      </c>
      <c r="H52" s="3"/>
      <c r="I52" s="3" t="s">
        <v>94</v>
      </c>
      <c r="J52" s="3"/>
      <c r="K52" s="3" t="s">
        <v>94</v>
      </c>
      <c r="L52" s="3" t="s">
        <v>94</v>
      </c>
      <c r="M52" s="3" t="s">
        <v>94</v>
      </c>
      <c r="N52" s="3" t="s">
        <v>94</v>
      </c>
      <c r="O52" s="3" t="s">
        <v>94</v>
      </c>
    </row>
    <row r="53" spans="1:15" x14ac:dyDescent="0.2">
      <c r="C53" s="3"/>
      <c r="D53" s="3"/>
      <c r="E53" s="74"/>
      <c r="F53" s="3"/>
      <c r="G53" s="3"/>
      <c r="H53" s="6"/>
      <c r="I53" s="3"/>
      <c r="J53" s="18"/>
      <c r="K53" s="3"/>
      <c r="L53" s="3"/>
      <c r="M53" s="3"/>
      <c r="N53" s="3"/>
      <c r="O53" s="3"/>
    </row>
    <row r="54" spans="1:15" x14ac:dyDescent="0.2">
      <c r="C54" s="3"/>
      <c r="D54" s="3"/>
      <c r="E54" s="74"/>
      <c r="F54" s="3"/>
      <c r="G54" s="3"/>
      <c r="H54" s="6"/>
      <c r="I54" s="3"/>
      <c r="J54" s="18"/>
      <c r="K54" s="3"/>
      <c r="L54" s="3"/>
      <c r="M54" s="3"/>
      <c r="N54" s="3"/>
      <c r="O54" s="3"/>
    </row>
    <row r="55" spans="1:15" x14ac:dyDescent="0.2">
      <c r="A55" t="s">
        <v>46</v>
      </c>
      <c r="C55" s="3"/>
      <c r="D55" s="3"/>
      <c r="E55" s="74"/>
      <c r="F55" s="3"/>
      <c r="G55" s="3"/>
      <c r="H55" s="6"/>
      <c r="I55" s="3"/>
      <c r="J55" s="18"/>
      <c r="K55" s="3"/>
      <c r="L55" s="3"/>
      <c r="M55" s="3"/>
      <c r="N55" s="3"/>
      <c r="O55" s="3"/>
    </row>
    <row r="56" spans="1:15" x14ac:dyDescent="0.2">
      <c r="A56" s="1" t="s">
        <v>258</v>
      </c>
      <c r="C56" s="3"/>
      <c r="D56" s="3"/>
      <c r="E56" s="74"/>
      <c r="F56" s="3"/>
      <c r="G56" s="3"/>
      <c r="H56" s="6"/>
      <c r="I56" s="3"/>
      <c r="J56" s="18"/>
      <c r="K56" s="3"/>
      <c r="L56" s="3"/>
      <c r="M56" s="3"/>
      <c r="N56" s="3"/>
      <c r="O56" s="3"/>
    </row>
    <row r="57" spans="1:15" x14ac:dyDescent="0.2">
      <c r="A57" t="s">
        <v>41</v>
      </c>
      <c r="C57" s="3">
        <v>0</v>
      </c>
      <c r="D57" s="3">
        <v>0</v>
      </c>
      <c r="E57" s="74"/>
      <c r="F57" s="9">
        <v>0</v>
      </c>
      <c r="G57" s="10">
        <v>0</v>
      </c>
      <c r="H57" s="6">
        <v>0</v>
      </c>
      <c r="I57" s="3">
        <v>0</v>
      </c>
      <c r="J57" s="18" t="s">
        <v>38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1:15" x14ac:dyDescent="0.2">
      <c r="A58" t="s">
        <v>48</v>
      </c>
      <c r="C58" s="3">
        <v>0</v>
      </c>
      <c r="D58" s="3">
        <v>0</v>
      </c>
      <c r="E58" s="74"/>
      <c r="F58" s="9">
        <v>0</v>
      </c>
      <c r="G58" s="10">
        <v>0</v>
      </c>
      <c r="H58" s="6">
        <v>0</v>
      </c>
      <c r="I58" s="3">
        <v>0</v>
      </c>
      <c r="J58" s="18" t="s">
        <v>38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t="s">
        <v>49</v>
      </c>
      <c r="C59" s="3">
        <v>0</v>
      </c>
      <c r="D59" s="3">
        <v>0</v>
      </c>
      <c r="E59" s="74"/>
      <c r="F59" s="9">
        <v>0</v>
      </c>
      <c r="G59" s="10">
        <v>0</v>
      </c>
      <c r="H59" s="6">
        <v>0</v>
      </c>
      <c r="I59" s="3">
        <v>0</v>
      </c>
      <c r="J59" s="18">
        <v>0</v>
      </c>
      <c r="K59" s="10">
        <f>ROUND(I59*J59,0)</f>
        <v>0</v>
      </c>
      <c r="L59" s="10">
        <v>0</v>
      </c>
      <c r="M59" s="10">
        <v>0</v>
      </c>
      <c r="N59" s="10">
        <v>0</v>
      </c>
      <c r="O59" s="10">
        <v>0</v>
      </c>
    </row>
    <row r="60" spans="1:15" x14ac:dyDescent="0.2">
      <c r="A60" t="s">
        <v>50</v>
      </c>
      <c r="C60" s="3">
        <v>0</v>
      </c>
      <c r="D60" s="3">
        <v>0</v>
      </c>
      <c r="E60" s="74"/>
      <c r="F60" s="9">
        <v>0</v>
      </c>
      <c r="G60" s="10">
        <v>0</v>
      </c>
      <c r="H60" s="6">
        <v>0</v>
      </c>
      <c r="I60" s="3">
        <v>0</v>
      </c>
      <c r="J60" s="18">
        <v>0</v>
      </c>
      <c r="K60" s="10">
        <f>ROUND(I60*J60,0)</f>
        <v>0</v>
      </c>
      <c r="L60" s="10">
        <v>0</v>
      </c>
      <c r="M60" s="10">
        <v>0</v>
      </c>
      <c r="N60" s="10">
        <v>0</v>
      </c>
      <c r="O60" s="10">
        <v>0</v>
      </c>
    </row>
    <row r="61" spans="1:15" x14ac:dyDescent="0.2">
      <c r="C61" s="6" t="s">
        <v>201</v>
      </c>
      <c r="D61" s="6" t="s">
        <v>201</v>
      </c>
      <c r="E61" s="74"/>
      <c r="F61" s="6"/>
      <c r="G61" s="6" t="s">
        <v>201</v>
      </c>
      <c r="H61" s="6"/>
      <c r="I61" s="6" t="s">
        <v>201</v>
      </c>
      <c r="J61" s="6"/>
      <c r="K61" s="6" t="s">
        <v>201</v>
      </c>
      <c r="L61" s="6" t="s">
        <v>201</v>
      </c>
      <c r="M61" s="6" t="s">
        <v>201</v>
      </c>
      <c r="N61" s="6" t="s">
        <v>201</v>
      </c>
      <c r="O61" s="6" t="s">
        <v>201</v>
      </c>
    </row>
    <row r="62" spans="1:15" x14ac:dyDescent="0.2">
      <c r="A62" t="s">
        <v>51</v>
      </c>
      <c r="C62" s="3">
        <v>0</v>
      </c>
      <c r="D62" s="3">
        <v>0</v>
      </c>
      <c r="E62" s="74"/>
      <c r="F62" s="3"/>
      <c r="G62" s="10">
        <v>0</v>
      </c>
      <c r="H62" s="6"/>
      <c r="I62" s="3">
        <v>0</v>
      </c>
      <c r="J62" s="18"/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1:15" x14ac:dyDescent="0.2">
      <c r="C63" s="3" t="s">
        <v>94</v>
      </c>
      <c r="D63" s="3" t="s">
        <v>94</v>
      </c>
      <c r="E63" s="74"/>
      <c r="F63" s="3"/>
      <c r="G63" s="3" t="s">
        <v>94</v>
      </c>
      <c r="H63" s="3"/>
      <c r="I63" s="3" t="s">
        <v>94</v>
      </c>
      <c r="J63" s="3"/>
      <c r="K63" s="3" t="s">
        <v>94</v>
      </c>
      <c r="L63" s="3" t="s">
        <v>94</v>
      </c>
      <c r="M63" s="3" t="s">
        <v>94</v>
      </c>
      <c r="N63" s="3" t="s">
        <v>94</v>
      </c>
      <c r="O63" s="3" t="s">
        <v>94</v>
      </c>
    </row>
    <row r="64" spans="1:15" x14ac:dyDescent="0.2">
      <c r="A64" t="s">
        <v>52</v>
      </c>
      <c r="C64" s="6">
        <f>+C41+C51+C62</f>
        <v>4419</v>
      </c>
      <c r="D64" s="6">
        <f>+D41+D51+D62</f>
        <v>11020</v>
      </c>
      <c r="E64" s="74"/>
      <c r="F64" s="3"/>
      <c r="G64" s="17">
        <f>+G41+G51+G62</f>
        <v>728571</v>
      </c>
      <c r="H64" s="6"/>
      <c r="I64" s="6">
        <f>+I41+I51+I62</f>
        <v>3827389</v>
      </c>
      <c r="J64" s="18"/>
      <c r="K64" s="17">
        <f>+K41+K51+K62</f>
        <v>166495</v>
      </c>
      <c r="L64" s="10">
        <f>+L41+L51+L62</f>
        <v>120324</v>
      </c>
      <c r="M64" s="10">
        <f>+M41+M51+M62</f>
        <v>5668</v>
      </c>
      <c r="N64" s="10">
        <f>+N41+N51+N62</f>
        <v>125992</v>
      </c>
      <c r="O64" s="10">
        <f>+O41+O51+O62</f>
        <v>1021058</v>
      </c>
    </row>
    <row r="65" spans="1:15" x14ac:dyDescent="0.2">
      <c r="C65" s="3" t="s">
        <v>94</v>
      </c>
      <c r="D65" s="3" t="s">
        <v>94</v>
      </c>
      <c r="E65" s="74"/>
      <c r="F65" s="3"/>
      <c r="G65" s="3" t="s">
        <v>94</v>
      </c>
      <c r="H65" s="3"/>
      <c r="I65" s="3" t="s">
        <v>94</v>
      </c>
      <c r="J65" s="3"/>
      <c r="K65" s="3" t="s">
        <v>94</v>
      </c>
      <c r="L65" s="3" t="s">
        <v>94</v>
      </c>
      <c r="M65" s="3" t="s">
        <v>94</v>
      </c>
      <c r="N65" s="3" t="s">
        <v>94</v>
      </c>
      <c r="O65" s="3" t="s">
        <v>94</v>
      </c>
    </row>
    <row r="67" spans="1:15" x14ac:dyDescent="0.2">
      <c r="A67" t="s">
        <v>108</v>
      </c>
    </row>
    <row r="68" spans="1:15" x14ac:dyDescent="0.2">
      <c r="A68" t="s">
        <v>357</v>
      </c>
    </row>
    <row r="69" spans="1:15" x14ac:dyDescent="0.2">
      <c r="A69" t="s">
        <v>360</v>
      </c>
    </row>
  </sheetData>
  <phoneticPr fontId="16" type="noConversion"/>
  <printOptions horizontalCentered="1" verticalCentered="1" gridLines="1"/>
  <pageMargins left="0" right="0" top="0.6" bottom="0" header="0" footer="0"/>
  <pageSetup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56"/>
  <sheetViews>
    <sheetView workbookViewId="0">
      <selection activeCell="O6" sqref="O6"/>
    </sheetView>
  </sheetViews>
  <sheetFormatPr defaultRowHeight="12.75" x14ac:dyDescent="0.2"/>
  <cols>
    <col min="1" max="1" width="42.2851562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4" x14ac:dyDescent="0.2">
      <c r="A1" s="14">
        <v>1997</v>
      </c>
    </row>
    <row r="6" spans="1:14" x14ac:dyDescent="0.2">
      <c r="A6" t="s">
        <v>0</v>
      </c>
      <c r="L6" t="s">
        <v>1</v>
      </c>
    </row>
    <row r="7" spans="1:14" x14ac:dyDescent="0.2">
      <c r="A7" t="s">
        <v>54</v>
      </c>
      <c r="L7" s="1" t="s">
        <v>104</v>
      </c>
      <c r="M7" s="2">
        <f>+'Y1'!M7</f>
        <v>24</v>
      </c>
    </row>
    <row r="11" spans="1:14" x14ac:dyDescent="0.2">
      <c r="A11" t="s">
        <v>105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  <c r="N11" s="1"/>
    </row>
    <row r="12" spans="1:14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106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  <c r="N12" s="1"/>
    </row>
    <row r="13" spans="1:14" ht="25.5" x14ac:dyDescent="0.2">
      <c r="A13" t="s">
        <v>28</v>
      </c>
      <c r="B13" s="12" t="s">
        <v>75</v>
      </c>
      <c r="C13" s="12" t="s">
        <v>75</v>
      </c>
      <c r="D13" s="12" t="s">
        <v>76</v>
      </c>
      <c r="E13" s="12" t="s">
        <v>77</v>
      </c>
      <c r="F13" s="12" t="s">
        <v>78</v>
      </c>
      <c r="G13" s="12" t="s">
        <v>107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  <c r="N13" s="1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"/>
    </row>
    <row r="15" spans="1:14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4" x14ac:dyDescent="0.2">
      <c r="A16" t="s">
        <v>29</v>
      </c>
    </row>
    <row r="17" spans="1:13" x14ac:dyDescent="0.2">
      <c r="A17" t="s">
        <v>30</v>
      </c>
      <c r="B17" s="3">
        <v>257</v>
      </c>
      <c r="C17" s="3">
        <v>957</v>
      </c>
      <c r="D17" s="9">
        <v>184.99</v>
      </c>
      <c r="E17" s="10">
        <v>47542</v>
      </c>
      <c r="F17" s="3">
        <v>341</v>
      </c>
      <c r="G17" s="11">
        <v>326337</v>
      </c>
      <c r="H17" s="9">
        <v>3.1119999999999998E-2</v>
      </c>
      <c r="I17" s="10">
        <v>10156</v>
      </c>
      <c r="J17" s="10">
        <v>5340</v>
      </c>
      <c r="K17" s="3" t="s">
        <v>38</v>
      </c>
      <c r="L17" s="10">
        <v>5340</v>
      </c>
      <c r="M17" s="10">
        <v>63038</v>
      </c>
    </row>
    <row r="18" spans="1:13" x14ac:dyDescent="0.2">
      <c r="A18" t="s">
        <v>31</v>
      </c>
      <c r="B18" s="3">
        <v>51</v>
      </c>
      <c r="C18" s="3">
        <v>369</v>
      </c>
      <c r="D18" s="9">
        <v>1090.08</v>
      </c>
      <c r="E18" s="10">
        <v>55594</v>
      </c>
      <c r="F18" s="11">
        <v>1392</v>
      </c>
      <c r="G18" s="11">
        <v>513648</v>
      </c>
      <c r="H18" s="9">
        <v>3.1109999999999999E-2</v>
      </c>
      <c r="I18" s="10">
        <v>15980</v>
      </c>
      <c r="J18" s="10">
        <v>0</v>
      </c>
      <c r="K18" s="10">
        <v>2780</v>
      </c>
      <c r="L18" s="10">
        <v>2780</v>
      </c>
      <c r="M18" s="10">
        <v>74354</v>
      </c>
    </row>
    <row r="19" spans="1:13" x14ac:dyDescent="0.2">
      <c r="A19" t="s">
        <v>32</v>
      </c>
      <c r="B19" s="3">
        <v>15</v>
      </c>
      <c r="C19" s="3">
        <v>108</v>
      </c>
      <c r="D19" s="9">
        <v>193.33</v>
      </c>
      <c r="E19" s="10">
        <v>2900</v>
      </c>
      <c r="F19" s="3">
        <v>170</v>
      </c>
      <c r="G19" s="11">
        <v>18360</v>
      </c>
      <c r="H19" s="9">
        <v>3.124E-2</v>
      </c>
      <c r="I19" s="10">
        <v>574</v>
      </c>
      <c r="J19" s="10">
        <v>25</v>
      </c>
      <c r="K19" s="3" t="s">
        <v>38</v>
      </c>
      <c r="L19" s="10">
        <v>25</v>
      </c>
      <c r="M19" s="10">
        <v>3499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3" t="s">
        <v>38</v>
      </c>
      <c r="E21" s="10">
        <v>0</v>
      </c>
      <c r="F21" s="3">
        <v>16</v>
      </c>
      <c r="G21" s="11">
        <v>4304</v>
      </c>
      <c r="H21" s="9">
        <v>3.091E-2</v>
      </c>
      <c r="I21" s="10">
        <v>133</v>
      </c>
      <c r="J21" s="10">
        <v>0</v>
      </c>
      <c r="K21" s="10">
        <v>0</v>
      </c>
      <c r="L21" s="10">
        <v>0</v>
      </c>
      <c r="M21" s="10">
        <v>133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109</v>
      </c>
      <c r="C23" s="3">
        <v>717</v>
      </c>
      <c r="D23" s="9">
        <v>55.05</v>
      </c>
      <c r="E23" s="10">
        <v>6000</v>
      </c>
      <c r="F23" s="3">
        <v>547</v>
      </c>
      <c r="G23" s="11">
        <v>392199</v>
      </c>
      <c r="H23" s="9">
        <v>3.1140000000000001E-2</v>
      </c>
      <c r="I23" s="10">
        <v>12213</v>
      </c>
      <c r="J23" s="10">
        <v>787</v>
      </c>
      <c r="K23" s="3" t="s">
        <v>38</v>
      </c>
      <c r="L23" s="10">
        <v>787</v>
      </c>
      <c r="M23" s="10">
        <v>19000</v>
      </c>
    </row>
    <row r="24" spans="1:13" x14ac:dyDescent="0.2">
      <c r="A24" t="s">
        <v>35</v>
      </c>
      <c r="B24" s="3">
        <v>84</v>
      </c>
      <c r="C24" s="3">
        <v>695</v>
      </c>
      <c r="D24" s="9">
        <v>66.180000000000007</v>
      </c>
      <c r="E24" s="10">
        <v>5559</v>
      </c>
      <c r="F24" s="3">
        <v>221</v>
      </c>
      <c r="G24" s="11">
        <v>153595</v>
      </c>
      <c r="H24" s="9">
        <v>3.116E-2</v>
      </c>
      <c r="I24" s="10">
        <v>4786</v>
      </c>
      <c r="J24" s="10">
        <v>2445</v>
      </c>
      <c r="K24" s="3" t="s">
        <v>38</v>
      </c>
      <c r="L24" s="10">
        <v>2445</v>
      </c>
      <c r="M24" s="10">
        <v>12790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77</v>
      </c>
      <c r="C26" s="3">
        <v>509</v>
      </c>
      <c r="D26" s="9">
        <v>689.62</v>
      </c>
      <c r="E26" s="10">
        <v>53101</v>
      </c>
      <c r="F26" s="3">
        <v>625</v>
      </c>
      <c r="G26" s="11">
        <v>318125</v>
      </c>
      <c r="H26" s="9">
        <v>3.1099999999999999E-2</v>
      </c>
      <c r="I26" s="10">
        <v>9894</v>
      </c>
      <c r="J26" s="10">
        <v>2503</v>
      </c>
      <c r="K26" s="3" t="s">
        <v>38</v>
      </c>
      <c r="L26" s="10">
        <v>2503</v>
      </c>
      <c r="M26" s="10">
        <v>65498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0</v>
      </c>
      <c r="C28" s="3">
        <v>82</v>
      </c>
      <c r="D28" s="3" t="s">
        <v>38</v>
      </c>
      <c r="E28" s="10">
        <v>6092</v>
      </c>
      <c r="F28" s="3">
        <v>0</v>
      </c>
      <c r="G28" s="3">
        <v>0</v>
      </c>
      <c r="H28" s="3"/>
      <c r="I28" s="3"/>
      <c r="J28" s="10">
        <v>0</v>
      </c>
      <c r="K28" s="10">
        <v>305</v>
      </c>
      <c r="L28" s="10">
        <v>305</v>
      </c>
      <c r="M28" s="10">
        <v>6397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593</v>
      </c>
      <c r="C30" s="11">
        <v>3706</v>
      </c>
      <c r="D30" s="3"/>
      <c r="E30" s="10">
        <v>176788</v>
      </c>
      <c r="F30" s="3"/>
      <c r="G30" s="11">
        <v>1726568</v>
      </c>
      <c r="H30" s="3"/>
      <c r="I30" s="10">
        <v>53736</v>
      </c>
      <c r="J30" s="10">
        <v>11100</v>
      </c>
      <c r="K30" s="10">
        <v>3085</v>
      </c>
      <c r="L30" s="10">
        <v>14185</v>
      </c>
      <c r="M30" s="10">
        <v>244709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98</v>
      </c>
      <c r="C35" s="3">
        <v>383</v>
      </c>
      <c r="D35" s="9">
        <v>413.13</v>
      </c>
      <c r="E35" s="10">
        <v>40487</v>
      </c>
      <c r="F35" s="3">
        <v>0</v>
      </c>
      <c r="G35" s="3">
        <v>0</v>
      </c>
      <c r="H35" s="3"/>
      <c r="I35" s="3"/>
      <c r="J35" s="10">
        <v>0</v>
      </c>
      <c r="K35" s="10">
        <v>2024</v>
      </c>
      <c r="L35" s="10">
        <v>2024</v>
      </c>
      <c r="M35" s="10">
        <v>42511</v>
      </c>
    </row>
    <row r="36" spans="1:13" x14ac:dyDescent="0.2">
      <c r="A36" t="s">
        <v>42</v>
      </c>
      <c r="B36" s="3">
        <v>5</v>
      </c>
      <c r="C36" s="3">
        <v>19</v>
      </c>
      <c r="D36" s="9">
        <v>2705</v>
      </c>
      <c r="E36" s="10">
        <v>13525</v>
      </c>
      <c r="F36" s="3">
        <v>0</v>
      </c>
      <c r="G36" s="3">
        <v>0</v>
      </c>
      <c r="H36" s="3"/>
      <c r="I36" s="3"/>
      <c r="J36" s="10">
        <v>0</v>
      </c>
      <c r="K36" s="10">
        <v>676</v>
      </c>
      <c r="L36" s="10">
        <v>676</v>
      </c>
      <c r="M36" s="10">
        <v>14201</v>
      </c>
    </row>
    <row r="37" spans="1:13" x14ac:dyDescent="0.2">
      <c r="A37" t="s">
        <v>43</v>
      </c>
      <c r="B37" s="3">
        <v>2</v>
      </c>
      <c r="C37" s="3">
        <v>2</v>
      </c>
      <c r="D37" s="9">
        <v>3067</v>
      </c>
      <c r="E37" s="10">
        <v>6134</v>
      </c>
      <c r="F37" s="11">
        <v>11100</v>
      </c>
      <c r="G37" s="11">
        <v>22200</v>
      </c>
      <c r="H37" s="9">
        <v>4.2349999999999999E-2</v>
      </c>
      <c r="I37" s="10">
        <v>940</v>
      </c>
      <c r="J37" s="10">
        <v>1627</v>
      </c>
      <c r="K37" s="3" t="s">
        <v>38</v>
      </c>
      <c r="L37" s="10">
        <v>1627</v>
      </c>
      <c r="M37" s="10">
        <v>8701</v>
      </c>
    </row>
    <row r="38" spans="1:13" x14ac:dyDescent="0.2">
      <c r="A38" t="s">
        <v>44</v>
      </c>
      <c r="B38" s="3">
        <v>0</v>
      </c>
      <c r="C38" s="3">
        <v>1</v>
      </c>
      <c r="D38" s="3" t="s">
        <v>38</v>
      </c>
      <c r="E38" s="10">
        <v>0</v>
      </c>
      <c r="F38" s="11">
        <v>7650</v>
      </c>
      <c r="G38" s="11">
        <v>7650</v>
      </c>
      <c r="H38" s="9">
        <v>4.2770000000000002E-2</v>
      </c>
      <c r="I38" s="10">
        <v>327</v>
      </c>
      <c r="J38" s="10">
        <v>0</v>
      </c>
      <c r="K38" s="10">
        <v>0</v>
      </c>
      <c r="L38" s="10">
        <v>0</v>
      </c>
      <c r="M38" s="10">
        <v>327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105</v>
      </c>
      <c r="C40" s="3">
        <v>405</v>
      </c>
      <c r="D40" s="3"/>
      <c r="E40" s="10">
        <v>60146</v>
      </c>
      <c r="F40" s="3"/>
      <c r="G40" s="11">
        <v>29850</v>
      </c>
      <c r="H40" s="3"/>
      <c r="I40" s="10">
        <v>1267</v>
      </c>
      <c r="J40" s="10">
        <v>1627</v>
      </c>
      <c r="K40" s="10">
        <v>2700</v>
      </c>
      <c r="L40" s="10">
        <v>4327</v>
      </c>
      <c r="M40" s="10">
        <v>65740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3</v>
      </c>
      <c r="C46" s="3">
        <v>26</v>
      </c>
      <c r="D46" s="9">
        <v>666</v>
      </c>
      <c r="E46" s="10">
        <v>1998</v>
      </c>
      <c r="F46" s="3">
        <v>0</v>
      </c>
      <c r="G46" s="3">
        <v>0</v>
      </c>
      <c r="H46" s="3"/>
      <c r="I46" s="3"/>
      <c r="J46" s="10">
        <v>0</v>
      </c>
      <c r="K46" s="10">
        <v>100</v>
      </c>
      <c r="L46" s="10">
        <v>100</v>
      </c>
      <c r="M46" s="10">
        <v>2098</v>
      </c>
    </row>
    <row r="47" spans="1:13" x14ac:dyDescent="0.2">
      <c r="A47" t="s">
        <v>48</v>
      </c>
      <c r="B47" s="3">
        <v>0</v>
      </c>
      <c r="C47" s="3">
        <v>3</v>
      </c>
      <c r="D47" s="3" t="s">
        <v>38</v>
      </c>
      <c r="E47" s="10">
        <v>0</v>
      </c>
      <c r="F47" s="3">
        <v>0</v>
      </c>
      <c r="G47" s="3">
        <v>0</v>
      </c>
      <c r="H47" s="3"/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0</v>
      </c>
      <c r="D48" s="3" t="s">
        <v>38</v>
      </c>
      <c r="E48" s="10">
        <v>4785</v>
      </c>
      <c r="F48" s="11">
        <v>14625</v>
      </c>
      <c r="G48" s="3">
        <v>0</v>
      </c>
      <c r="H48" s="9">
        <v>3.653E-2</v>
      </c>
      <c r="I48" s="10">
        <v>0</v>
      </c>
      <c r="J48" s="10">
        <v>0</v>
      </c>
      <c r="K48" s="3" t="s">
        <v>38</v>
      </c>
      <c r="L48" s="10">
        <v>0</v>
      </c>
      <c r="M48" s="10">
        <v>4785</v>
      </c>
    </row>
    <row r="49" spans="1:13" x14ac:dyDescent="0.2">
      <c r="A49" t="s">
        <v>50</v>
      </c>
      <c r="B49" s="3">
        <v>0</v>
      </c>
      <c r="C49" s="3">
        <v>0</v>
      </c>
      <c r="D49" s="3"/>
      <c r="E49" s="10">
        <v>0</v>
      </c>
      <c r="F49" s="11">
        <v>41200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3</v>
      </c>
      <c r="C51" s="3">
        <v>29</v>
      </c>
      <c r="D51" s="3"/>
      <c r="E51" s="10">
        <v>6783</v>
      </c>
      <c r="F51" s="3"/>
      <c r="G51" s="3">
        <v>0</v>
      </c>
      <c r="H51" s="3"/>
      <c r="I51" s="10">
        <v>0</v>
      </c>
      <c r="J51" s="10">
        <v>0</v>
      </c>
      <c r="K51" s="10">
        <v>100</v>
      </c>
      <c r="L51" s="10">
        <v>100</v>
      </c>
      <c r="M51" s="10">
        <v>6883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3">
        <v>701</v>
      </c>
      <c r="C53" s="11">
        <v>4140</v>
      </c>
      <c r="D53" s="3"/>
      <c r="E53" s="10">
        <v>243717</v>
      </c>
      <c r="F53" s="3"/>
      <c r="G53" s="11">
        <v>1756418</v>
      </c>
      <c r="H53" s="3"/>
      <c r="I53" s="10">
        <v>55003</v>
      </c>
      <c r="J53" s="10">
        <v>12727</v>
      </c>
      <c r="K53" s="10">
        <v>5885</v>
      </c>
      <c r="L53" s="10">
        <v>18612</v>
      </c>
      <c r="M53" s="10">
        <v>317332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5" spans="1:1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t="s">
        <v>108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phoneticPr fontId="0" type="noConversion"/>
  <printOptions horizontalCentered="1" verticalCentered="1" gridLines="1"/>
  <pageMargins left="0" right="0" top="0.5" bottom="0.5" header="0" footer="0"/>
  <pageSetup scale="61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P105"/>
  <sheetViews>
    <sheetView zoomScaleNormal="100" workbookViewId="0">
      <pane xSplit="2" ySplit="10" topLeftCell="C23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363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401</v>
      </c>
      <c r="O4" s="1">
        <f>+'Y1'!M7</f>
        <v>24</v>
      </c>
    </row>
    <row r="6" spans="1:15" ht="25.5" x14ac:dyDescent="0.2">
      <c r="A6" t="s">
        <v>383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+'22a&amp;b'!CK13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6"/>
      <c r="E13" s="74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172</v>
      </c>
      <c r="D15" s="6">
        <v>787</v>
      </c>
      <c r="E15" s="8" t="s">
        <v>170</v>
      </c>
      <c r="F15" s="19">
        <f>ROUND(G15/C15,2)</f>
        <v>809.62</v>
      </c>
      <c r="G15" s="17">
        <v>139254</v>
      </c>
      <c r="H15" s="6">
        <v>1016</v>
      </c>
      <c r="I15" s="11">
        <f>D15*H15</f>
        <v>799592</v>
      </c>
      <c r="J15" s="18">
        <v>5.7459999999999997E-2</v>
      </c>
      <c r="K15" s="10">
        <f t="shared" ref="K15:K31" si="0">ROUND(I15*J15,0)</f>
        <v>45945</v>
      </c>
      <c r="L15" s="10">
        <f>+'22a&amp;b'!CK16</f>
        <v>13282</v>
      </c>
      <c r="M15" s="10">
        <f>ROUND(G15*0,0)</f>
        <v>0</v>
      </c>
      <c r="N15" s="10">
        <f t="shared" ref="N15:N31" si="1">+L15+M15</f>
        <v>13282</v>
      </c>
      <c r="O15" s="10">
        <f>+G15+K15+N15</f>
        <v>198481</v>
      </c>
    </row>
    <row r="16" spans="1:15" x14ac:dyDescent="0.2">
      <c r="A16" t="s">
        <v>254</v>
      </c>
      <c r="C16" s="6">
        <v>23</v>
      </c>
      <c r="D16" s="6">
        <v>242</v>
      </c>
      <c r="E16" s="8" t="s">
        <v>170</v>
      </c>
      <c r="F16" s="19">
        <f>ROUND(G16/C16,2)</f>
        <v>102.35</v>
      </c>
      <c r="G16" s="17">
        <v>2354</v>
      </c>
      <c r="H16" s="6">
        <v>568</v>
      </c>
      <c r="I16" s="11">
        <f>D16*H16</f>
        <v>137456</v>
      </c>
      <c r="J16" s="18">
        <v>5.7459999999999997E-2</v>
      </c>
      <c r="K16" s="10">
        <f t="shared" si="0"/>
        <v>7898</v>
      </c>
      <c r="L16" s="10">
        <f>+'22a&amp;b'!CK17</f>
        <v>1419</v>
      </c>
      <c r="M16" s="10">
        <v>0</v>
      </c>
      <c r="N16" s="10">
        <f t="shared" si="1"/>
        <v>1419</v>
      </c>
      <c r="O16" s="10">
        <f>+G16+K16+N16</f>
        <v>11671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 t="shared" si="0"/>
        <v>0</v>
      </c>
      <c r="L18" s="10">
        <f>+'22a&amp;b'!CK19</f>
        <v>0</v>
      </c>
      <c r="M18" s="10">
        <f>ROUND(G18*0.05,0)</f>
        <v>0</v>
      </c>
      <c r="N18" s="10">
        <f t="shared" si="1"/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 t="shared" si="0"/>
        <v>0</v>
      </c>
      <c r="L21" s="10">
        <f>+'22a&amp;b'!CK22</f>
        <v>0</v>
      </c>
      <c r="M21" s="10">
        <v>0</v>
      </c>
      <c r="N21" s="10">
        <f t="shared" si="1"/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 t="shared" si="0"/>
        <v>0</v>
      </c>
      <c r="L22" s="10">
        <f>+'22a&amp;b'!CK23</f>
        <v>0</v>
      </c>
      <c r="M22" s="10">
        <f>ROUND(G22*0.05,0)</f>
        <v>0</v>
      </c>
      <c r="N22" s="10">
        <f t="shared" si="1"/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136</v>
      </c>
      <c r="D25" s="6">
        <v>496</v>
      </c>
      <c r="E25" s="8" t="s">
        <v>170</v>
      </c>
      <c r="F25" s="19">
        <f>ROUND(G25/C25,2)</f>
        <v>469.49</v>
      </c>
      <c r="G25" s="17">
        <v>63850</v>
      </c>
      <c r="H25" s="6">
        <v>875</v>
      </c>
      <c r="I25" s="11">
        <f>D25*H25</f>
        <v>434000</v>
      </c>
      <c r="J25" s="18">
        <v>5.7500000000000002E-2</v>
      </c>
      <c r="K25" s="10">
        <f t="shared" si="0"/>
        <v>24955</v>
      </c>
      <c r="L25" s="10">
        <f>+'22a&amp;b'!CK26</f>
        <v>19039</v>
      </c>
      <c r="M25" s="10">
        <v>0</v>
      </c>
      <c r="N25" s="10">
        <f t="shared" si="1"/>
        <v>19039</v>
      </c>
      <c r="O25" s="10">
        <f>+G25+K25+N25</f>
        <v>107844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119</v>
      </c>
      <c r="D28" s="6">
        <v>617</v>
      </c>
      <c r="E28" s="8" t="s">
        <v>170</v>
      </c>
      <c r="F28" s="19">
        <f>ROUND(G28/C28,2)</f>
        <v>558.82000000000005</v>
      </c>
      <c r="G28" s="17">
        <v>66500</v>
      </c>
      <c r="H28" s="6">
        <v>861</v>
      </c>
      <c r="I28" s="11">
        <f>D28*H28</f>
        <v>531237</v>
      </c>
      <c r="J28" s="18">
        <v>5.7450000000000001E-2</v>
      </c>
      <c r="K28" s="10">
        <f t="shared" si="0"/>
        <v>30520</v>
      </c>
      <c r="L28" s="10">
        <f>+'22a&amp;b'!CK29</f>
        <v>13274</v>
      </c>
      <c r="M28" s="10">
        <v>0</v>
      </c>
      <c r="N28" s="10">
        <f t="shared" si="1"/>
        <v>13274</v>
      </c>
      <c r="O28" s="10">
        <f>+G28+K28+N28</f>
        <v>110294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 t="shared" si="0"/>
        <v>0</v>
      </c>
      <c r="L29" s="10">
        <f>+'22a&amp;b'!CK30</f>
        <v>0</v>
      </c>
      <c r="M29" s="10">
        <v>0</v>
      </c>
      <c r="N29" s="10">
        <f t="shared" si="1"/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699</v>
      </c>
      <c r="D31" s="6">
        <v>2939</v>
      </c>
      <c r="E31" s="8" t="s">
        <v>170</v>
      </c>
      <c r="F31" s="19">
        <f>ROUND(G31/C31,2)</f>
        <v>317.39</v>
      </c>
      <c r="G31" s="17">
        <v>221857</v>
      </c>
      <c r="H31" s="38">
        <v>435</v>
      </c>
      <c r="I31" s="11">
        <f>D31*H31</f>
        <v>1278465</v>
      </c>
      <c r="J31" s="18">
        <v>5.7520000000000002E-2</v>
      </c>
      <c r="K31" s="10">
        <f t="shared" si="0"/>
        <v>73537</v>
      </c>
      <c r="L31" s="10">
        <f>+'22a&amp;b'!CK32</f>
        <v>34789</v>
      </c>
      <c r="M31" s="10">
        <v>0</v>
      </c>
      <c r="N31" s="10">
        <f t="shared" si="1"/>
        <v>34789</v>
      </c>
      <c r="O31" s="10">
        <f>+G31+K31+N31</f>
        <v>330183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x14ac:dyDescent="0.2">
      <c r="A34" t="s">
        <v>353</v>
      </c>
      <c r="C34" s="6">
        <v>155</v>
      </c>
      <c r="D34" s="6">
        <v>264</v>
      </c>
      <c r="E34" s="8" t="s">
        <v>358</v>
      </c>
      <c r="F34" s="19">
        <f>ROUND(G34/C34,2)</f>
        <v>326</v>
      </c>
      <c r="G34" s="17">
        <v>50530</v>
      </c>
      <c r="H34" s="38">
        <v>1879</v>
      </c>
      <c r="I34" s="11">
        <f t="shared" ref="I34:I39" si="2">D34*H34</f>
        <v>496056</v>
      </c>
      <c r="J34" s="18">
        <v>5.7480000000000003E-2</v>
      </c>
      <c r="K34" s="10">
        <f>ROUND(I34*J34,0)</f>
        <v>28513</v>
      </c>
      <c r="L34" s="10">
        <f>+'22a&amp;b'!CK35</f>
        <v>74106</v>
      </c>
      <c r="M34" s="10">
        <v>0</v>
      </c>
      <c r="N34" s="10">
        <f>+L34+M34</f>
        <v>74106</v>
      </c>
      <c r="O34" s="10">
        <f>+G34+K34+N34</f>
        <v>153149</v>
      </c>
    </row>
    <row r="35" spans="1:15" x14ac:dyDescent="0.2">
      <c r="A35" t="s">
        <v>349</v>
      </c>
      <c r="C35" s="6">
        <v>237</v>
      </c>
      <c r="D35" s="6">
        <v>621</v>
      </c>
      <c r="E35" s="8" t="s">
        <v>358</v>
      </c>
      <c r="F35" s="19">
        <f>ROUND(G35/C35,2)</f>
        <v>559.79</v>
      </c>
      <c r="G35" s="17">
        <v>132670</v>
      </c>
      <c r="H35" s="38">
        <v>301</v>
      </c>
      <c r="I35" s="11">
        <f t="shared" si="2"/>
        <v>186921</v>
      </c>
      <c r="J35" s="18">
        <v>5.7500000000000002E-2</v>
      </c>
      <c r="K35" s="10">
        <f>ROUND(I35*J35,0)</f>
        <v>10748</v>
      </c>
      <c r="L35" s="10">
        <f>+'22a&amp;b'!CK36</f>
        <v>0</v>
      </c>
      <c r="M35" s="10">
        <f>ROUND(G35*0.05,0)</f>
        <v>6634</v>
      </c>
      <c r="N35" s="10">
        <f>+L35+M35</f>
        <v>6634</v>
      </c>
      <c r="O35" s="10">
        <f>+G35+K35+N35</f>
        <v>150052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v>1059</v>
      </c>
      <c r="D37" s="6">
        <v>1220</v>
      </c>
      <c r="E37" s="8" t="s">
        <v>358</v>
      </c>
      <c r="F37" s="19">
        <f>ROUND(G37/C37,2)</f>
        <v>5.55</v>
      </c>
      <c r="G37" s="17">
        <v>5880</v>
      </c>
      <c r="H37" s="38">
        <v>74</v>
      </c>
      <c r="I37" s="11">
        <f t="shared" si="2"/>
        <v>90280</v>
      </c>
      <c r="J37" s="18">
        <v>5.7140000000000003E-2</v>
      </c>
      <c r="K37" s="10">
        <f>ROUND(I37*J37,0)</f>
        <v>5159</v>
      </c>
      <c r="L37" s="10">
        <f>+'22a&amp;b'!CK38</f>
        <v>5274</v>
      </c>
      <c r="M37" s="10">
        <v>0</v>
      </c>
      <c r="N37" s="10">
        <f>+L37+M37</f>
        <v>5274</v>
      </c>
      <c r="O37" s="10">
        <f>+G37+K37+N37</f>
        <v>16313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v>2167</v>
      </c>
      <c r="D39" s="6">
        <v>3516</v>
      </c>
      <c r="E39" s="8" t="s">
        <v>358</v>
      </c>
      <c r="F39" s="19">
        <f>ROUND(G39/C39,2)</f>
        <v>6.72</v>
      </c>
      <c r="G39" s="17">
        <v>14570</v>
      </c>
      <c r="H39" s="38">
        <v>91</v>
      </c>
      <c r="I39" s="11">
        <f t="shared" si="2"/>
        <v>319956</v>
      </c>
      <c r="J39" s="18">
        <v>5.7680000000000002E-2</v>
      </c>
      <c r="K39" s="10">
        <f>ROUND(I39*J39,0)</f>
        <v>18455</v>
      </c>
      <c r="L39" s="10">
        <f>+'22a&amp;b'!CK40</f>
        <v>10813</v>
      </c>
      <c r="M39" s="10">
        <v>0</v>
      </c>
      <c r="N39" s="10">
        <f>+L39+M39</f>
        <v>10813</v>
      </c>
      <c r="O39" s="10">
        <f>+G39+K39+N39</f>
        <v>43838</v>
      </c>
    </row>
    <row r="40" spans="1:15" x14ac:dyDescent="0.2">
      <c r="A40" s="22"/>
      <c r="C40" s="6"/>
      <c r="D40" s="6"/>
      <c r="E40" s="8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0</v>
      </c>
      <c r="D42" s="6">
        <v>0</v>
      </c>
      <c r="E42" s="8"/>
      <c r="F42" s="19">
        <v>0</v>
      </c>
      <c r="G42" s="17">
        <v>0</v>
      </c>
      <c r="H42" s="38">
        <v>0</v>
      </c>
      <c r="I42" s="11">
        <f>D42*H42</f>
        <v>0</v>
      </c>
      <c r="J42" s="18">
        <v>5.8180000000000003E-2</v>
      </c>
      <c r="K42" s="10">
        <f>ROUND(I42*J42,0)</f>
        <v>0</v>
      </c>
      <c r="L42" s="77">
        <f>'22a&amp;b'!CK43</f>
        <v>0</v>
      </c>
      <c r="M42" s="10">
        <v>0</v>
      </c>
      <c r="N42" s="10">
        <f>+L42+M42</f>
        <v>0</v>
      </c>
      <c r="O42" s="10">
        <f>+G42+K42+N42</f>
        <v>0</v>
      </c>
    </row>
    <row r="43" spans="1:15" x14ac:dyDescent="0.2">
      <c r="A43" t="s">
        <v>399</v>
      </c>
      <c r="C43" s="6">
        <v>0</v>
      </c>
      <c r="D43" s="6">
        <v>0</v>
      </c>
      <c r="E43" s="8"/>
      <c r="F43" s="19">
        <v>0</v>
      </c>
      <c r="G43" s="17">
        <v>0</v>
      </c>
      <c r="H43" s="38">
        <v>0</v>
      </c>
      <c r="I43" s="11">
        <f>D43*H43</f>
        <v>0</v>
      </c>
      <c r="J43" s="18">
        <v>5.7930000000000002E-2</v>
      </c>
      <c r="K43" s="10">
        <f>ROUND(I43*J43,0)</f>
        <v>0</v>
      </c>
      <c r="L43" s="77">
        <f>'22a&amp;b'!CK44</f>
        <v>0</v>
      </c>
      <c r="M43" s="10">
        <v>0</v>
      </c>
      <c r="N43" s="10">
        <f>+L43+M43</f>
        <v>0</v>
      </c>
      <c r="O43" s="10">
        <f>+G43+K43+N43</f>
        <v>0</v>
      </c>
    </row>
    <row r="44" spans="1:15" x14ac:dyDescent="0.2">
      <c r="A44" t="s">
        <v>398</v>
      </c>
      <c r="C44" s="6">
        <v>0</v>
      </c>
      <c r="D44" s="6">
        <v>0</v>
      </c>
      <c r="E44" s="8"/>
      <c r="F44" s="19">
        <v>0</v>
      </c>
      <c r="G44" s="17">
        <v>0</v>
      </c>
      <c r="H44" s="38">
        <v>0</v>
      </c>
      <c r="I44" s="11">
        <f>D44*H44</f>
        <v>0</v>
      </c>
      <c r="J44" s="18">
        <v>5.8540000000000002E-2</v>
      </c>
      <c r="K44" s="10">
        <f>ROUND(I44*J44,0)</f>
        <v>0</v>
      </c>
      <c r="L44" s="77">
        <f>'22a&amp;b'!CK45</f>
        <v>0</v>
      </c>
      <c r="M44" s="10">
        <f>ROUND(G44*0.05,0)</f>
        <v>0</v>
      </c>
      <c r="N44" s="10">
        <f>+L44+M44</f>
        <v>0</v>
      </c>
      <c r="O44" s="10">
        <f>+G44+K44+N44</f>
        <v>0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0</v>
      </c>
      <c r="D47" s="6">
        <v>0</v>
      </c>
      <c r="E47" s="8"/>
      <c r="F47" s="19">
        <v>0</v>
      </c>
      <c r="G47" s="17">
        <v>0</v>
      </c>
      <c r="H47" s="38">
        <v>0</v>
      </c>
      <c r="I47" s="11">
        <f>D47*H47</f>
        <v>0</v>
      </c>
      <c r="J47" s="18">
        <v>5.7489999999999999E-2</v>
      </c>
      <c r="K47" s="10">
        <f>ROUND(I47*J47,0)</f>
        <v>0</v>
      </c>
      <c r="L47" s="77">
        <f>'22a&amp;b'!CK56</f>
        <v>0</v>
      </c>
      <c r="M47" s="10">
        <v>0</v>
      </c>
      <c r="N47" s="10">
        <f>+L47+M47</f>
        <v>0</v>
      </c>
      <c r="O47" s="10">
        <f>+G47+K47+N47</f>
        <v>0</v>
      </c>
    </row>
    <row r="48" spans="1:15" x14ac:dyDescent="0.2">
      <c r="A48" t="s">
        <v>207</v>
      </c>
      <c r="C48" s="6">
        <v>28</v>
      </c>
      <c r="D48" s="43">
        <v>3</v>
      </c>
      <c r="E48" s="8"/>
      <c r="F48" s="19">
        <f>ROUND(G48/C48,2)</f>
        <v>101.79</v>
      </c>
      <c r="G48" s="17">
        <v>2850</v>
      </c>
      <c r="H48" s="78">
        <v>371</v>
      </c>
      <c r="I48" s="11">
        <f>D48*H48</f>
        <v>1113</v>
      </c>
      <c r="J48" s="18">
        <v>5.7489999999999999E-2</v>
      </c>
      <c r="K48" s="10">
        <f>ROUND(I48*J48,0)</f>
        <v>64</v>
      </c>
      <c r="L48" s="77">
        <f>'22a&amp;b'!CK57</f>
        <v>319</v>
      </c>
      <c r="M48" s="10">
        <v>0</v>
      </c>
      <c r="N48" s="10">
        <f>+L48+M48</f>
        <v>319</v>
      </c>
      <c r="O48" s="10">
        <f>+G48+K48+N48</f>
        <v>3233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v>0</v>
      </c>
      <c r="H51" s="38">
        <v>0</v>
      </c>
      <c r="I51" s="11">
        <v>0</v>
      </c>
      <c r="J51" s="18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6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v>0</v>
      </c>
      <c r="H52" s="38">
        <v>0</v>
      </c>
      <c r="I52" s="11">
        <v>0</v>
      </c>
      <c r="J52" s="18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4795</v>
      </c>
      <c r="D54" s="6">
        <f>SUM(D12:D52)</f>
        <v>10705</v>
      </c>
      <c r="E54" s="74"/>
      <c r="F54" s="3"/>
      <c r="G54" s="17">
        <f>SUM(G12:G52)</f>
        <v>700315</v>
      </c>
      <c r="H54" s="6"/>
      <c r="I54" s="6">
        <f>SUM(I12:I52)</f>
        <v>4275076</v>
      </c>
      <c r="J54" s="18"/>
      <c r="K54" s="17">
        <f>SUM(K12:K52)</f>
        <v>245794</v>
      </c>
      <c r="L54" s="10">
        <f>SUM(L11:L52)</f>
        <v>172315</v>
      </c>
      <c r="M54" s="10">
        <f>SUM(M12:M52)</f>
        <v>6634</v>
      </c>
      <c r="N54" s="10">
        <f>SUM(N12:N52)</f>
        <v>178949</v>
      </c>
      <c r="O54" s="10">
        <f>SUM(O12:O52)</f>
        <v>1125058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C56" s="3"/>
      <c r="D56" s="3"/>
      <c r="E56" s="74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16" t="s">
        <v>363</v>
      </c>
      <c r="B57" s="14"/>
    </row>
    <row r="59" spans="1:16" x14ac:dyDescent="0.2">
      <c r="A59" s="28" t="s">
        <v>0</v>
      </c>
      <c r="I59" s="15"/>
      <c r="N59" s="37" t="s">
        <v>140</v>
      </c>
    </row>
    <row r="60" spans="1:16" ht="25.5" x14ac:dyDescent="0.2">
      <c r="A60" s="36" t="s">
        <v>128</v>
      </c>
      <c r="N60" s="8" t="s">
        <v>402</v>
      </c>
      <c r="O60" s="1">
        <f>'Y1'!M7</f>
        <v>24</v>
      </c>
    </row>
    <row r="62" spans="1:16" ht="25.5" x14ac:dyDescent="0.2">
      <c r="A62" t="s">
        <v>383</v>
      </c>
      <c r="C62" s="12" t="s">
        <v>57</v>
      </c>
      <c r="D62" s="12" t="s">
        <v>58</v>
      </c>
      <c r="E62" s="8"/>
      <c r="F62" s="54" t="s">
        <v>380</v>
      </c>
      <c r="G62" s="55" t="s">
        <v>314</v>
      </c>
      <c r="H62" s="12" t="s">
        <v>61</v>
      </c>
      <c r="I62" s="12" t="s">
        <v>4</v>
      </c>
      <c r="J62" s="8" t="s">
        <v>200</v>
      </c>
      <c r="K62" s="8" t="s">
        <v>199</v>
      </c>
      <c r="L62" s="12" t="s">
        <v>63</v>
      </c>
      <c r="M62" s="12" t="s">
        <v>64</v>
      </c>
      <c r="N62" s="12"/>
      <c r="O62" s="55" t="s">
        <v>314</v>
      </c>
    </row>
    <row r="63" spans="1:16" ht="25.5" x14ac:dyDescent="0.2">
      <c r="C63" s="12" t="s">
        <v>66</v>
      </c>
      <c r="D63" s="12" t="s">
        <v>66</v>
      </c>
      <c r="E63" s="8"/>
      <c r="F63" s="54" t="s">
        <v>67</v>
      </c>
      <c r="G63" s="12" t="s">
        <v>27</v>
      </c>
      <c r="H63" s="12" t="s">
        <v>248</v>
      </c>
      <c r="I63" s="8" t="s">
        <v>69</v>
      </c>
      <c r="J63" s="12" t="s">
        <v>70</v>
      </c>
      <c r="K63" s="12" t="s">
        <v>71</v>
      </c>
      <c r="L63" s="12" t="s">
        <v>72</v>
      </c>
      <c r="M63" s="12" t="s">
        <v>72</v>
      </c>
      <c r="N63" s="12" t="s">
        <v>73</v>
      </c>
      <c r="O63" s="12" t="s">
        <v>74</v>
      </c>
    </row>
    <row r="64" spans="1:16" ht="38.25" x14ac:dyDescent="0.2">
      <c r="A64" t="s">
        <v>28</v>
      </c>
      <c r="C64" s="12" t="s">
        <v>75</v>
      </c>
      <c r="D64" s="8" t="s">
        <v>359</v>
      </c>
      <c r="E64" s="8"/>
      <c r="F64" s="54" t="s">
        <v>76</v>
      </c>
      <c r="G64" s="12" t="s">
        <v>77</v>
      </c>
      <c r="H64" s="8" t="s">
        <v>247</v>
      </c>
      <c r="I64" s="52" t="s">
        <v>364</v>
      </c>
      <c r="J64" s="12" t="s">
        <v>80</v>
      </c>
      <c r="K64" s="12" t="s">
        <v>81</v>
      </c>
      <c r="L64" s="61" t="str">
        <f>+'Y1'!J13</f>
        <v>(EX. C,                            PG.23C)</v>
      </c>
      <c r="M64" s="8" t="s">
        <v>217</v>
      </c>
      <c r="N64" s="12" t="s">
        <v>72</v>
      </c>
      <c r="O64" s="12" t="s">
        <v>83</v>
      </c>
    </row>
    <row r="65" spans="1:15" x14ac:dyDescent="0.2">
      <c r="C65" s="7">
        <v>-1</v>
      </c>
      <c r="D65" s="7">
        <v>-2</v>
      </c>
      <c r="E65" s="8"/>
      <c r="F65" s="7">
        <v>-3</v>
      </c>
      <c r="G65" s="7">
        <v>-4</v>
      </c>
      <c r="H65" s="7">
        <v>-5</v>
      </c>
      <c r="I65" s="7">
        <v>-6</v>
      </c>
      <c r="J65" s="7">
        <v>-7</v>
      </c>
      <c r="K65" s="7">
        <v>-8</v>
      </c>
      <c r="L65" s="7">
        <v>-9</v>
      </c>
      <c r="M65" s="7">
        <v>-10</v>
      </c>
      <c r="N65" s="7">
        <v>-11</v>
      </c>
      <c r="O65" s="7">
        <v>-12</v>
      </c>
    </row>
    <row r="66" spans="1:15" x14ac:dyDescent="0.2">
      <c r="C66" s="12"/>
      <c r="D66" s="12"/>
      <c r="E66" s="8"/>
      <c r="F66" s="12" t="s">
        <v>372</v>
      </c>
      <c r="G66" s="12"/>
      <c r="H66" s="12"/>
      <c r="I66" s="12" t="s">
        <v>85</v>
      </c>
      <c r="J66" s="12"/>
      <c r="K66" s="12" t="s">
        <v>86</v>
      </c>
      <c r="L66" s="12"/>
      <c r="M66" s="12" t="s">
        <v>87</v>
      </c>
      <c r="N66" s="12" t="s">
        <v>88</v>
      </c>
      <c r="O66" s="12" t="s">
        <v>89</v>
      </c>
    </row>
    <row r="67" spans="1:15" x14ac:dyDescent="0.2">
      <c r="A67" t="s">
        <v>40</v>
      </c>
      <c r="C67" s="3"/>
      <c r="D67" s="3"/>
      <c r="E67" s="74"/>
      <c r="F67" s="3"/>
      <c r="G67" s="3"/>
      <c r="H67" s="6"/>
      <c r="I67" s="3"/>
      <c r="J67" s="18"/>
      <c r="K67" s="3"/>
      <c r="L67" s="3"/>
      <c r="M67" s="3"/>
      <c r="N67" s="3"/>
      <c r="O67" s="3"/>
    </row>
    <row r="68" spans="1:15" x14ac:dyDescent="0.2">
      <c r="A68" t="s">
        <v>41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42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 t="s">
        <v>38</v>
      </c>
      <c r="K69" s="10">
        <v>0</v>
      </c>
      <c r="L69" s="10">
        <v>0</v>
      </c>
      <c r="M69" s="10">
        <f>G69*0.05</f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43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A71" t="s">
        <v>44</v>
      </c>
      <c r="C71" s="3">
        <v>0</v>
      </c>
      <c r="D71" s="6">
        <v>0</v>
      </c>
      <c r="E71" s="74"/>
      <c r="F71" s="19">
        <v>0</v>
      </c>
      <c r="G71" s="10">
        <v>0</v>
      </c>
      <c r="H71" s="6">
        <v>0</v>
      </c>
      <c r="I71" s="11">
        <f>D71*H71</f>
        <v>0</v>
      </c>
      <c r="J71" s="18">
        <v>0</v>
      </c>
      <c r="K71" s="10">
        <f>ROUND(I71*J71,0)</f>
        <v>0</v>
      </c>
      <c r="L71" s="10">
        <v>0</v>
      </c>
      <c r="M71" s="10">
        <v>0</v>
      </c>
      <c r="N71" s="10">
        <f>+L71+M71</f>
        <v>0</v>
      </c>
      <c r="O71" s="10">
        <f>+G71+K71+N71</f>
        <v>0</v>
      </c>
    </row>
    <row r="72" spans="1:15" x14ac:dyDescent="0.2"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389</v>
      </c>
      <c r="C73" s="3"/>
      <c r="D73" s="6"/>
      <c r="E73" s="74"/>
      <c r="F73" s="19"/>
      <c r="G73" s="10"/>
      <c r="H73" s="6"/>
      <c r="I73" s="11"/>
      <c r="J73" s="18"/>
      <c r="K73" s="10"/>
      <c r="L73" s="10"/>
      <c r="M73" s="10"/>
      <c r="N73" s="10"/>
      <c r="O73" s="10"/>
    </row>
    <row r="74" spans="1:15" x14ac:dyDescent="0.2">
      <c r="A74" t="s">
        <v>390</v>
      </c>
      <c r="C74" s="3">
        <v>0</v>
      </c>
      <c r="D74" s="6">
        <v>0</v>
      </c>
      <c r="E74" s="74"/>
      <c r="F74" s="19">
        <v>0</v>
      </c>
      <c r="G74" s="10">
        <v>0</v>
      </c>
      <c r="H74" s="6">
        <v>0</v>
      </c>
      <c r="I74" s="11">
        <f>D74*H74</f>
        <v>0</v>
      </c>
      <c r="J74" s="18">
        <v>0.14802999999999999</v>
      </c>
      <c r="K74" s="10">
        <f>ROUND(I74*J74,0)</f>
        <v>0</v>
      </c>
      <c r="L74" s="77">
        <f>'22a&amp;b'!CK84</f>
        <v>0</v>
      </c>
      <c r="M74" s="10">
        <v>0</v>
      </c>
      <c r="N74" s="10">
        <f>+L74+M74</f>
        <v>0</v>
      </c>
      <c r="O74" s="10">
        <f>+G74+K74+N74</f>
        <v>0</v>
      </c>
    </row>
    <row r="75" spans="1:15" x14ac:dyDescent="0.2">
      <c r="A75" t="s">
        <v>349</v>
      </c>
      <c r="C75" s="3">
        <v>0</v>
      </c>
      <c r="D75" s="6">
        <v>0</v>
      </c>
      <c r="E75" s="74"/>
      <c r="F75" s="79">
        <v>0</v>
      </c>
      <c r="G75" s="10">
        <v>0</v>
      </c>
      <c r="H75" s="43">
        <v>0</v>
      </c>
      <c r="I75" s="11">
        <f>D75*H75</f>
        <v>0</v>
      </c>
      <c r="J75" s="18">
        <v>0.58599000000000001</v>
      </c>
      <c r="K75" s="10">
        <f>ROUND(I75*J75,0)</f>
        <v>0</v>
      </c>
      <c r="L75" s="77">
        <f>'22a&amp;b'!CK85</f>
        <v>0</v>
      </c>
      <c r="M75" s="10">
        <v>0</v>
      </c>
      <c r="N75" s="10">
        <f>+L75+M75</f>
        <v>0</v>
      </c>
      <c r="O75" s="10">
        <f>+G75+K75+N75</f>
        <v>0</v>
      </c>
    </row>
    <row r="76" spans="1:15" x14ac:dyDescent="0.2">
      <c r="C76" s="3"/>
      <c r="D76" s="6"/>
      <c r="E76" s="74"/>
      <c r="F76" s="19"/>
      <c r="G76" s="10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388</v>
      </c>
      <c r="C77" s="3"/>
      <c r="D77" s="6"/>
      <c r="E77" s="74"/>
      <c r="F77" s="19"/>
      <c r="G77" s="10"/>
      <c r="H77" s="6"/>
      <c r="I77" s="11"/>
      <c r="J77" s="18"/>
      <c r="K77" s="10"/>
      <c r="L77" s="10"/>
      <c r="M77" s="10"/>
      <c r="N77" s="10"/>
      <c r="O77" s="10"/>
    </row>
    <row r="78" spans="1:15" x14ac:dyDescent="0.2">
      <c r="A78" t="s">
        <v>208</v>
      </c>
      <c r="C78" s="3">
        <v>0</v>
      </c>
      <c r="D78" s="6">
        <v>0</v>
      </c>
      <c r="E78" s="74"/>
      <c r="F78" s="19">
        <v>0</v>
      </c>
      <c r="G78" s="10">
        <v>0</v>
      </c>
      <c r="H78" s="43">
        <v>0</v>
      </c>
      <c r="I78" s="11">
        <f>D78*H78</f>
        <v>0</v>
      </c>
      <c r="J78" s="18">
        <v>6.4799999999999996E-2</v>
      </c>
      <c r="K78" s="10">
        <f>ROUND(I78*J78,0)</f>
        <v>0</v>
      </c>
      <c r="L78" s="77">
        <f>'22a&amp;b'!CK88</f>
        <v>0</v>
      </c>
      <c r="M78" s="10">
        <v>0</v>
      </c>
      <c r="N78" s="10">
        <f>+L78+M78</f>
        <v>0</v>
      </c>
      <c r="O78" s="10">
        <f>+G78+K78+N78</f>
        <v>0</v>
      </c>
    </row>
    <row r="79" spans="1:15" x14ac:dyDescent="0.2">
      <c r="A79" t="s">
        <v>207</v>
      </c>
      <c r="C79" s="3">
        <v>1</v>
      </c>
      <c r="D79" s="43">
        <v>0</v>
      </c>
      <c r="E79" s="74"/>
      <c r="F79" s="19">
        <f>ROUND(G79/C79,2)</f>
        <v>125</v>
      </c>
      <c r="G79" s="10">
        <v>125</v>
      </c>
      <c r="H79" s="43">
        <v>819</v>
      </c>
      <c r="I79" s="11">
        <f>D79*H79</f>
        <v>0</v>
      </c>
      <c r="J79" s="18">
        <v>6.4759999999999998E-2</v>
      </c>
      <c r="K79" s="10">
        <f>ROUND(I79*J79,0)</f>
        <v>0</v>
      </c>
      <c r="L79" s="77">
        <f>'22a&amp;b'!CK89</f>
        <v>30</v>
      </c>
      <c r="M79" s="10">
        <v>0</v>
      </c>
      <c r="N79" s="10">
        <f>+L79+M79</f>
        <v>30</v>
      </c>
      <c r="O79" s="10">
        <f>+G79+K79+N79</f>
        <v>155</v>
      </c>
    </row>
    <row r="80" spans="1:15" x14ac:dyDescent="0.2"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442</v>
      </c>
      <c r="C81" s="3"/>
      <c r="D81" s="6"/>
      <c r="E81" s="74"/>
      <c r="F81" s="19"/>
      <c r="G81" s="10"/>
      <c r="H81" s="6"/>
      <c r="I81" s="11"/>
      <c r="J81" s="18"/>
      <c r="K81" s="10"/>
      <c r="L81" s="10"/>
      <c r="M81" s="10"/>
      <c r="N81" s="10"/>
      <c r="O81" s="10"/>
    </row>
    <row r="82" spans="1:15" x14ac:dyDescent="0.2">
      <c r="A82" t="s">
        <v>208</v>
      </c>
      <c r="C82" s="6">
        <v>0</v>
      </c>
      <c r="D82" s="6">
        <v>0</v>
      </c>
      <c r="E82" s="8"/>
      <c r="F82" s="19">
        <v>0</v>
      </c>
      <c r="G82" s="17">
        <v>0</v>
      </c>
      <c r="H82" s="38">
        <v>0</v>
      </c>
      <c r="I82" s="11">
        <v>0</v>
      </c>
      <c r="J82" s="18">
        <v>0</v>
      </c>
      <c r="K82" s="10">
        <v>0</v>
      </c>
      <c r="L82" s="10">
        <f>'22a&amp;b'!CK94</f>
        <v>0</v>
      </c>
      <c r="M82" s="10">
        <v>0</v>
      </c>
      <c r="N82" s="10">
        <v>0</v>
      </c>
      <c r="O82" s="10">
        <v>0</v>
      </c>
    </row>
    <row r="83" spans="1:15" x14ac:dyDescent="0.2">
      <c r="A83" t="s">
        <v>397</v>
      </c>
      <c r="C83" s="6">
        <v>0</v>
      </c>
      <c r="D83" s="6">
        <v>0</v>
      </c>
      <c r="E83" s="8"/>
      <c r="F83" s="19">
        <v>0</v>
      </c>
      <c r="G83" s="17">
        <v>0</v>
      </c>
      <c r="H83" s="38">
        <v>0</v>
      </c>
      <c r="I83" s="11">
        <v>0</v>
      </c>
      <c r="J83" s="18">
        <v>0</v>
      </c>
      <c r="K83" s="10">
        <v>0</v>
      </c>
      <c r="L83" s="10">
        <f>'22a&amp;b'!CK95</f>
        <v>0</v>
      </c>
      <c r="M83" s="10">
        <v>0</v>
      </c>
      <c r="N83" s="10">
        <v>0</v>
      </c>
      <c r="O83" s="10">
        <v>0</v>
      </c>
    </row>
    <row r="84" spans="1:15" x14ac:dyDescent="0.2">
      <c r="C84" s="6"/>
      <c r="D84" s="6"/>
      <c r="E84" s="8"/>
      <c r="F84" s="19"/>
      <c r="G84" s="17"/>
      <c r="H84" s="38"/>
      <c r="I84" s="11"/>
      <c r="J84" s="18"/>
      <c r="K84" s="10"/>
      <c r="L84" s="10"/>
      <c r="M84" s="10"/>
      <c r="N84" s="10"/>
      <c r="O84" s="10"/>
    </row>
    <row r="85" spans="1:15" x14ac:dyDescent="0.2">
      <c r="A85" t="s">
        <v>396</v>
      </c>
      <c r="C85" s="6">
        <v>0</v>
      </c>
      <c r="D85" s="6">
        <v>0</v>
      </c>
      <c r="E85" s="8"/>
      <c r="F85" s="19">
        <v>0</v>
      </c>
      <c r="G85" s="17">
        <v>0</v>
      </c>
      <c r="H85" s="38">
        <v>0</v>
      </c>
      <c r="I85" s="11">
        <v>0</v>
      </c>
      <c r="J85" s="18">
        <v>0.25657000000000002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</row>
    <row r="86" spans="1:15" x14ac:dyDescent="0.2">
      <c r="C86" s="6" t="s">
        <v>201</v>
      </c>
      <c r="D86" s="6" t="s">
        <v>201</v>
      </c>
      <c r="E86" s="74"/>
      <c r="F86" s="6"/>
      <c r="G86" s="6" t="s">
        <v>201</v>
      </c>
      <c r="H86" s="6"/>
      <c r="I86" s="6" t="s">
        <v>201</v>
      </c>
      <c r="J86" s="6"/>
      <c r="K86" s="6" t="s">
        <v>201</v>
      </c>
      <c r="L86" s="6" t="s">
        <v>201</v>
      </c>
      <c r="M86" s="6" t="s">
        <v>201</v>
      </c>
      <c r="N86" s="6" t="s">
        <v>201</v>
      </c>
      <c r="O86" s="6" t="s">
        <v>201</v>
      </c>
    </row>
    <row r="87" spans="1:15" x14ac:dyDescent="0.2">
      <c r="A87" t="s">
        <v>45</v>
      </c>
      <c r="C87" s="3">
        <f>SUM(C68:C85)</f>
        <v>1</v>
      </c>
      <c r="D87" s="6">
        <f>SUM(D68:D85)</f>
        <v>0</v>
      </c>
      <c r="E87" s="74"/>
      <c r="F87" s="3"/>
      <c r="G87" s="17">
        <f>SUM(G68:G85)</f>
        <v>125</v>
      </c>
      <c r="H87" s="6"/>
      <c r="I87" s="6">
        <f>SUM(I68:I85)</f>
        <v>0</v>
      </c>
      <c r="J87" s="18"/>
      <c r="K87" s="17">
        <f>SUM(K68:K85)</f>
        <v>0</v>
      </c>
      <c r="L87" s="10">
        <f>SUM(L67:L85)</f>
        <v>30</v>
      </c>
      <c r="M87" s="10">
        <f>SUM(M67:M85)</f>
        <v>0</v>
      </c>
      <c r="N87" s="10">
        <f>SUM(N67:N85)</f>
        <v>30</v>
      </c>
      <c r="O87" s="10">
        <f>SUM(O67:O85)</f>
        <v>155</v>
      </c>
    </row>
    <row r="88" spans="1:15" x14ac:dyDescent="0.2">
      <c r="C88" s="3" t="s">
        <v>94</v>
      </c>
      <c r="D88" s="3" t="s">
        <v>94</v>
      </c>
      <c r="E88" s="74"/>
      <c r="F88" s="3"/>
      <c r="G88" s="3" t="s">
        <v>94</v>
      </c>
      <c r="H88" s="3"/>
      <c r="I88" s="3" t="s">
        <v>94</v>
      </c>
      <c r="J88" s="3"/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t="s">
        <v>46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s="1" t="s">
        <v>258</v>
      </c>
      <c r="C92" s="3"/>
      <c r="D92" s="3"/>
      <c r="E92" s="74"/>
      <c r="F92" s="3"/>
      <c r="G92" s="3"/>
      <c r="H92" s="6"/>
      <c r="I92" s="3"/>
      <c r="J92" s="18"/>
      <c r="K92" s="3"/>
      <c r="L92" s="3"/>
      <c r="M92" s="3"/>
      <c r="N92" s="3"/>
      <c r="O92" s="3"/>
    </row>
    <row r="93" spans="1:15" x14ac:dyDescent="0.2">
      <c r="A93" t="s">
        <v>41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48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 t="s">
        <v>38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49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A96" t="s">
        <v>50</v>
      </c>
      <c r="C96" s="3">
        <v>0</v>
      </c>
      <c r="D96" s="3">
        <v>0</v>
      </c>
      <c r="E96" s="74"/>
      <c r="F96" s="9">
        <v>0</v>
      </c>
      <c r="G96" s="10">
        <v>0</v>
      </c>
      <c r="H96" s="6">
        <v>0</v>
      </c>
      <c r="I96" s="3">
        <v>0</v>
      </c>
      <c r="J96" s="18">
        <v>0</v>
      </c>
      <c r="K96" s="10">
        <f>ROUND(I96*J96,0)</f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 x14ac:dyDescent="0.2">
      <c r="C97" s="6" t="s">
        <v>201</v>
      </c>
      <c r="D97" s="6" t="s">
        <v>201</v>
      </c>
      <c r="E97" s="74"/>
      <c r="F97" s="6"/>
      <c r="G97" s="6" t="s">
        <v>201</v>
      </c>
      <c r="H97" s="6"/>
      <c r="I97" s="6" t="s">
        <v>201</v>
      </c>
      <c r="J97" s="6"/>
      <c r="K97" s="6" t="s">
        <v>201</v>
      </c>
      <c r="L97" s="6" t="s">
        <v>201</v>
      </c>
      <c r="M97" s="6" t="s">
        <v>201</v>
      </c>
      <c r="N97" s="6" t="s">
        <v>201</v>
      </c>
      <c r="O97" s="6" t="s">
        <v>201</v>
      </c>
    </row>
    <row r="98" spans="1:15" x14ac:dyDescent="0.2">
      <c r="A98" t="s">
        <v>51</v>
      </c>
      <c r="C98" s="3">
        <v>0</v>
      </c>
      <c r="D98" s="3">
        <v>0</v>
      </c>
      <c r="E98" s="74"/>
      <c r="F98" s="3"/>
      <c r="G98" s="10">
        <v>0</v>
      </c>
      <c r="H98" s="6"/>
      <c r="I98" s="3">
        <v>0</v>
      </c>
      <c r="J98" s="18"/>
      <c r="K98" s="10">
        <v>0</v>
      </c>
      <c r="L98" s="10">
        <v>0</v>
      </c>
      <c r="M98" s="10">
        <v>0</v>
      </c>
      <c r="N98" s="10">
        <v>0</v>
      </c>
      <c r="O98" s="10">
        <v>0</v>
      </c>
    </row>
    <row r="99" spans="1:15" x14ac:dyDescent="0.2">
      <c r="C99" s="3" t="s">
        <v>94</v>
      </c>
      <c r="D99" s="3" t="s">
        <v>94</v>
      </c>
      <c r="E99" s="74"/>
      <c r="F99" s="3"/>
      <c r="G99" s="3" t="s">
        <v>94</v>
      </c>
      <c r="H99" s="3"/>
      <c r="I99" s="3" t="s">
        <v>94</v>
      </c>
      <c r="J99" s="3"/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</row>
    <row r="100" spans="1:15" x14ac:dyDescent="0.2">
      <c r="A100" t="s">
        <v>52</v>
      </c>
      <c r="C100" s="6">
        <f>+C54+C87+C98</f>
        <v>4796</v>
      </c>
      <c r="D100" s="6">
        <f>+D54+D87+D98</f>
        <v>10705</v>
      </c>
      <c r="E100" s="74"/>
      <c r="F100" s="3"/>
      <c r="G100" s="17">
        <f>+G54+G87+G98</f>
        <v>700440</v>
      </c>
      <c r="H100" s="6"/>
      <c r="I100" s="6">
        <f>+I54+I87+I98</f>
        <v>4275076</v>
      </c>
      <c r="J100" s="18"/>
      <c r="K100" s="17">
        <f>+K54+K87+K98</f>
        <v>245794</v>
      </c>
      <c r="L100" s="10">
        <f>+L54+L87+L98</f>
        <v>172345</v>
      </c>
      <c r="M100" s="10">
        <f>+M54+M87+M98</f>
        <v>6634</v>
      </c>
      <c r="N100" s="10">
        <f>+N54+N87+N98</f>
        <v>178979</v>
      </c>
      <c r="O100" s="10">
        <f>+O54+O87+O98</f>
        <v>1125213</v>
      </c>
    </row>
    <row r="101" spans="1:15" x14ac:dyDescent="0.2">
      <c r="C101" s="3" t="s">
        <v>94</v>
      </c>
      <c r="D101" s="3" t="s">
        <v>94</v>
      </c>
      <c r="E101" s="74"/>
      <c r="F101" s="3"/>
      <c r="G101" s="3" t="s">
        <v>94</v>
      </c>
      <c r="H101" s="3"/>
      <c r="I101" s="3" t="s">
        <v>94</v>
      </c>
      <c r="J101" s="3"/>
      <c r="K101" s="3" t="s">
        <v>94</v>
      </c>
      <c r="L101" s="3" t="s">
        <v>94</v>
      </c>
      <c r="M101" s="3" t="s">
        <v>94</v>
      </c>
      <c r="N101" s="3" t="s">
        <v>94</v>
      </c>
      <c r="O101" s="3" t="s">
        <v>94</v>
      </c>
    </row>
    <row r="103" spans="1:15" x14ac:dyDescent="0.2">
      <c r="A103" t="s">
        <v>108</v>
      </c>
    </row>
    <row r="104" spans="1:15" x14ac:dyDescent="0.2">
      <c r="A104" t="s">
        <v>378</v>
      </c>
    </row>
    <row r="105" spans="1:15" x14ac:dyDescent="0.2">
      <c r="A105" t="s">
        <v>360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C38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384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403</v>
      </c>
      <c r="O4" s="1">
        <f>+'Y1'!M7</f>
        <v>24</v>
      </c>
    </row>
    <row r="6" spans="1:15" ht="25.5" x14ac:dyDescent="0.2">
      <c r="A6" t="s">
        <v>421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267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+'22a&amp;b'!CJ13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f>58+52</f>
        <v>110</v>
      </c>
      <c r="D15" s="6">
        <v>814</v>
      </c>
      <c r="E15" s="8"/>
      <c r="F15" s="19">
        <f>ROUND(G15/C15,2)</f>
        <v>692.04</v>
      </c>
      <c r="G15" s="17">
        <v>76124</v>
      </c>
      <c r="H15" s="6">
        <v>1050</v>
      </c>
      <c r="I15" s="11">
        <f>D15*H15</f>
        <v>854700</v>
      </c>
      <c r="J15" s="18">
        <v>5.7459999999999997E-2</v>
      </c>
      <c r="K15" s="10">
        <f>ROUND(I15*J15,0)</f>
        <v>49111</v>
      </c>
      <c r="L15" s="10">
        <f>+'22a&amp;b'!CL16</f>
        <v>16253</v>
      </c>
      <c r="M15" s="10">
        <f>ROUND(G15*0,0)</f>
        <v>0</v>
      </c>
      <c r="N15" s="10">
        <f>+L15+M15</f>
        <v>16253</v>
      </c>
      <c r="O15" s="10">
        <f>+G15+K15+N15</f>
        <v>141488</v>
      </c>
    </row>
    <row r="16" spans="1:15" x14ac:dyDescent="0.2">
      <c r="A16" t="s">
        <v>254</v>
      </c>
      <c r="C16" s="6">
        <f>3+3</f>
        <v>6</v>
      </c>
      <c r="D16" s="6">
        <v>208</v>
      </c>
      <c r="E16" s="8"/>
      <c r="F16" s="19">
        <f>ROUND(G16/C16,2)</f>
        <v>140.16999999999999</v>
      </c>
      <c r="G16" s="17">
        <f>252+589</f>
        <v>841</v>
      </c>
      <c r="H16" s="6">
        <v>448</v>
      </c>
      <c r="I16" s="11">
        <f>D16*H16</f>
        <v>93184</v>
      </c>
      <c r="J16" s="18">
        <v>5.7459999999999997E-2</v>
      </c>
      <c r="K16" s="10">
        <f>ROUND(I16*J16,0)</f>
        <v>5354</v>
      </c>
      <c r="L16" s="10">
        <f>+IF(+'22a&amp;b'!CL17,0,+'22a&amp;b'!CL17)</f>
        <v>0</v>
      </c>
      <c r="M16" s="10">
        <f>ROUND(G16*0.05,0)</f>
        <v>42</v>
      </c>
      <c r="N16" s="10">
        <f>+L16+M16</f>
        <v>42</v>
      </c>
      <c r="O16" s="10">
        <f>+G16+K16+N16</f>
        <v>6237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+'22a&amp;b'!CL19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+'22a&amp;b'!CL22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+'22a&amp;b'!CL23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f>38+56</f>
        <v>94</v>
      </c>
      <c r="D25" s="6">
        <v>442</v>
      </c>
      <c r="E25" s="8"/>
      <c r="F25" s="19">
        <f>ROUND(G25/C25,2)</f>
        <v>502.11</v>
      </c>
      <c r="G25" s="17">
        <f>16200+30998</f>
        <v>47198</v>
      </c>
      <c r="H25" s="6">
        <v>1403</v>
      </c>
      <c r="I25" s="11">
        <f>D25*H25</f>
        <v>620126</v>
      </c>
      <c r="J25" s="18">
        <v>5.7500000000000002E-2</v>
      </c>
      <c r="K25" s="10">
        <f>ROUND(I25*J25,0)</f>
        <v>35657</v>
      </c>
      <c r="L25" s="10">
        <f>+'22a&amp;b'!CL26</f>
        <v>27615</v>
      </c>
      <c r="M25" s="10">
        <v>0</v>
      </c>
      <c r="N25" s="10">
        <f>+L25+M25</f>
        <v>27615</v>
      </c>
      <c r="O25" s="10">
        <f>+G25+K25+N25</f>
        <v>110470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f>37+31</f>
        <v>68</v>
      </c>
      <c r="D28" s="6">
        <v>624</v>
      </c>
      <c r="E28" s="8"/>
      <c r="F28" s="19">
        <f>ROUND(G28/C28,2)</f>
        <v>680.15</v>
      </c>
      <c r="G28" s="17">
        <f>18150+28100</f>
        <v>46250</v>
      </c>
      <c r="H28" s="6">
        <v>731</v>
      </c>
      <c r="I28" s="11">
        <f>D28*H28</f>
        <v>456144</v>
      </c>
      <c r="J28" s="18">
        <v>5.7450000000000001E-2</v>
      </c>
      <c r="K28" s="10">
        <f>ROUND(I28*J28,0)</f>
        <v>26205</v>
      </c>
      <c r="L28" s="10">
        <f>+'22a&amp;b'!CL29</f>
        <v>6393</v>
      </c>
      <c r="M28" s="10">
        <v>0</v>
      </c>
      <c r="N28" s="10">
        <f>+L28+M28</f>
        <v>6393</v>
      </c>
      <c r="O28" s="10">
        <f>+G28+K28+N28</f>
        <v>78848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>ROUND(I29*J29,0)</f>
        <v>0</v>
      </c>
      <c r="L29" s="10">
        <f>+'22a&amp;b'!CL30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f>296+349</f>
        <v>645</v>
      </c>
      <c r="D31" s="6">
        <v>3039</v>
      </c>
      <c r="E31" s="8"/>
      <c r="F31" s="19">
        <f>ROUND(G31/C31,2)</f>
        <v>346.52</v>
      </c>
      <c r="G31" s="17">
        <v>223503</v>
      </c>
      <c r="H31" s="38">
        <v>283</v>
      </c>
      <c r="I31" s="11">
        <f>D31*H31</f>
        <v>860037</v>
      </c>
      <c r="J31" s="18">
        <v>5.7520000000000002E-2</v>
      </c>
      <c r="K31" s="10">
        <f>ROUND(I31*J31,0)</f>
        <v>49469</v>
      </c>
      <c r="L31" s="10">
        <f>+'22a&amp;b'!CL32</f>
        <v>9456</v>
      </c>
      <c r="M31" s="10">
        <v>0</v>
      </c>
      <c r="N31" s="10">
        <f>+L31+M31</f>
        <v>9456</v>
      </c>
      <c r="O31" s="10">
        <f>+G31+K31+N31</f>
        <v>282428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x14ac:dyDescent="0.2">
      <c r="A34" t="s">
        <v>353</v>
      </c>
      <c r="C34" s="6">
        <f>78+76</f>
        <v>154</v>
      </c>
      <c r="D34" s="6">
        <v>328</v>
      </c>
      <c r="E34" s="8" t="s">
        <v>170</v>
      </c>
      <c r="F34" s="19">
        <f>ROUND(G34/C34,2)</f>
        <v>452.59</v>
      </c>
      <c r="G34" s="80">
        <f>31050+38649</f>
        <v>69699</v>
      </c>
      <c r="H34" s="38">
        <v>728</v>
      </c>
      <c r="I34" s="11">
        <f>D34*H34</f>
        <v>238784</v>
      </c>
      <c r="J34" s="18">
        <v>5.7480000000000003E-2</v>
      </c>
      <c r="K34" s="10">
        <f>ROUND(I34*J34,0)</f>
        <v>13725</v>
      </c>
      <c r="L34" s="10">
        <f>+'22a&amp;b'!CL35</f>
        <v>12030</v>
      </c>
      <c r="M34" s="10">
        <v>0</v>
      </c>
      <c r="N34" s="10">
        <f>+L34+M34</f>
        <v>12030</v>
      </c>
      <c r="O34" s="10">
        <f>+G34+K34+N34</f>
        <v>95454</v>
      </c>
    </row>
    <row r="35" spans="1:15" x14ac:dyDescent="0.2">
      <c r="A35" t="s">
        <v>349</v>
      </c>
      <c r="C35" s="6">
        <f>93+119</f>
        <v>212</v>
      </c>
      <c r="D35" s="6">
        <v>608</v>
      </c>
      <c r="E35" s="8" t="s">
        <v>170</v>
      </c>
      <c r="F35" s="19">
        <f>ROUND(G35/C35,2)</f>
        <v>429.25</v>
      </c>
      <c r="G35" s="80">
        <f>38700+52300</f>
        <v>91000</v>
      </c>
      <c r="H35" s="38">
        <v>923</v>
      </c>
      <c r="I35" s="11">
        <f>D35*H35</f>
        <v>561184</v>
      </c>
      <c r="J35" s="18">
        <v>5.7500000000000002E-2</v>
      </c>
      <c r="K35" s="10">
        <f>ROUND(I35*J35,0)</f>
        <v>32268</v>
      </c>
      <c r="L35" s="10">
        <f>+'22a&amp;b'!CL36</f>
        <v>25033</v>
      </c>
      <c r="M35" s="10">
        <v>0</v>
      </c>
      <c r="N35" s="10">
        <f>+L35+M35</f>
        <v>25033</v>
      </c>
      <c r="O35" s="10">
        <f>+G35+K35+N35</f>
        <v>148301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f>481+457</f>
        <v>938</v>
      </c>
      <c r="D37" s="6">
        <v>2034</v>
      </c>
      <c r="E37" s="8" t="s">
        <v>170</v>
      </c>
      <c r="F37" s="19">
        <f>ROUND(G37/C37,2)</f>
        <v>12.4</v>
      </c>
      <c r="G37" s="17">
        <f>0+11635</f>
        <v>11635</v>
      </c>
      <c r="H37" s="38">
        <v>48</v>
      </c>
      <c r="I37" s="11">
        <f>D37*H37</f>
        <v>97632</v>
      </c>
      <c r="J37" s="18">
        <v>5.7140000000000003E-2</v>
      </c>
      <c r="K37" s="10">
        <f>ROUND(I37*J37,0)</f>
        <v>5579</v>
      </c>
      <c r="L37" s="10">
        <f>+'22a&amp;b'!CL38</f>
        <v>1613</v>
      </c>
      <c r="M37" s="10">
        <v>0</v>
      </c>
      <c r="N37" s="10">
        <f>+L37+M37</f>
        <v>1613</v>
      </c>
      <c r="O37" s="10">
        <f>+G37+K37+N37</f>
        <v>18827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s="42" customFormat="1" x14ac:dyDescent="0.2">
      <c r="A39" s="96" t="s">
        <v>351</v>
      </c>
      <c r="C39" s="43">
        <f>281+2237</f>
        <v>2518</v>
      </c>
      <c r="D39" s="43">
        <v>5442</v>
      </c>
      <c r="E39" s="8" t="s">
        <v>170</v>
      </c>
      <c r="F39" s="79">
        <f>ROUND(G39/C39,2)</f>
        <v>19.93</v>
      </c>
      <c r="G39" s="80">
        <v>50179</v>
      </c>
      <c r="H39" s="78">
        <v>50</v>
      </c>
      <c r="I39" s="81">
        <f>D39*H39</f>
        <v>272100</v>
      </c>
      <c r="J39" s="95">
        <v>5.7680000000000002E-2</v>
      </c>
      <c r="K39" s="77">
        <f>ROUND(I39*J39,0)</f>
        <v>15695</v>
      </c>
      <c r="L39" s="77">
        <f>+'22a&amp;b'!CL40</f>
        <v>9871</v>
      </c>
      <c r="M39" s="77">
        <v>0</v>
      </c>
      <c r="N39" s="77">
        <f>+L39+M39</f>
        <v>9871</v>
      </c>
      <c r="O39" s="77">
        <f>+G39+K39+N39</f>
        <v>75745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77764</v>
      </c>
      <c r="D42" s="6">
        <v>20801</v>
      </c>
      <c r="E42" s="8"/>
      <c r="F42" s="19">
        <f>ROUND(G42/C42,2)</f>
        <v>1.82</v>
      </c>
      <c r="G42" s="17">
        <v>141810</v>
      </c>
      <c r="H42" s="38">
        <v>17</v>
      </c>
      <c r="I42" s="11">
        <f>D42*H42</f>
        <v>353617</v>
      </c>
      <c r="J42" s="18">
        <v>5.8180000000000003E-2</v>
      </c>
      <c r="K42" s="10">
        <f>ROUND(I42*J42,0)</f>
        <v>20573</v>
      </c>
      <c r="L42" s="10">
        <f>+'22a&amp;b'!CL43</f>
        <v>24107</v>
      </c>
      <c r="M42" s="10">
        <v>0</v>
      </c>
      <c r="N42" s="10">
        <f>+L42+M42</f>
        <v>24107</v>
      </c>
      <c r="O42" s="10">
        <f>+G42+K42+N42</f>
        <v>186490</v>
      </c>
    </row>
    <row r="43" spans="1:15" x14ac:dyDescent="0.2">
      <c r="A43" t="s">
        <v>399</v>
      </c>
      <c r="C43" s="6">
        <v>0</v>
      </c>
      <c r="D43" s="6">
        <v>0</v>
      </c>
      <c r="E43" s="8"/>
      <c r="F43" s="19">
        <v>0</v>
      </c>
      <c r="G43" s="17">
        <v>8</v>
      </c>
      <c r="H43" s="38">
        <v>15</v>
      </c>
      <c r="I43" s="11">
        <f>D43*H43</f>
        <v>0</v>
      </c>
      <c r="J43" s="18">
        <v>5.7930000000000002E-2</v>
      </c>
      <c r="K43" s="10">
        <f>ROUND(I43*J43,0)</f>
        <v>0</v>
      </c>
      <c r="L43" s="10">
        <f>+'22a&amp;b'!CL44</f>
        <v>0</v>
      </c>
      <c r="M43" s="10">
        <v>0</v>
      </c>
      <c r="N43" s="10">
        <f>+L43+M43</f>
        <v>0</v>
      </c>
      <c r="O43" s="10">
        <f>+G43+K43+N43</f>
        <v>8</v>
      </c>
    </row>
    <row r="44" spans="1:15" s="42" customFormat="1" x14ac:dyDescent="0.2">
      <c r="A44" s="42" t="s">
        <v>398</v>
      </c>
      <c r="C44" s="43">
        <v>0</v>
      </c>
      <c r="D44" s="43">
        <v>0</v>
      </c>
      <c r="E44" s="94"/>
      <c r="F44" s="79">
        <v>0</v>
      </c>
      <c r="G44" s="80">
        <v>259</v>
      </c>
      <c r="H44" s="78">
        <v>21</v>
      </c>
      <c r="I44" s="81">
        <f>D44*H44</f>
        <v>0</v>
      </c>
      <c r="J44" s="95">
        <v>5.8540000000000002E-2</v>
      </c>
      <c r="K44" s="77">
        <f>ROUND(I44*J44,0)</f>
        <v>0</v>
      </c>
      <c r="L44" s="77">
        <f>+'22a&amp;b'!CL45</f>
        <v>0</v>
      </c>
      <c r="M44" s="77">
        <v>0</v>
      </c>
      <c r="N44" s="77">
        <f>+L44+M44</f>
        <v>0</v>
      </c>
      <c r="O44" s="77">
        <f>+G44+K44+N44</f>
        <v>259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64</v>
      </c>
      <c r="D47" s="6">
        <v>19</v>
      </c>
      <c r="E47" s="8"/>
      <c r="F47" s="19">
        <f>ROUND(G47/C47,2)</f>
        <v>50</v>
      </c>
      <c r="G47" s="80">
        <f>0+3200</f>
        <v>3200</v>
      </c>
      <c r="H47" s="38">
        <v>155</v>
      </c>
      <c r="I47" s="11">
        <f>D47*H47</f>
        <v>2945</v>
      </c>
      <c r="J47" s="18">
        <v>5.7489999999999999E-2</v>
      </c>
      <c r="K47" s="10">
        <f>ROUND(I47*J47,0)</f>
        <v>169</v>
      </c>
      <c r="L47" s="10">
        <f>+'22a&amp;b'!CL56</f>
        <v>84</v>
      </c>
      <c r="M47" s="10">
        <v>0</v>
      </c>
      <c r="N47" s="10">
        <f>+L47+M47</f>
        <v>84</v>
      </c>
      <c r="O47" s="10">
        <f>+G47+K47+N47</f>
        <v>3453</v>
      </c>
    </row>
    <row r="48" spans="1:15" x14ac:dyDescent="0.2">
      <c r="A48" t="s">
        <v>207</v>
      </c>
      <c r="C48" s="6">
        <v>290</v>
      </c>
      <c r="D48" s="6">
        <v>148</v>
      </c>
      <c r="E48" s="8"/>
      <c r="F48" s="19">
        <f>ROUND(G48/C48,2)</f>
        <v>72.239999999999995</v>
      </c>
      <c r="G48" s="80">
        <f>3550+17400</f>
        <v>20950</v>
      </c>
      <c r="H48" s="38">
        <v>371</v>
      </c>
      <c r="I48" s="11">
        <f>D48*H48</f>
        <v>54908</v>
      </c>
      <c r="J48" s="18">
        <v>5.7489999999999999E-2</v>
      </c>
      <c r="K48" s="10">
        <f>ROUND(I48*J48,0)</f>
        <v>3157</v>
      </c>
      <c r="L48" s="10">
        <f>+'22a&amp;b'!CL57</f>
        <v>3300</v>
      </c>
      <c r="M48" s="10">
        <v>0</v>
      </c>
      <c r="N48" s="10">
        <f>+L48+M48</f>
        <v>3300</v>
      </c>
      <c r="O48" s="10">
        <f>+G48+K48+N48</f>
        <v>27407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v>0</v>
      </c>
      <c r="H51" s="38">
        <v>0</v>
      </c>
      <c r="I51" s="11">
        <v>0</v>
      </c>
      <c r="J51" s="18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1:16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v>0</v>
      </c>
      <c r="H52" s="38">
        <v>0</v>
      </c>
      <c r="I52" s="11">
        <v>0</v>
      </c>
      <c r="J52" s="18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82863</v>
      </c>
      <c r="D54" s="6">
        <f>SUM(D12:D52)</f>
        <v>34507</v>
      </c>
      <c r="E54" s="74"/>
      <c r="F54" s="3"/>
      <c r="G54" s="17">
        <f>SUM(G12:G52)</f>
        <v>782656</v>
      </c>
      <c r="H54" s="6"/>
      <c r="I54" s="6">
        <f>SUM(I12:I52)</f>
        <v>4465361</v>
      </c>
      <c r="J54" s="18"/>
      <c r="K54" s="17">
        <f>SUM(K12:K52)</f>
        <v>256962</v>
      </c>
      <c r="L54" s="10">
        <f>SUM(L12:L52)</f>
        <v>135755</v>
      </c>
      <c r="M54" s="10">
        <f>SUM(M12:M52)</f>
        <v>42</v>
      </c>
      <c r="N54" s="10">
        <f>SUM(N12:N52)</f>
        <v>135797</v>
      </c>
      <c r="O54" s="10">
        <f>SUM(O12:O52)</f>
        <v>1175415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384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404</v>
      </c>
      <c r="O59" s="1">
        <f>'Y1'!M7</f>
        <v>24</v>
      </c>
    </row>
    <row r="61" spans="1:16" ht="25.5" x14ac:dyDescent="0.2">
      <c r="A61" t="s">
        <v>421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314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267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+'22a&amp;b'!CL78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+'22a&amp;b'!CL79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+'22a&amp;b'!CL80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+'22a&amp;b'!CL81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1</v>
      </c>
      <c r="D73" s="6">
        <v>0</v>
      </c>
      <c r="E73" s="74"/>
      <c r="F73" s="19">
        <f>ROUND(G73/C73,2)</f>
        <v>300</v>
      </c>
      <c r="G73" s="77">
        <f>0+300</f>
        <v>300</v>
      </c>
      <c r="H73" s="6">
        <v>140</v>
      </c>
      <c r="I73" s="11">
        <f>D73*H73</f>
        <v>0</v>
      </c>
      <c r="J73" s="18">
        <v>6.4820000000000003E-2</v>
      </c>
      <c r="K73" s="10">
        <f>ROUND(I73*J73,0)</f>
        <v>0</v>
      </c>
      <c r="L73" s="10">
        <f>+'22a&amp;b'!CL84</f>
        <v>1</v>
      </c>
      <c r="M73" s="10">
        <v>0</v>
      </c>
      <c r="N73" s="10">
        <f>+L73+M73</f>
        <v>1</v>
      </c>
      <c r="O73" s="10">
        <f>+G73+K73+N73</f>
        <v>301</v>
      </c>
    </row>
    <row r="74" spans="1:15" x14ac:dyDescent="0.2">
      <c r="A74" t="s">
        <v>349</v>
      </c>
      <c r="C74" s="3">
        <v>15</v>
      </c>
      <c r="D74" s="6">
        <v>4</v>
      </c>
      <c r="E74" s="74"/>
      <c r="F74" s="19">
        <f>ROUND(G74/C74,2)</f>
        <v>256.67</v>
      </c>
      <c r="G74" s="77">
        <f>0+3850</f>
        <v>3850</v>
      </c>
      <c r="H74" s="6">
        <v>558</v>
      </c>
      <c r="I74" s="11">
        <f>D74*H74</f>
        <v>2232</v>
      </c>
      <c r="J74" s="18">
        <v>6.4820000000000003E-2</v>
      </c>
      <c r="K74" s="10">
        <f>ROUND(I74*J74,0)</f>
        <v>145</v>
      </c>
      <c r="L74" s="10">
        <f>+'22a&amp;b'!CL85</f>
        <v>872</v>
      </c>
      <c r="M74" s="10">
        <v>0</v>
      </c>
      <c r="N74" s="10">
        <f>+L74+M74</f>
        <v>872</v>
      </c>
      <c r="O74" s="10">
        <f>+G74+K74+N74</f>
        <v>4867</v>
      </c>
    </row>
    <row r="75" spans="1:15" x14ac:dyDescent="0.2">
      <c r="C75" s="3"/>
      <c r="D75" s="6"/>
      <c r="E75" s="74"/>
      <c r="F75" s="19"/>
      <c r="G75" s="77"/>
      <c r="H75" s="6"/>
      <c r="I75" s="11"/>
      <c r="J75" s="18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77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1</v>
      </c>
      <c r="D77" s="6">
        <v>0</v>
      </c>
      <c r="E77" s="74"/>
      <c r="F77" s="19">
        <f>ROUND(G77/C77,2)</f>
        <v>0</v>
      </c>
      <c r="G77" s="77">
        <v>0</v>
      </c>
      <c r="H77" s="6">
        <v>342.5</v>
      </c>
      <c r="I77" s="11">
        <f>D77*H77</f>
        <v>0</v>
      </c>
      <c r="J77" s="18">
        <v>6.4799999999999996E-2</v>
      </c>
      <c r="K77" s="10">
        <f>ROUND(I77*J77,0)</f>
        <v>0</v>
      </c>
      <c r="L77" s="10">
        <f>+'22a&amp;b'!CL88</f>
        <v>7</v>
      </c>
      <c r="M77" s="10">
        <v>0</v>
      </c>
      <c r="N77" s="10">
        <f>+L77+M77</f>
        <v>7</v>
      </c>
      <c r="O77" s="10">
        <f>+G77+K77+N77</f>
        <v>7</v>
      </c>
    </row>
    <row r="78" spans="1:15" x14ac:dyDescent="0.2">
      <c r="A78" t="s">
        <v>207</v>
      </c>
      <c r="C78" s="3">
        <v>18</v>
      </c>
      <c r="D78" s="6">
        <v>8</v>
      </c>
      <c r="E78" s="74"/>
      <c r="F78" s="19">
        <f>ROUND(G78/C78,2)</f>
        <v>72.22</v>
      </c>
      <c r="G78" s="77">
        <v>1300</v>
      </c>
      <c r="H78" s="6">
        <v>818</v>
      </c>
      <c r="I78" s="11">
        <f>D78*H78</f>
        <v>6544</v>
      </c>
      <c r="J78" s="18">
        <v>6.4759999999999998E-2</v>
      </c>
      <c r="K78" s="10">
        <f>ROUND(I78*J78,0)</f>
        <v>424</v>
      </c>
      <c r="L78" s="10">
        <f>+'22a&amp;b'!CL89</f>
        <v>532</v>
      </c>
      <c r="M78" s="10">
        <v>0</v>
      </c>
      <c r="N78" s="10">
        <f>+L78+M78</f>
        <v>532</v>
      </c>
      <c r="O78" s="10">
        <f>+G78+K78+N78</f>
        <v>2256</v>
      </c>
    </row>
    <row r="79" spans="1:15" x14ac:dyDescent="0.2">
      <c r="C79" s="3"/>
      <c r="D79" s="6"/>
      <c r="E79" s="74"/>
      <c r="F79" s="19"/>
      <c r="G79" s="77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77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v>0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v>0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</row>
    <row r="83" spans="1:15" x14ac:dyDescent="0.2">
      <c r="C83" s="6"/>
      <c r="D83" s="6"/>
      <c r="E83" s="8"/>
      <c r="F83" s="19"/>
      <c r="G83" s="80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v>0</v>
      </c>
      <c r="D84" s="6">
        <v>0</v>
      </c>
      <c r="E84" s="8"/>
      <c r="F84" s="19">
        <v>0</v>
      </c>
      <c r="G84" s="80">
        <v>0</v>
      </c>
      <c r="H84" s="6">
        <v>0</v>
      </c>
      <c r="I84" s="11">
        <f>D84*H84</f>
        <v>0</v>
      </c>
      <c r="J84" s="18">
        <v>6.6030000000000005E-2</v>
      </c>
      <c r="K84" s="10">
        <f>ROUND(I84*J84,0)</f>
        <v>0</v>
      </c>
      <c r="L84" s="10">
        <f>'22a&amp;b'!CL91</f>
        <v>0</v>
      </c>
      <c r="M84" s="10">
        <v>0</v>
      </c>
      <c r="N84" s="10">
        <f>+L84+M84</f>
        <v>0</v>
      </c>
      <c r="O84" s="10">
        <f>+G84+K84+N84</f>
        <v>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76">
        <f>SUM(C67:C84)</f>
        <v>35</v>
      </c>
      <c r="D86" s="76">
        <f>SUM(D67:D84)</f>
        <v>12</v>
      </c>
      <c r="E86" s="74"/>
      <c r="F86" s="3"/>
      <c r="G86" s="17">
        <f>SUM(G67:G84)</f>
        <v>5450</v>
      </c>
      <c r="H86" s="6"/>
      <c r="I86" s="76">
        <f>SUM(I67:I84)</f>
        <v>8776</v>
      </c>
      <c r="J86" s="18"/>
      <c r="K86" s="17">
        <f>SUM(K67:K84)</f>
        <v>569</v>
      </c>
      <c r="L86" s="17">
        <f>SUM(L67:L84)</f>
        <v>1412</v>
      </c>
      <c r="M86" s="17">
        <f>SUM(M67:M84)</f>
        <v>0</v>
      </c>
      <c r="N86" s="17">
        <f>SUM(N67:N84)</f>
        <v>1412</v>
      </c>
      <c r="O86" s="17">
        <f>SUM(O67:O84)</f>
        <v>7431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82898</v>
      </c>
      <c r="D99" s="6">
        <f>+D54+D86+D97</f>
        <v>34519</v>
      </c>
      <c r="E99" s="74"/>
      <c r="F99" s="3"/>
      <c r="G99" s="17">
        <f>+G54+G86+G97</f>
        <v>788106</v>
      </c>
      <c r="H99" s="6"/>
      <c r="I99" s="6">
        <f>+I54+I86+I97</f>
        <v>4474137</v>
      </c>
      <c r="J99" s="18"/>
      <c r="K99" s="17">
        <f>+K54+K86+K97</f>
        <v>257531</v>
      </c>
      <c r="L99" s="10">
        <f>+L54+L86+L97</f>
        <v>137167</v>
      </c>
      <c r="M99" s="10">
        <f>+M54+M86+M97</f>
        <v>42</v>
      </c>
      <c r="N99" s="10">
        <f>+N54+N86+N97</f>
        <v>137209</v>
      </c>
      <c r="O99" s="10">
        <f>+O54+O86+O97</f>
        <v>1182846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O6" sqref="O6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384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405</v>
      </c>
      <c r="O4" s="1">
        <f>+'Y1'!M7</f>
        <v>24</v>
      </c>
    </row>
    <row r="6" spans="1:15" ht="25.5" x14ac:dyDescent="0.2">
      <c r="A6" t="s">
        <v>423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+'22a&amp;b'!CM13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141</v>
      </c>
      <c r="D15" s="6">
        <v>769</v>
      </c>
      <c r="E15" s="8"/>
      <c r="F15" s="19">
        <f>ROUND(G15/C15,2)</f>
        <v>1428.37</v>
      </c>
      <c r="G15" s="17">
        <f>89129+112272-1</f>
        <v>201400</v>
      </c>
      <c r="H15" s="6">
        <v>526</v>
      </c>
      <c r="I15" s="11">
        <f>D15*H15</f>
        <v>404494</v>
      </c>
      <c r="J15" s="18">
        <v>5.7489999999999999E-2</v>
      </c>
      <c r="K15" s="10">
        <f>ROUND(I15*J15,0)</f>
        <v>23254</v>
      </c>
      <c r="L15" s="10">
        <f>+'22a&amp;b'!CM16</f>
        <v>20833</v>
      </c>
      <c r="M15" s="10">
        <f>ROUND(G15*0,0)</f>
        <v>0</v>
      </c>
      <c r="N15" s="10">
        <f>+L15+M15</f>
        <v>20833</v>
      </c>
      <c r="O15" s="10">
        <f>+G15+K15+N15</f>
        <v>245487</v>
      </c>
    </row>
    <row r="16" spans="1:15" x14ac:dyDescent="0.2">
      <c r="A16" t="s">
        <v>254</v>
      </c>
      <c r="C16" s="6">
        <v>23</v>
      </c>
      <c r="D16" s="6">
        <v>195</v>
      </c>
      <c r="E16" s="8"/>
      <c r="F16" s="19">
        <f>ROUND(G16/C16,2)</f>
        <v>114.3</v>
      </c>
      <c r="G16" s="17">
        <f>1388+1241</f>
        <v>2629</v>
      </c>
      <c r="H16" s="6">
        <v>224</v>
      </c>
      <c r="I16" s="11">
        <f>D16*H16</f>
        <v>43680</v>
      </c>
      <c r="J16" s="18">
        <v>5.7459999999999997E-2</v>
      </c>
      <c r="K16" s="10">
        <f>ROUND(I16*J16,0)</f>
        <v>2510</v>
      </c>
      <c r="L16" s="10">
        <f>+IF(+'22a&amp;b'!CM17,0,+'22a&amp;b'!CM17)</f>
        <v>0</v>
      </c>
      <c r="M16" s="10">
        <f>ROUND(G16*0.05,0)</f>
        <v>131</v>
      </c>
      <c r="N16" s="10">
        <f>+L16+M16</f>
        <v>131</v>
      </c>
      <c r="O16" s="10">
        <f>+G16+K16+N16</f>
        <v>5270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+'22a&amp;b'!CM19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+'22a&amp;b'!CM22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+'22a&amp;b'!CM23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114</v>
      </c>
      <c r="D25" s="6">
        <v>552</v>
      </c>
      <c r="E25" s="8"/>
      <c r="F25" s="19">
        <f>ROUND(G25/C25,2)</f>
        <v>417.85</v>
      </c>
      <c r="G25" s="17">
        <f>22078+25557</f>
        <v>47635</v>
      </c>
      <c r="H25" s="6">
        <v>702</v>
      </c>
      <c r="I25" s="11">
        <f>D25*H25</f>
        <v>387504</v>
      </c>
      <c r="J25" s="18">
        <v>5.7500000000000002E-2</v>
      </c>
      <c r="K25" s="10">
        <f>ROUND(I25*J25,0)</f>
        <v>22281</v>
      </c>
      <c r="L25" s="10">
        <f>+'22a&amp;b'!CM26</f>
        <v>33491</v>
      </c>
      <c r="M25" s="10">
        <v>0</v>
      </c>
      <c r="N25" s="10">
        <f>+L25+M25</f>
        <v>33491</v>
      </c>
      <c r="O25" s="10">
        <f>+G25+K25+N25</f>
        <v>103407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92</v>
      </c>
      <c r="D28" s="6">
        <v>603</v>
      </c>
      <c r="E28" s="8"/>
      <c r="F28" s="19">
        <f>ROUND(G28/C28,2)</f>
        <v>500.38</v>
      </c>
      <c r="G28" s="17">
        <f>22207+23828</f>
        <v>46035</v>
      </c>
      <c r="H28" s="6">
        <v>365</v>
      </c>
      <c r="I28" s="11">
        <f>D28*H28</f>
        <v>220095</v>
      </c>
      <c r="J28" s="18">
        <v>5.7489999999999999E-2</v>
      </c>
      <c r="K28" s="10">
        <f>ROUND(I28*J28,0)</f>
        <v>12653</v>
      </c>
      <c r="L28" s="10">
        <f>+'22a&amp;b'!CM29</f>
        <v>8649</v>
      </c>
      <c r="M28" s="10">
        <v>0</v>
      </c>
      <c r="N28" s="10">
        <f>+L28+M28</f>
        <v>8649</v>
      </c>
      <c r="O28" s="10">
        <f>+G28+K28+N28</f>
        <v>67337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>ROUND(I29*J29,0)</f>
        <v>0</v>
      </c>
      <c r="L29" s="10">
        <f>+'22a&amp;b'!CM30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556</v>
      </c>
      <c r="D31" s="6">
        <v>3354</v>
      </c>
      <c r="E31" s="8"/>
      <c r="F31" s="19">
        <f>ROUND(G31/C31,2)</f>
        <v>397.49</v>
      </c>
      <c r="G31" s="17">
        <f>121734+99270</f>
        <v>221004</v>
      </c>
      <c r="H31" s="38">
        <v>142</v>
      </c>
      <c r="I31" s="11">
        <f>D31*H31</f>
        <v>476268</v>
      </c>
      <c r="J31" s="18">
        <v>5.7570000000000003E-2</v>
      </c>
      <c r="K31" s="10">
        <f>ROUND(I31*J31,0)</f>
        <v>27419</v>
      </c>
      <c r="L31" s="10">
        <f>+'22a&amp;b'!CM32</f>
        <v>8151</v>
      </c>
      <c r="M31" s="10">
        <v>0</v>
      </c>
      <c r="N31" s="10">
        <f>+L31+M31</f>
        <v>8151</v>
      </c>
      <c r="O31" s="10">
        <f>+G31+K31+N31</f>
        <v>256574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x14ac:dyDescent="0.2">
      <c r="A34" t="s">
        <v>353</v>
      </c>
      <c r="C34" s="6">
        <v>121</v>
      </c>
      <c r="D34" s="6">
        <v>483</v>
      </c>
      <c r="E34" s="8" t="s">
        <v>170</v>
      </c>
      <c r="F34" s="19">
        <f>ROUND(G34/C34,2)</f>
        <v>480.5</v>
      </c>
      <c r="G34" s="17">
        <f>30062+28078</f>
        <v>58140</v>
      </c>
      <c r="H34" s="38">
        <v>365</v>
      </c>
      <c r="I34" s="11">
        <f>D34*H34</f>
        <v>176295</v>
      </c>
      <c r="J34" s="18">
        <v>5.7450000000000001E-2</v>
      </c>
      <c r="K34" s="10">
        <f>ROUND(I34*J34,0)</f>
        <v>10128</v>
      </c>
      <c r="L34" s="10">
        <f>+'22a&amp;b'!CM35</f>
        <v>9453</v>
      </c>
      <c r="M34" s="10">
        <v>0</v>
      </c>
      <c r="N34" s="10">
        <f>+L34+M34</f>
        <v>9453</v>
      </c>
      <c r="O34" s="10">
        <f>+G34+K34+N34</f>
        <v>77721</v>
      </c>
    </row>
    <row r="35" spans="1:15" x14ac:dyDescent="0.2">
      <c r="A35" t="s">
        <v>349</v>
      </c>
      <c r="C35" s="6">
        <v>194</v>
      </c>
      <c r="D35" s="6">
        <v>678</v>
      </c>
      <c r="E35" s="8" t="s">
        <v>170</v>
      </c>
      <c r="F35" s="19">
        <f>ROUND(G35/C35,2)</f>
        <v>466.22</v>
      </c>
      <c r="G35" s="17">
        <f>56068+34378</f>
        <v>90446</v>
      </c>
      <c r="H35" s="38">
        <v>461</v>
      </c>
      <c r="I35" s="11">
        <f>D35*H35</f>
        <v>312558</v>
      </c>
      <c r="J35" s="18">
        <v>5.7500000000000002E-2</v>
      </c>
      <c r="K35" s="10">
        <f>ROUND(I35*J35,0)</f>
        <v>17972</v>
      </c>
      <c r="L35" s="10">
        <f>+'22a&amp;b'!CM36</f>
        <v>22908</v>
      </c>
      <c r="M35" s="10">
        <v>0</v>
      </c>
      <c r="N35" s="10">
        <f>+L35+M35</f>
        <v>22908</v>
      </c>
      <c r="O35" s="10">
        <f>+G35+K35+N35</f>
        <v>131326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v>958</v>
      </c>
      <c r="D37" s="6">
        <v>3383</v>
      </c>
      <c r="E37" s="8" t="s">
        <v>170</v>
      </c>
      <c r="F37" s="19">
        <f>ROUND(G37/C37,2)</f>
        <v>12.9</v>
      </c>
      <c r="G37" s="17">
        <f>2+12359</f>
        <v>12361</v>
      </c>
      <c r="H37" s="38">
        <v>24</v>
      </c>
      <c r="I37" s="11">
        <f>D37*H37</f>
        <v>81192</v>
      </c>
      <c r="J37" s="18">
        <v>5.7500000000000002E-2</v>
      </c>
      <c r="K37" s="10">
        <f>ROUND(I37*J37,0)</f>
        <v>4669</v>
      </c>
      <c r="L37" s="10">
        <f>+'22a&amp;b'!CM38</f>
        <v>1648</v>
      </c>
      <c r="M37" s="10">
        <v>0</v>
      </c>
      <c r="N37" s="10">
        <f>+L37+M37</f>
        <v>1648</v>
      </c>
      <c r="O37" s="10">
        <f>+G37+K37+N37</f>
        <v>18678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v>2397</v>
      </c>
      <c r="D39" s="6">
        <v>3845</v>
      </c>
      <c r="E39" s="8" t="s">
        <v>170</v>
      </c>
      <c r="F39" s="19">
        <f>ROUND(G39/C39,2)</f>
        <v>3.89</v>
      </c>
      <c r="G39" s="17">
        <f>1976+7359</f>
        <v>9335</v>
      </c>
      <c r="H39" s="38">
        <v>26</v>
      </c>
      <c r="I39" s="11">
        <f>D39*H39</f>
        <v>99970</v>
      </c>
      <c r="J39" s="18">
        <v>5.765E-2</v>
      </c>
      <c r="K39" s="10">
        <f>ROUND(I39*J39,0)</f>
        <v>5763</v>
      </c>
      <c r="L39" s="10">
        <f>+'22a&amp;b'!CM40</f>
        <v>9396</v>
      </c>
      <c r="M39" s="10">
        <v>0</v>
      </c>
      <c r="N39" s="10">
        <f>+L39+M39</f>
        <v>9396</v>
      </c>
      <c r="O39" s="10">
        <f>+G39+K39+N39</f>
        <v>24494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55928</v>
      </c>
      <c r="D42" s="6">
        <v>28215</v>
      </c>
      <c r="E42" s="8"/>
      <c r="F42" s="19">
        <f>ROUND(G42/C42,2)</f>
        <v>3.06</v>
      </c>
      <c r="G42" s="17">
        <f>95278+75649</f>
        <v>170927</v>
      </c>
      <c r="H42" s="38">
        <v>8</v>
      </c>
      <c r="I42" s="11">
        <f>D42*H42</f>
        <v>225720</v>
      </c>
      <c r="J42" s="18">
        <v>5.8180000000000003E-2</v>
      </c>
      <c r="K42" s="10">
        <f>ROUND(I42*J42,0)</f>
        <v>13132</v>
      </c>
      <c r="L42" s="10">
        <f>+'22a&amp;b'!CM43</f>
        <v>17338</v>
      </c>
      <c r="M42" s="10">
        <v>0</v>
      </c>
      <c r="N42" s="10">
        <f>+L42+M42</f>
        <v>17338</v>
      </c>
      <c r="O42" s="10">
        <f>+G42+K42+N42</f>
        <v>201397</v>
      </c>
    </row>
    <row r="43" spans="1:15" x14ac:dyDescent="0.2">
      <c r="A43" t="s">
        <v>399</v>
      </c>
      <c r="C43" s="6">
        <v>0</v>
      </c>
      <c r="D43" s="43">
        <v>0</v>
      </c>
      <c r="E43" s="8"/>
      <c r="F43" s="19">
        <v>0</v>
      </c>
      <c r="G43" s="17">
        <f>9+17</f>
        <v>26</v>
      </c>
      <c r="H43" s="38">
        <v>7</v>
      </c>
      <c r="I43" s="11">
        <f>D43*H43</f>
        <v>0</v>
      </c>
      <c r="J43" s="18">
        <v>5.7930000000000002E-2</v>
      </c>
      <c r="K43" s="10">
        <f>ROUND(I43*J43,0)</f>
        <v>0</v>
      </c>
      <c r="L43" s="10">
        <f>+'22a&amp;b'!CM44</f>
        <v>0</v>
      </c>
      <c r="M43" s="10">
        <v>0</v>
      </c>
      <c r="N43" s="10">
        <f>+L43+M43</f>
        <v>0</v>
      </c>
      <c r="O43" s="10">
        <f>+G43+K43+N43</f>
        <v>26</v>
      </c>
    </row>
    <row r="44" spans="1:15" x14ac:dyDescent="0.2">
      <c r="A44" t="s">
        <v>398</v>
      </c>
      <c r="C44" s="6">
        <v>0</v>
      </c>
      <c r="D44" s="43">
        <v>0</v>
      </c>
      <c r="E44" s="8"/>
      <c r="F44" s="19">
        <v>0</v>
      </c>
      <c r="G44" s="80">
        <f>293+832</f>
        <v>1125</v>
      </c>
      <c r="H44" s="38">
        <v>10</v>
      </c>
      <c r="I44" s="11">
        <f>D44*H44</f>
        <v>0</v>
      </c>
      <c r="J44" s="18">
        <v>5.8540000000000002E-2</v>
      </c>
      <c r="K44" s="10">
        <f>ROUND(I44*J44,0)</f>
        <v>0</v>
      </c>
      <c r="L44" s="10">
        <v>0</v>
      </c>
      <c r="M44" s="10">
        <v>0</v>
      </c>
      <c r="N44" s="10">
        <f>+L44+M44</f>
        <v>0</v>
      </c>
      <c r="O44" s="10">
        <f>+G44+K44+N44</f>
        <v>1125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168</v>
      </c>
      <c r="D47" s="6">
        <v>101</v>
      </c>
      <c r="E47" s="8"/>
      <c r="F47" s="19">
        <f>ROUND(G47/C47,2)</f>
        <v>142.19</v>
      </c>
      <c r="G47" s="17">
        <f>17205+6683</f>
        <v>23888</v>
      </c>
      <c r="H47" s="38">
        <v>78</v>
      </c>
      <c r="I47" s="11">
        <f>D47*H47</f>
        <v>7878</v>
      </c>
      <c r="J47" s="18">
        <v>5.7489999999999999E-2</v>
      </c>
      <c r="K47" s="10">
        <f>ROUND(I47*J47,0)</f>
        <v>453</v>
      </c>
      <c r="L47" s="10">
        <f>+'22a&amp;b'!CM56</f>
        <v>220</v>
      </c>
      <c r="M47" s="10">
        <v>0</v>
      </c>
      <c r="N47" s="10">
        <f>+L47+M47</f>
        <v>220</v>
      </c>
      <c r="O47" s="10">
        <f>+G47+K47+N47</f>
        <v>24561</v>
      </c>
    </row>
    <row r="48" spans="1:15" x14ac:dyDescent="0.2">
      <c r="A48" t="s">
        <v>207</v>
      </c>
      <c r="C48" s="6">
        <v>440</v>
      </c>
      <c r="D48" s="6">
        <v>178</v>
      </c>
      <c r="E48" s="8"/>
      <c r="F48" s="19">
        <f>ROUND(G48/C48,2)</f>
        <v>118.61</v>
      </c>
      <c r="G48" s="17">
        <f>22905+29283</f>
        <v>52188</v>
      </c>
      <c r="H48" s="38">
        <v>185</v>
      </c>
      <c r="I48" s="11">
        <f>D48*H48</f>
        <v>32930</v>
      </c>
      <c r="J48" s="18">
        <v>5.7489999999999999E-2</v>
      </c>
      <c r="K48" s="10">
        <f>ROUND(I48*J48,0)</f>
        <v>1893</v>
      </c>
      <c r="L48" s="10">
        <f>+'22a&amp;b'!CM57</f>
        <v>5007</v>
      </c>
      <c r="M48" s="10">
        <v>0</v>
      </c>
      <c r="N48" s="10">
        <f>+L48+M48</f>
        <v>5007</v>
      </c>
      <c r="O48" s="10">
        <f>+G48+K48+N48</f>
        <v>59088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6</v>
      </c>
      <c r="D51" s="6">
        <v>1</v>
      </c>
      <c r="E51" s="8"/>
      <c r="F51" s="19">
        <f>ROUND(G51/C51,2)</f>
        <v>8624.83</v>
      </c>
      <c r="G51" s="17">
        <v>51749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'22a&amp;b'!CM60</f>
        <v>0</v>
      </c>
      <c r="M51" s="10">
        <v>0</v>
      </c>
      <c r="N51" s="10">
        <f>+L51+M51</f>
        <v>0</v>
      </c>
      <c r="O51" s="10">
        <f>+G51+K51+N51</f>
        <v>51749</v>
      </c>
    </row>
    <row r="52" spans="1:16" x14ac:dyDescent="0.2">
      <c r="A52" t="s">
        <v>397</v>
      </c>
      <c r="C52" s="6">
        <v>4</v>
      </c>
      <c r="D52" s="6">
        <v>1</v>
      </c>
      <c r="E52" s="8"/>
      <c r="F52" s="19">
        <f>ROUND(G52/C52,2)</f>
        <v>12937.25</v>
      </c>
      <c r="G52" s="17">
        <v>51749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'22a&amp;b'!CM61</f>
        <v>0</v>
      </c>
      <c r="M52" s="10">
        <v>0</v>
      </c>
      <c r="N52" s="10">
        <f>+L52+M52</f>
        <v>0</v>
      </c>
      <c r="O52" s="10">
        <f>+G52+K52+N52</f>
        <v>51749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61142</v>
      </c>
      <c r="D54" s="6">
        <f>SUM(D12:D52)</f>
        <v>42358</v>
      </c>
      <c r="E54" s="74"/>
      <c r="F54" s="3"/>
      <c r="G54" s="17">
        <f>SUM(G12:G52)</f>
        <v>1040637</v>
      </c>
      <c r="H54" s="6"/>
      <c r="I54" s="6">
        <f>SUM(I12:I52)</f>
        <v>2468584</v>
      </c>
      <c r="J54" s="18"/>
      <c r="K54" s="17">
        <f>SUM(K12:K52)</f>
        <v>142127</v>
      </c>
      <c r="L54" s="10">
        <f>SUM(L11:L52)</f>
        <v>137094</v>
      </c>
      <c r="M54" s="10">
        <f>SUM(M12:M52)</f>
        <v>131</v>
      </c>
      <c r="N54" s="10">
        <f>SUM(N12:N52)</f>
        <v>137225</v>
      </c>
      <c r="O54" s="10">
        <f>SUM(O12:O52)</f>
        <v>1319989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384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406</v>
      </c>
      <c r="O59" s="1">
        <f>'Y1'!M7</f>
        <v>24</v>
      </c>
    </row>
    <row r="61" spans="1:16" ht="25.5" x14ac:dyDescent="0.2">
      <c r="A61" t="s">
        <v>423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+'22a&amp;b'!CM78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+'22a&amp;b'!CM79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+'22a&amp;b'!CM80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+'22a&amp;b'!CM81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2</v>
      </c>
      <c r="D73" s="6">
        <v>1</v>
      </c>
      <c r="E73" s="74"/>
      <c r="F73" s="19">
        <f>ROUND(G73/C73,2)</f>
        <v>4053</v>
      </c>
      <c r="G73" s="80">
        <f>3309+4798-1</f>
        <v>8106</v>
      </c>
      <c r="H73" s="6">
        <v>71</v>
      </c>
      <c r="I73" s="11">
        <f>D73*H73</f>
        <v>71</v>
      </c>
      <c r="J73" s="18">
        <v>7.4469999999999995E-2</v>
      </c>
      <c r="K73" s="10">
        <f>ROUND(I73*J73,0)</f>
        <v>5</v>
      </c>
      <c r="L73" s="10">
        <f>+'22a&amp;b'!CM84</f>
        <v>2</v>
      </c>
      <c r="M73" s="10">
        <v>0</v>
      </c>
      <c r="N73" s="10">
        <f>+L73+M73</f>
        <v>2</v>
      </c>
      <c r="O73" s="10">
        <f>+G73+K73+N73</f>
        <v>8113</v>
      </c>
    </row>
    <row r="74" spans="1:15" x14ac:dyDescent="0.2">
      <c r="A74" t="s">
        <v>349</v>
      </c>
      <c r="C74" s="3">
        <v>6</v>
      </c>
      <c r="D74" s="6">
        <v>2</v>
      </c>
      <c r="E74" s="74"/>
      <c r="F74" s="19">
        <f>ROUND(G74/C74,2)</f>
        <v>1876.33</v>
      </c>
      <c r="G74" s="80">
        <f>5409+5849</f>
        <v>11258</v>
      </c>
      <c r="H74" s="6">
        <v>279</v>
      </c>
      <c r="I74" s="11">
        <f>D74*H74</f>
        <v>558</v>
      </c>
      <c r="J74" s="18">
        <v>7.4300000000000005E-2</v>
      </c>
      <c r="K74" s="10">
        <f>ROUND(I74*J74,0)</f>
        <v>41</v>
      </c>
      <c r="L74" s="10">
        <f>+'22a&amp;b'!CM85</f>
        <v>349</v>
      </c>
      <c r="M74" s="10">
        <v>0</v>
      </c>
      <c r="N74" s="10">
        <f>+L74+M74</f>
        <v>349</v>
      </c>
      <c r="O74" s="10">
        <f>+G74+K74+N74</f>
        <v>11648</v>
      </c>
    </row>
    <row r="75" spans="1:15" x14ac:dyDescent="0.2">
      <c r="C75" s="3"/>
      <c r="D75" s="6"/>
      <c r="E75" s="74"/>
      <c r="F75" s="19"/>
      <c r="G75" s="10"/>
      <c r="H75" s="6"/>
      <c r="I75" s="11"/>
      <c r="J75" s="18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45</v>
      </c>
      <c r="D77" s="6">
        <v>30</v>
      </c>
      <c r="E77" s="74"/>
      <c r="F77" s="19">
        <f>ROUND(G77/C77,2)</f>
        <v>223.56</v>
      </c>
      <c r="G77" s="77">
        <f>5830+4230</f>
        <v>10060</v>
      </c>
      <c r="H77" s="6">
        <v>172</v>
      </c>
      <c r="I77" s="11">
        <f>D77*H77</f>
        <v>5160</v>
      </c>
      <c r="J77" s="18">
        <v>7.424E-2</v>
      </c>
      <c r="K77" s="10">
        <f>ROUND(I77*J77,0)</f>
        <v>383</v>
      </c>
      <c r="L77" s="10">
        <f>+'22a&amp;b'!CM88</f>
        <v>326</v>
      </c>
      <c r="M77" s="10">
        <v>0</v>
      </c>
      <c r="N77" s="10">
        <f>+L77+M77</f>
        <v>326</v>
      </c>
      <c r="O77" s="10">
        <f>+G77+K77+N77</f>
        <v>10769</v>
      </c>
    </row>
    <row r="78" spans="1:15" x14ac:dyDescent="0.2">
      <c r="A78" t="s">
        <v>207</v>
      </c>
      <c r="C78" s="3">
        <v>88</v>
      </c>
      <c r="D78" s="6">
        <v>47</v>
      </c>
      <c r="E78" s="74"/>
      <c r="F78" s="19">
        <f>ROUND(G78/C78,2)</f>
        <v>178.81</v>
      </c>
      <c r="G78" s="77">
        <f>9730+6005</f>
        <v>15735</v>
      </c>
      <c r="H78" s="6">
        <v>410</v>
      </c>
      <c r="I78" s="11">
        <f>D78*H78</f>
        <v>19270</v>
      </c>
      <c r="J78" s="18">
        <v>7.4289999999999995E-2</v>
      </c>
      <c r="K78" s="10">
        <f>ROUND(I78*J78,0)</f>
        <v>1432</v>
      </c>
      <c r="L78" s="10">
        <f>+'22a&amp;b'!CM89</f>
        <v>2601</v>
      </c>
      <c r="M78" s="10">
        <v>0</v>
      </c>
      <c r="N78" s="10">
        <f>+L78+M78</f>
        <v>2601</v>
      </c>
      <c r="O78" s="10">
        <f>+G78+K78+N78</f>
        <v>19768</v>
      </c>
    </row>
    <row r="79" spans="1:15" x14ac:dyDescent="0.2">
      <c r="C79" s="3"/>
      <c r="D79" s="6"/>
      <c r="E79" s="74"/>
      <c r="F79" s="19"/>
      <c r="G79" s="10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v>7157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f>+G81+K81+N81</f>
        <v>7157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v>7157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f>+G82+K82+N82</f>
        <v>7157</v>
      </c>
    </row>
    <row r="83" spans="1:15" x14ac:dyDescent="0.2">
      <c r="C83" s="6"/>
      <c r="D83" s="6"/>
      <c r="E83" s="8"/>
      <c r="F83" s="19"/>
      <c r="G83" s="17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v>18</v>
      </c>
      <c r="D84" s="6">
        <v>2</v>
      </c>
      <c r="E84" s="8"/>
      <c r="F84" s="19">
        <f>ROUND(G84/C84,2)</f>
        <v>14017.44</v>
      </c>
      <c r="G84" s="80">
        <v>252314</v>
      </c>
      <c r="H84" s="38">
        <v>3739</v>
      </c>
      <c r="I84" s="11">
        <f>D84*H84</f>
        <v>7478</v>
      </c>
      <c r="J84" s="18">
        <v>7.5120000000000006E-2</v>
      </c>
      <c r="K84" s="10">
        <f>ROUND(I84*J84,0)</f>
        <v>562</v>
      </c>
      <c r="L84" s="10">
        <f>'22a&amp;b'!CM91</f>
        <v>42852</v>
      </c>
      <c r="M84" s="10">
        <v>0</v>
      </c>
      <c r="N84" s="10">
        <f>+L84+M84</f>
        <v>42852</v>
      </c>
      <c r="O84" s="10">
        <f>+G84+K84+N84</f>
        <v>295728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76">
        <f>SUM(C67:C84)</f>
        <v>159</v>
      </c>
      <c r="D86" s="76">
        <f>SUM(D67:D84)</f>
        <v>82</v>
      </c>
      <c r="E86" s="74"/>
      <c r="F86" s="3"/>
      <c r="G86" s="10">
        <f>SUM(G67:G84)</f>
        <v>311787</v>
      </c>
      <c r="H86" s="6"/>
      <c r="I86" s="76">
        <f>SUM(I67:I84)</f>
        <v>32537</v>
      </c>
      <c r="J86" s="18"/>
      <c r="K86" s="10">
        <f>SUM(K67:K84)</f>
        <v>2423</v>
      </c>
      <c r="L86" s="10">
        <f>SUM(L67:L84)</f>
        <v>46130</v>
      </c>
      <c r="M86" s="10">
        <f>SUM(M67:M84)</f>
        <v>0</v>
      </c>
      <c r="N86" s="10">
        <f>SUM(N67:N84)</f>
        <v>46130</v>
      </c>
      <c r="O86" s="10">
        <f>SUM(O67:O84)</f>
        <v>360340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61301</v>
      </c>
      <c r="D99" s="6">
        <f>+D54+D86+D97</f>
        <v>42440</v>
      </c>
      <c r="E99" s="74"/>
      <c r="F99" s="3"/>
      <c r="G99" s="17">
        <f>+G54+G86+G97</f>
        <v>1352424</v>
      </c>
      <c r="H99" s="6"/>
      <c r="I99" s="6">
        <f>+I54+I86+I97</f>
        <v>2501121</v>
      </c>
      <c r="J99" s="18"/>
      <c r="K99" s="17">
        <f>+K54+K86+K97</f>
        <v>144550</v>
      </c>
      <c r="L99" s="10">
        <f>+L54+L86+L97</f>
        <v>183224</v>
      </c>
      <c r="M99" s="10">
        <f>+M54+M86+M97</f>
        <v>131</v>
      </c>
      <c r="N99" s="10">
        <f>+N54+N86+N97</f>
        <v>183355</v>
      </c>
      <c r="O99" s="10">
        <f>+O54+O86+O97</f>
        <v>1680329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C11" activePane="bottomRight" state="frozen"/>
      <selection activeCell="O6" sqref="O6"/>
      <selection pane="topRight" activeCell="O6" sqref="O6"/>
      <selection pane="bottomLeft" activeCell="O6" sqref="O6"/>
      <selection pane="bottomRight" activeCell="D37" sqref="D37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424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425</v>
      </c>
      <c r="O4" s="1">
        <f>+'Y1'!M7</f>
        <v>24</v>
      </c>
    </row>
    <row r="6" spans="1:15" ht="25.5" x14ac:dyDescent="0.2">
      <c r="A6" t="s">
        <v>454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+'22a&amp;b'!CN13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v>142</v>
      </c>
      <c r="D15" s="6">
        <v>854</v>
      </c>
      <c r="E15" s="8"/>
      <c r="F15" s="19">
        <f>ROUND(G15/C15,2)</f>
        <v>1210.97</v>
      </c>
      <c r="G15" s="17">
        <f>118089+53869</f>
        <v>171958</v>
      </c>
      <c r="H15" s="6">
        <v>981</v>
      </c>
      <c r="I15" s="11">
        <f>D15*H15</f>
        <v>837774</v>
      </c>
      <c r="J15" s="18">
        <v>5.7489999999999999E-2</v>
      </c>
      <c r="K15" s="10">
        <f>ROUND(I15*J15,0)</f>
        <v>48164</v>
      </c>
      <c r="L15" s="10">
        <f>+'22a&amp;b'!CN16</f>
        <v>15221</v>
      </c>
      <c r="M15" s="10">
        <f>ROUND(G15*0,0)</f>
        <v>0</v>
      </c>
      <c r="N15" s="10">
        <f>+L15+M15</f>
        <v>15221</v>
      </c>
      <c r="O15" s="10">
        <f>+G15+K15+N15</f>
        <v>235343</v>
      </c>
    </row>
    <row r="16" spans="1:15" x14ac:dyDescent="0.2">
      <c r="A16" t="s">
        <v>254</v>
      </c>
      <c r="C16" s="6">
        <v>16</v>
      </c>
      <c r="D16" s="6">
        <v>165</v>
      </c>
      <c r="E16" s="8" t="s">
        <v>170</v>
      </c>
      <c r="F16" s="19">
        <f>ROUND(G16/C16,2)</f>
        <v>82.06</v>
      </c>
      <c r="G16" s="17">
        <f>1043+270</f>
        <v>1313</v>
      </c>
      <c r="H16" s="6">
        <v>437</v>
      </c>
      <c r="I16" s="11">
        <f>D16*H16</f>
        <v>72105</v>
      </c>
      <c r="J16" s="18">
        <v>5.7459999999999997E-2</v>
      </c>
      <c r="K16" s="10">
        <f>ROUND(I16*J16,0)</f>
        <v>4143</v>
      </c>
      <c r="L16" s="10">
        <v>0</v>
      </c>
      <c r="M16" s="10">
        <f>ROUND(G16*0.05,0)</f>
        <v>66</v>
      </c>
      <c r="N16" s="10">
        <f>+L16+M16</f>
        <v>66</v>
      </c>
      <c r="O16" s="10">
        <f>+G16+K16+N16</f>
        <v>5522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+'22a&amp;b'!CN19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+'22a&amp;b'!CN22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+'22a&amp;b'!CN23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v>110</v>
      </c>
      <c r="D25" s="6">
        <v>439</v>
      </c>
      <c r="E25" s="8" t="s">
        <v>170</v>
      </c>
      <c r="F25" s="19">
        <f>ROUND(G25/C25,2)</f>
        <v>478.64</v>
      </c>
      <c r="G25" s="17">
        <f>18900+33750</f>
        <v>52650</v>
      </c>
      <c r="H25" s="6">
        <v>1291</v>
      </c>
      <c r="I25" s="11">
        <f>D25*H25</f>
        <v>566749</v>
      </c>
      <c r="J25" s="18">
        <v>5.7500000000000002E-2</v>
      </c>
      <c r="K25" s="10">
        <f>ROUND(I25*J25,0)</f>
        <v>32588</v>
      </c>
      <c r="L25" s="10">
        <f>+'22a&amp;b'!CN26</f>
        <v>26043</v>
      </c>
      <c r="M25" s="10">
        <v>0</v>
      </c>
      <c r="N25" s="10">
        <f>+L25+M25</f>
        <v>26043</v>
      </c>
      <c r="O25" s="10">
        <f>+G25+K25+N25</f>
        <v>111281</v>
      </c>
    </row>
    <row r="26" spans="1:15" x14ac:dyDescent="0.2">
      <c r="C26" s="6"/>
      <c r="D26" s="6"/>
      <c r="E26" s="74"/>
      <c r="F26" s="19"/>
      <c r="G26" s="17"/>
      <c r="H26" s="6"/>
      <c r="I26" s="11"/>
      <c r="J26" s="18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18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v>79</v>
      </c>
      <c r="D28" s="6">
        <v>575</v>
      </c>
      <c r="E28" s="8" t="s">
        <v>170</v>
      </c>
      <c r="F28" s="19">
        <f>ROUND(G28/C28,2)</f>
        <v>550</v>
      </c>
      <c r="G28" s="17">
        <f>16500+26950</f>
        <v>43450</v>
      </c>
      <c r="H28" s="6">
        <v>841</v>
      </c>
      <c r="I28" s="11">
        <f>D28*H28</f>
        <v>483575</v>
      </c>
      <c r="J28" s="18">
        <v>5.7489999999999999E-2</v>
      </c>
      <c r="K28" s="10">
        <f>ROUND(I28*J28,0)</f>
        <v>27801</v>
      </c>
      <c r="L28" s="10">
        <f>+'22a&amp;b'!CN29</f>
        <v>6554</v>
      </c>
      <c r="M28" s="10">
        <v>0</v>
      </c>
      <c r="N28" s="10">
        <f>+L28+M28</f>
        <v>6554</v>
      </c>
      <c r="O28" s="10">
        <f>+G28+K28+N28</f>
        <v>77805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18">
        <v>0</v>
      </c>
      <c r="K29" s="10">
        <f>ROUND(I29*J29,0)</f>
        <v>0</v>
      </c>
      <c r="L29" s="10">
        <f>+'22a&amp;b'!CN30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18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v>646</v>
      </c>
      <c r="D31" s="6">
        <v>3301</v>
      </c>
      <c r="E31" s="8"/>
      <c r="F31" s="19">
        <f>ROUND(G31/C31,2)</f>
        <v>322.61</v>
      </c>
      <c r="G31" s="17">
        <f>91543+116865</f>
        <v>208408</v>
      </c>
      <c r="H31" s="38">
        <v>325</v>
      </c>
      <c r="I31" s="11">
        <f>D31*H31</f>
        <v>1072825</v>
      </c>
      <c r="J31" s="18">
        <v>5.7570000000000003E-2</v>
      </c>
      <c r="K31" s="10">
        <f>ROUND(I31*J31,0)</f>
        <v>61763</v>
      </c>
      <c r="L31" s="10">
        <f>+'22a&amp;b'!CN32</f>
        <v>4115</v>
      </c>
      <c r="M31" s="10">
        <v>0</v>
      </c>
      <c r="N31" s="10">
        <f>+L31+M31</f>
        <v>4115</v>
      </c>
      <c r="O31" s="10">
        <f>+G31+K31+N31</f>
        <v>274286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18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18"/>
      <c r="K33" s="10"/>
      <c r="L33" s="10"/>
      <c r="M33" s="10"/>
      <c r="N33" s="10"/>
      <c r="O33" s="10"/>
    </row>
    <row r="34" spans="1:15" s="42" customFormat="1" x14ac:dyDescent="0.2">
      <c r="A34" s="42" t="s">
        <v>353</v>
      </c>
      <c r="C34" s="43">
        <v>88</v>
      </c>
      <c r="D34" s="43">
        <v>208</v>
      </c>
      <c r="E34" s="94" t="s">
        <v>170</v>
      </c>
      <c r="F34" s="79">
        <f>ROUND(G34/C34,2)</f>
        <v>455.11</v>
      </c>
      <c r="G34" s="80">
        <f>20250+19800</f>
        <v>40050</v>
      </c>
      <c r="H34" s="78">
        <v>671</v>
      </c>
      <c r="I34" s="81">
        <f>D34*H34</f>
        <v>139568</v>
      </c>
      <c r="J34" s="18">
        <v>5.7450000000000001E-2</v>
      </c>
      <c r="K34" s="77">
        <f>ROUND(I34*J34,0)</f>
        <v>8018</v>
      </c>
      <c r="L34" s="77">
        <f>+'22a&amp;b'!CN35</f>
        <v>3458</v>
      </c>
      <c r="M34" s="77">
        <v>0</v>
      </c>
      <c r="N34" s="77">
        <f>+L34+M34</f>
        <v>3458</v>
      </c>
      <c r="O34" s="77">
        <f>+G34+K34+N34</f>
        <v>51526</v>
      </c>
    </row>
    <row r="35" spans="1:15" s="42" customFormat="1" x14ac:dyDescent="0.2">
      <c r="A35" s="42" t="s">
        <v>446</v>
      </c>
      <c r="C35" s="43">
        <v>217</v>
      </c>
      <c r="D35" s="43">
        <v>378</v>
      </c>
      <c r="E35" s="94" t="s">
        <v>170</v>
      </c>
      <c r="F35" s="79">
        <f>ROUND(G35/C35,2)</f>
        <v>466.59</v>
      </c>
      <c r="G35" s="80">
        <f>42750+58500</f>
        <v>101250</v>
      </c>
      <c r="H35" s="78">
        <v>849</v>
      </c>
      <c r="I35" s="81">
        <f>D35*H35</f>
        <v>320922</v>
      </c>
      <c r="J35" s="18">
        <v>5.7500000000000002E-2</v>
      </c>
      <c r="K35" s="77">
        <f>ROUND(I35*J35,0)</f>
        <v>18453</v>
      </c>
      <c r="L35" s="77">
        <f>+'22a&amp;b'!CN36</f>
        <v>19218</v>
      </c>
      <c r="M35" s="77">
        <v>0</v>
      </c>
      <c r="N35" s="77">
        <f>+L35+M35</f>
        <v>19218</v>
      </c>
      <c r="O35" s="77">
        <f>+G35+K35+N35</f>
        <v>138921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18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v>525</v>
      </c>
      <c r="D37" s="6">
        <v>2677</v>
      </c>
      <c r="E37" s="94"/>
      <c r="F37" s="19">
        <f>ROUND(G37/C37,2)</f>
        <v>17.61</v>
      </c>
      <c r="G37" s="17">
        <f>8517+728</f>
        <v>9245</v>
      </c>
      <c r="H37" s="38">
        <v>111</v>
      </c>
      <c r="I37" s="11">
        <f>D37*H37</f>
        <v>297147</v>
      </c>
      <c r="J37" s="18">
        <v>5.7500000000000002E-2</v>
      </c>
      <c r="K37" s="10">
        <f>ROUND(I37*J37,0)</f>
        <v>17086</v>
      </c>
      <c r="L37" s="10">
        <f>+'22a&amp;b'!CN38</f>
        <v>1664</v>
      </c>
      <c r="M37" s="10">
        <v>0</v>
      </c>
      <c r="N37" s="10">
        <f>+L37+M37</f>
        <v>1664</v>
      </c>
      <c r="O37" s="10">
        <f>+G37+K37+N37</f>
        <v>27995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18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v>2335</v>
      </c>
      <c r="D39" s="6">
        <v>5934</v>
      </c>
      <c r="E39" s="94"/>
      <c r="F39" s="19">
        <f>ROUND(G39/C39,2)</f>
        <v>9.68</v>
      </c>
      <c r="G39" s="17">
        <f>175+22439</f>
        <v>22614</v>
      </c>
      <c r="H39" s="38">
        <v>124</v>
      </c>
      <c r="I39" s="11">
        <f>D39*H39</f>
        <v>735816</v>
      </c>
      <c r="J39" s="18">
        <v>5.765E-2</v>
      </c>
      <c r="K39" s="10">
        <f>ROUND(I39*J39,0)</f>
        <v>42420</v>
      </c>
      <c r="L39" s="10">
        <f>+'22a&amp;b'!CN40</f>
        <v>11138</v>
      </c>
      <c r="M39" s="10">
        <v>0</v>
      </c>
      <c r="N39" s="10">
        <f>+L39+M39</f>
        <v>11138</v>
      </c>
      <c r="O39" s="10">
        <f>+G39+K39+N39</f>
        <v>76172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18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18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v>51481</v>
      </c>
      <c r="D42" s="6">
        <v>32225</v>
      </c>
      <c r="E42" s="8"/>
      <c r="F42" s="19">
        <f>ROUND(G42/C42,2)</f>
        <v>3.27</v>
      </c>
      <c r="G42" s="17">
        <f>80075+88497</f>
        <v>168572</v>
      </c>
      <c r="H42" s="38">
        <v>23</v>
      </c>
      <c r="I42" s="11">
        <f>D42*H42</f>
        <v>741175</v>
      </c>
      <c r="J42" s="18">
        <v>5.8180000000000003E-2</v>
      </c>
      <c r="K42" s="10">
        <f>ROUND(I42*J42,0)</f>
        <v>43122</v>
      </c>
      <c r="L42" s="10">
        <f>+'22a&amp;b'!CN43</f>
        <v>43759</v>
      </c>
      <c r="M42" s="10">
        <v>0</v>
      </c>
      <c r="N42" s="10">
        <f>+L42+M42</f>
        <v>43759</v>
      </c>
      <c r="O42" s="10">
        <f>+G42+K42+N42</f>
        <v>255453</v>
      </c>
    </row>
    <row r="43" spans="1:15" x14ac:dyDescent="0.2">
      <c r="A43" t="s">
        <v>458</v>
      </c>
      <c r="C43" s="6">
        <v>0</v>
      </c>
      <c r="D43" s="43">
        <v>0</v>
      </c>
      <c r="E43" s="8"/>
      <c r="F43" s="19">
        <v>0</v>
      </c>
      <c r="G43" s="17">
        <f>9+10</f>
        <v>19</v>
      </c>
      <c r="H43" s="38">
        <v>15</v>
      </c>
      <c r="I43" s="11">
        <f>D43*H43</f>
        <v>0</v>
      </c>
      <c r="J43" s="18">
        <v>5.7930000000000002E-2</v>
      </c>
      <c r="K43" s="10">
        <f>ROUND(I43*J43,0)</f>
        <v>0</v>
      </c>
      <c r="L43" s="10">
        <f>+'22a&amp;b'!CN44</f>
        <v>0</v>
      </c>
      <c r="M43" s="10">
        <f>ROUND(G43*0.05,0)</f>
        <v>1</v>
      </c>
      <c r="N43" s="10">
        <f>+L43+M43</f>
        <v>1</v>
      </c>
      <c r="O43" s="10">
        <f>+G43+K43+N43</f>
        <v>20</v>
      </c>
    </row>
    <row r="44" spans="1:15" x14ac:dyDescent="0.2">
      <c r="A44" t="s">
        <v>398</v>
      </c>
      <c r="C44" s="6">
        <v>0</v>
      </c>
      <c r="D44" s="43">
        <v>0</v>
      </c>
      <c r="E44" s="8"/>
      <c r="F44" s="19">
        <v>0</v>
      </c>
      <c r="G44" s="17">
        <f>269+315</f>
        <v>584</v>
      </c>
      <c r="H44" s="38">
        <v>21</v>
      </c>
      <c r="I44" s="11">
        <f>D44*H44</f>
        <v>0</v>
      </c>
      <c r="J44" s="18">
        <v>5.8540000000000002E-2</v>
      </c>
      <c r="K44" s="10">
        <f>ROUND(I44*J44,0)</f>
        <v>0</v>
      </c>
      <c r="L44" s="10">
        <v>0</v>
      </c>
      <c r="M44" s="10">
        <f>ROUND(G44*0.05,0)</f>
        <v>29</v>
      </c>
      <c r="N44" s="10">
        <f>+L44+M44</f>
        <v>29</v>
      </c>
      <c r="O44" s="10">
        <f>+G44+K44+N44</f>
        <v>613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18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18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147</v>
      </c>
      <c r="D47" s="6">
        <v>69</v>
      </c>
      <c r="E47" s="8"/>
      <c r="F47" s="19">
        <f>ROUND(G47/C47,2)</f>
        <v>121.9</v>
      </c>
      <c r="G47" s="17">
        <f>5450+12469</f>
        <v>17919</v>
      </c>
      <c r="H47" s="38">
        <v>62</v>
      </c>
      <c r="I47" s="11">
        <f>D47*H47</f>
        <v>4278</v>
      </c>
      <c r="J47" s="18">
        <v>5.7489999999999999E-2</v>
      </c>
      <c r="K47" s="10">
        <f>ROUND(I47*J47,0)</f>
        <v>246</v>
      </c>
      <c r="L47" s="10">
        <v>0</v>
      </c>
      <c r="M47" s="10">
        <f>ROUND(G47*0.05,0)</f>
        <v>896</v>
      </c>
      <c r="N47" s="10">
        <f>+L47+M47</f>
        <v>896</v>
      </c>
      <c r="O47" s="10">
        <f>+G47+K47+N47</f>
        <v>19061</v>
      </c>
    </row>
    <row r="48" spans="1:15" x14ac:dyDescent="0.2">
      <c r="A48" t="s">
        <v>207</v>
      </c>
      <c r="C48" s="6">
        <v>324</v>
      </c>
      <c r="D48" s="6">
        <v>255</v>
      </c>
      <c r="E48" s="8"/>
      <c r="F48" s="19">
        <f>ROUND(G48/C48,2)</f>
        <v>109.32</v>
      </c>
      <c r="G48" s="17">
        <f>15950+19469</f>
        <v>35419</v>
      </c>
      <c r="H48" s="38">
        <v>234</v>
      </c>
      <c r="I48" s="11">
        <f>D48*H48</f>
        <v>59670</v>
      </c>
      <c r="J48" s="18">
        <v>5.7489999999999999E-2</v>
      </c>
      <c r="K48" s="10">
        <f>ROUND(I48*J48,0)</f>
        <v>3430</v>
      </c>
      <c r="L48" s="10">
        <v>0</v>
      </c>
      <c r="M48" s="10">
        <f>ROUND(G48*0.05,0)</f>
        <v>1771</v>
      </c>
      <c r="N48" s="10">
        <f>+L48+M48</f>
        <v>1771</v>
      </c>
      <c r="O48" s="10">
        <f>+G48+K48+N48</f>
        <v>40620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36</v>
      </c>
      <c r="D51" s="6">
        <v>17</v>
      </c>
      <c r="E51" s="8"/>
      <c r="F51" s="19">
        <f>ROUND(G51/C51,2)</f>
        <v>1441.58</v>
      </c>
      <c r="G51" s="17">
        <f>24736+27161</f>
        <v>51897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'22a&amp;b'!CN60</f>
        <v>0</v>
      </c>
      <c r="M51" s="10">
        <v>0</v>
      </c>
      <c r="N51" s="10">
        <f>+L51+M51</f>
        <v>0</v>
      </c>
      <c r="O51" s="10">
        <f>+G51+K51+N51</f>
        <v>51897</v>
      </c>
    </row>
    <row r="52" spans="1:16" x14ac:dyDescent="0.2">
      <c r="A52" t="s">
        <v>397</v>
      </c>
      <c r="C52" s="6">
        <v>32</v>
      </c>
      <c r="D52" s="6">
        <v>15</v>
      </c>
      <c r="E52" s="8"/>
      <c r="F52" s="19">
        <f>ROUND(G52/C52,2)</f>
        <v>1621.78</v>
      </c>
      <c r="G52" s="17">
        <f>24736+27161</f>
        <v>51897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'22a&amp;b'!CN61</f>
        <v>0</v>
      </c>
      <c r="M52" s="10">
        <v>0</v>
      </c>
      <c r="N52" s="10">
        <f>+L52+M52</f>
        <v>0</v>
      </c>
      <c r="O52" s="10">
        <f>+G52+K52+N52</f>
        <v>51897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56178</v>
      </c>
      <c r="D54" s="6">
        <f>SUM(D12:D52)</f>
        <v>47112</v>
      </c>
      <c r="E54" s="74"/>
      <c r="F54" s="3"/>
      <c r="G54" s="17">
        <f>SUM(G12:G52)</f>
        <v>977245</v>
      </c>
      <c r="H54" s="6"/>
      <c r="I54" s="6">
        <f>SUM(I12:I52)</f>
        <v>5331604</v>
      </c>
      <c r="J54" s="18"/>
      <c r="K54" s="17">
        <f>SUM(K12:K52)</f>
        <v>307234</v>
      </c>
      <c r="L54" s="10">
        <f>SUM(L11:L52)</f>
        <v>131170</v>
      </c>
      <c r="M54" s="10">
        <f>SUM(M12:M52)</f>
        <v>2763</v>
      </c>
      <c r="N54" s="10">
        <f>SUM(N12:N52)</f>
        <v>133933</v>
      </c>
      <c r="O54" s="10">
        <f>SUM(O12:O52)</f>
        <v>1418412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424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426</v>
      </c>
      <c r="O59" s="1">
        <f>'Y1'!M7</f>
        <v>24</v>
      </c>
    </row>
    <row r="61" spans="1:16" ht="25.5" x14ac:dyDescent="0.2">
      <c r="A61" t="s">
        <v>454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+'22a&amp;b'!CN78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+'22a&amp;b'!CN79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+'22a&amp;b'!CN80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+'22a&amp;b'!CN81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1</v>
      </c>
      <c r="D73" s="6">
        <v>0</v>
      </c>
      <c r="E73" s="74"/>
      <c r="F73" s="19">
        <f>ROUND(G73/C73,2)</f>
        <v>6342</v>
      </c>
      <c r="G73" s="77">
        <f>2195+4147</f>
        <v>6342</v>
      </c>
      <c r="H73" s="6">
        <v>121</v>
      </c>
      <c r="I73" s="11">
        <f>D73*H73</f>
        <v>0</v>
      </c>
      <c r="J73" s="18">
        <v>7.4469999999999995E-2</v>
      </c>
      <c r="K73" s="10">
        <f>ROUND(I73*J73,0)</f>
        <v>0</v>
      </c>
      <c r="L73" s="10">
        <v>0</v>
      </c>
      <c r="M73" s="10">
        <f>ROUND(G73*0.05,0)</f>
        <v>317</v>
      </c>
      <c r="N73" s="10">
        <f>+L73+M73</f>
        <v>317</v>
      </c>
      <c r="O73" s="10">
        <f>+G73+K73+N73</f>
        <v>6659</v>
      </c>
    </row>
    <row r="74" spans="1:15" x14ac:dyDescent="0.2">
      <c r="A74" t="s">
        <v>349</v>
      </c>
      <c r="C74" s="3">
        <v>10</v>
      </c>
      <c r="D74" s="6">
        <v>2</v>
      </c>
      <c r="E74" s="103" t="s">
        <v>170</v>
      </c>
      <c r="F74" s="19">
        <f>ROUND(G74/C74,2)</f>
        <v>1044.0999999999999</v>
      </c>
      <c r="G74" s="77">
        <f>3545+6896</f>
        <v>10441</v>
      </c>
      <c r="H74" s="6">
        <v>570</v>
      </c>
      <c r="I74" s="11">
        <f>D74*H74</f>
        <v>1140</v>
      </c>
      <c r="J74" s="18">
        <v>7.4300000000000005E-2</v>
      </c>
      <c r="K74" s="10">
        <f>ROUND(I74*J74,0)</f>
        <v>85</v>
      </c>
      <c r="L74" s="10">
        <v>0</v>
      </c>
      <c r="M74" s="10">
        <f>ROUND(G74*0.05,0)</f>
        <v>522</v>
      </c>
      <c r="N74" s="10">
        <f>+L74+M74</f>
        <v>522</v>
      </c>
      <c r="O74" s="10">
        <f>+G74+K74+N74</f>
        <v>11048</v>
      </c>
    </row>
    <row r="75" spans="1:15" x14ac:dyDescent="0.2">
      <c r="C75" s="3"/>
      <c r="D75" s="6"/>
      <c r="E75" s="74"/>
      <c r="F75" s="19"/>
      <c r="G75" s="10"/>
      <c r="H75" s="6"/>
      <c r="I75" s="11"/>
      <c r="J75" s="18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6"/>
      <c r="I76" s="11"/>
      <c r="J76" s="18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24</v>
      </c>
      <c r="D77" s="6">
        <v>11</v>
      </c>
      <c r="E77" s="74"/>
      <c r="F77" s="19">
        <f>ROUND(G77/C77,2)</f>
        <v>310.45999999999998</v>
      </c>
      <c r="G77" s="77">
        <f>3439+4012</f>
        <v>7451</v>
      </c>
      <c r="H77" s="6">
        <v>115</v>
      </c>
      <c r="I77" s="11">
        <f>D77*H77</f>
        <v>1265</v>
      </c>
      <c r="J77" s="18">
        <v>7.424E-2</v>
      </c>
      <c r="K77" s="10">
        <f>ROUND(I77*J77,0)</f>
        <v>94</v>
      </c>
      <c r="L77" s="10">
        <v>0</v>
      </c>
      <c r="M77" s="10">
        <f>ROUND(G77*0.05,0)</f>
        <v>373</v>
      </c>
      <c r="N77" s="10">
        <f>+L77+M77</f>
        <v>373</v>
      </c>
      <c r="O77" s="10">
        <f>+G77+K77+N77</f>
        <v>7918</v>
      </c>
    </row>
    <row r="78" spans="1:15" x14ac:dyDescent="0.2">
      <c r="A78" t="s">
        <v>207</v>
      </c>
      <c r="C78" s="3">
        <v>56</v>
      </c>
      <c r="D78" s="6">
        <v>22</v>
      </c>
      <c r="E78" s="74"/>
      <c r="F78" s="19">
        <f>ROUND(G78/C78,2)</f>
        <v>222.34</v>
      </c>
      <c r="G78" s="77">
        <f>3314+9137</f>
        <v>12451</v>
      </c>
      <c r="H78" s="6">
        <v>349</v>
      </c>
      <c r="I78" s="11">
        <f>D78*H78</f>
        <v>7678</v>
      </c>
      <c r="J78" s="18">
        <v>7.4289999999999995E-2</v>
      </c>
      <c r="K78" s="10">
        <f>ROUND(I78*J78,0)</f>
        <v>570</v>
      </c>
      <c r="L78" s="10">
        <v>0</v>
      </c>
      <c r="M78" s="10">
        <f>ROUND(G78*0.05,0)</f>
        <v>623</v>
      </c>
      <c r="N78" s="10">
        <f>+L78+M78</f>
        <v>623</v>
      </c>
      <c r="O78" s="10">
        <f>+G78+K78+N78</f>
        <v>13644</v>
      </c>
    </row>
    <row r="79" spans="1:15" x14ac:dyDescent="0.2">
      <c r="C79" s="3"/>
      <c r="D79" s="6"/>
      <c r="E79" s="74"/>
      <c r="F79" s="19"/>
      <c r="G79" s="10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f>3841+3789</f>
        <v>7630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f>+G81+K81+N81</f>
        <v>7630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f>3841+3790</f>
        <v>7631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f>+G82+K82+N82</f>
        <v>7631</v>
      </c>
    </row>
    <row r="83" spans="1:15" x14ac:dyDescent="0.2">
      <c r="C83" s="6"/>
      <c r="D83" s="6"/>
      <c r="E83" s="8"/>
      <c r="F83" s="19"/>
      <c r="G83" s="17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v>24</v>
      </c>
      <c r="D84" s="6">
        <v>6</v>
      </c>
      <c r="E84" s="8"/>
      <c r="F84" s="19">
        <f>ROUND(G84/C84,2)</f>
        <v>13772.13</v>
      </c>
      <c r="G84" s="80">
        <f>106839+223692</f>
        <v>330531</v>
      </c>
      <c r="H84" s="38">
        <v>8788</v>
      </c>
      <c r="I84" s="11">
        <f>D84*H84</f>
        <v>52728</v>
      </c>
      <c r="J84" s="18">
        <v>7.5120000000000006E-2</v>
      </c>
      <c r="K84" s="10">
        <f>ROUND(I84*J84,0)</f>
        <v>3961</v>
      </c>
      <c r="L84" s="10">
        <v>0</v>
      </c>
      <c r="M84" s="10">
        <f>ROUND(G84*0.05,0)</f>
        <v>16527</v>
      </c>
      <c r="N84" s="10">
        <f>+L84+M84</f>
        <v>16527</v>
      </c>
      <c r="O84" s="10">
        <f>+G84+K84+N84</f>
        <v>351019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115</v>
      </c>
      <c r="D86" s="84">
        <f>SUM(D67:D84)</f>
        <v>41</v>
      </c>
      <c r="E86" s="74"/>
      <c r="F86" s="3"/>
      <c r="G86" s="10">
        <f>SUM(G67:G84)</f>
        <v>382477</v>
      </c>
      <c r="H86" s="6"/>
      <c r="I86" s="84">
        <f>SUM(I67:I84)</f>
        <v>62811</v>
      </c>
      <c r="J86" s="18"/>
      <c r="K86" s="10">
        <f>SUM(K67:K84)</f>
        <v>4710</v>
      </c>
      <c r="L86" s="10">
        <f>SUM(L67:L84)</f>
        <v>0</v>
      </c>
      <c r="M86" s="10">
        <f>SUM(M67:M84)</f>
        <v>18362</v>
      </c>
      <c r="N86" s="10">
        <f>SUM(N67:N84)</f>
        <v>18362</v>
      </c>
      <c r="O86" s="10">
        <f>SUM(O67:O84)</f>
        <v>405549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56293</v>
      </c>
      <c r="D99" s="6">
        <f>+D54+D86+D97</f>
        <v>47153</v>
      </c>
      <c r="E99" s="74"/>
      <c r="F99" s="3"/>
      <c r="G99" s="17">
        <f>G54+G86+G97</f>
        <v>1359722</v>
      </c>
      <c r="H99" s="6"/>
      <c r="I99" s="6">
        <f>+I54+I86+I97</f>
        <v>5394415</v>
      </c>
      <c r="J99" s="18"/>
      <c r="K99" s="17">
        <f>+K54+K86+K97</f>
        <v>311944</v>
      </c>
      <c r="L99" s="10">
        <f>+L54+L86+L97</f>
        <v>131170</v>
      </c>
      <c r="M99" s="10">
        <f>+M54+M86+M97</f>
        <v>21125</v>
      </c>
      <c r="N99" s="10">
        <f>+N54+N86+N97</f>
        <v>152295</v>
      </c>
      <c r="O99" s="10">
        <f>+O54+O86+O97</f>
        <v>1823961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zoomScaleNormal="100" workbookViewId="0">
      <pane xSplit="2" ySplit="10" topLeftCell="G29" activePane="bottomRight" state="frozen"/>
      <selection activeCell="O6" sqref="O6"/>
      <selection pane="topRight" activeCell="O6" sqref="O6"/>
      <selection pane="bottomLeft" activeCell="O6" sqref="O6"/>
      <selection pane="bottomRight" activeCell="L44" sqref="L44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424</v>
      </c>
      <c r="B1" s="14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8" t="s">
        <v>427</v>
      </c>
      <c r="O4" s="1">
        <f>+'Y1'!M7</f>
        <v>24</v>
      </c>
    </row>
    <row r="6" spans="1:15" ht="25.5" x14ac:dyDescent="0.2">
      <c r="A6" t="s">
        <v>455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5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5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5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5" x14ac:dyDescent="0.2">
      <c r="A11" t="s">
        <v>29</v>
      </c>
    </row>
    <row r="12" spans="1:15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+'22a&amp;b'!CO13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5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5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5" x14ac:dyDescent="0.2">
      <c r="A15" s="22" t="s">
        <v>253</v>
      </c>
      <c r="C15" s="6">
        <f>35+8</f>
        <v>43</v>
      </c>
      <c r="D15" s="6">
        <v>629</v>
      </c>
      <c r="E15" s="8" t="s">
        <v>170</v>
      </c>
      <c r="F15" s="19">
        <f>ROUND(G15/C15,2)</f>
        <v>2093.67</v>
      </c>
      <c r="G15" s="17">
        <f>74884+15144</f>
        <v>90028</v>
      </c>
      <c r="H15" s="6">
        <v>981</v>
      </c>
      <c r="I15" s="11">
        <f>D15*H15</f>
        <v>617049</v>
      </c>
      <c r="J15" s="95">
        <v>5.7489999999999999E-2</v>
      </c>
      <c r="K15" s="10">
        <f>ROUND(I15*J15,0)</f>
        <v>35474</v>
      </c>
      <c r="L15" s="10">
        <f>+'22a&amp;b'!CO16</f>
        <v>4609</v>
      </c>
      <c r="M15" s="10">
        <f>ROUND(G15*0,0)</f>
        <v>0</v>
      </c>
      <c r="N15" s="10">
        <f>+L15+M15</f>
        <v>4609</v>
      </c>
      <c r="O15" s="10">
        <f>+G15+K15+N15</f>
        <v>130111</v>
      </c>
    </row>
    <row r="16" spans="1:15" x14ac:dyDescent="0.2">
      <c r="A16" t="s">
        <v>254</v>
      </c>
      <c r="C16" s="6">
        <f>4+0</f>
        <v>4</v>
      </c>
      <c r="D16" s="6">
        <v>97</v>
      </c>
      <c r="E16" s="8" t="s">
        <v>170</v>
      </c>
      <c r="F16" s="19">
        <f>ROUND(G16/C16,2)</f>
        <v>340.25</v>
      </c>
      <c r="G16" s="17">
        <f>1124+237</f>
        <v>1361</v>
      </c>
      <c r="H16" s="6">
        <v>436</v>
      </c>
      <c r="I16" s="11">
        <f>D16*H16</f>
        <v>42292</v>
      </c>
      <c r="J16" s="95">
        <v>5.7459999999999997E-2</v>
      </c>
      <c r="K16" s="10">
        <f>ROUND(I16*J16,0)</f>
        <v>2430</v>
      </c>
      <c r="L16" s="10">
        <v>0</v>
      </c>
      <c r="M16" s="10">
        <f>ROUND(G16*0.05,0)</f>
        <v>68</v>
      </c>
      <c r="N16" s="10">
        <f>+L16+M16</f>
        <v>68</v>
      </c>
      <c r="O16" s="10">
        <f>+G16+K16+N16</f>
        <v>3859</v>
      </c>
    </row>
    <row r="17" spans="1:15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+'22a&amp;b'!CO19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+'22a&amp;b'!CO22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+'22a&amp;b'!CO23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t="s">
        <v>257</v>
      </c>
      <c r="C25" s="6">
        <f>67+45</f>
        <v>112</v>
      </c>
      <c r="D25" s="6">
        <v>589</v>
      </c>
      <c r="E25" s="8"/>
      <c r="F25" s="19">
        <f>ROUND(G25/C25,2)</f>
        <v>445.98</v>
      </c>
      <c r="G25" s="17">
        <f>31500+18450</f>
        <v>49950</v>
      </c>
      <c r="H25" s="6">
        <v>1292</v>
      </c>
      <c r="I25" s="11">
        <f>D25*H25</f>
        <v>760988</v>
      </c>
      <c r="J25" s="95">
        <v>5.747E-2</v>
      </c>
      <c r="K25" s="10">
        <f>ROUND(I25*J25,0)</f>
        <v>43734</v>
      </c>
      <c r="L25" s="10">
        <f>+'22a&amp;b'!CO26</f>
        <v>26516</v>
      </c>
      <c r="M25" s="10">
        <v>0</v>
      </c>
      <c r="N25" s="10">
        <f>+L25+M25</f>
        <v>26516</v>
      </c>
      <c r="O25" s="10">
        <f>+G25+K25+N25</f>
        <v>120200</v>
      </c>
    </row>
    <row r="26" spans="1:15" x14ac:dyDescent="0.2">
      <c r="C26" s="6"/>
      <c r="D26" s="6"/>
      <c r="E26" s="74"/>
      <c r="F26" s="19"/>
      <c r="G26" s="17"/>
      <c r="H26" s="6"/>
      <c r="I26" s="11"/>
      <c r="J26" s="95"/>
      <c r="K26" s="10"/>
      <c r="L26" s="10"/>
      <c r="M26" s="10"/>
      <c r="N26" s="10"/>
      <c r="O26" s="10"/>
    </row>
    <row r="27" spans="1:15" x14ac:dyDescent="0.2">
      <c r="A27" t="s">
        <v>346</v>
      </c>
      <c r="C27" s="6"/>
      <c r="D27" s="6"/>
      <c r="E27" s="74"/>
      <c r="F27" s="19"/>
      <c r="G27" s="17"/>
      <c r="H27" s="6"/>
      <c r="I27" s="11"/>
      <c r="J27" s="95"/>
      <c r="K27" s="10"/>
      <c r="L27" s="10"/>
      <c r="M27" s="10"/>
      <c r="N27" s="10"/>
      <c r="O27" s="10"/>
    </row>
    <row r="28" spans="1:15" x14ac:dyDescent="0.2">
      <c r="A28" s="22" t="s">
        <v>207</v>
      </c>
      <c r="C28" s="6">
        <f>39+37</f>
        <v>76</v>
      </c>
      <c r="D28" s="6">
        <v>520</v>
      </c>
      <c r="E28" s="8" t="s">
        <v>170</v>
      </c>
      <c r="F28" s="19">
        <f>ROUND(G28/C28,2)</f>
        <v>553.29</v>
      </c>
      <c r="G28" s="17">
        <f>23350+18700</f>
        <v>42050</v>
      </c>
      <c r="H28" s="6">
        <v>840</v>
      </c>
      <c r="I28" s="11">
        <f>D28*H28</f>
        <v>436800</v>
      </c>
      <c r="J28" s="95">
        <v>5.747E-2</v>
      </c>
      <c r="K28" s="10">
        <f>ROUND(I28*J28,0)</f>
        <v>25103</v>
      </c>
      <c r="L28" s="10">
        <f>+'22a&amp;b'!CO29</f>
        <v>6305</v>
      </c>
      <c r="M28" s="10">
        <v>0</v>
      </c>
      <c r="N28" s="10">
        <f>+L28+M28</f>
        <v>6305</v>
      </c>
      <c r="O28" s="10">
        <f>+G28+K28+N28</f>
        <v>73458</v>
      </c>
    </row>
    <row r="29" spans="1:15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95">
        <v>0</v>
      </c>
      <c r="K29" s="10">
        <f>ROUND(I29*J29,0)</f>
        <v>0</v>
      </c>
      <c r="L29" s="10">
        <f>+'22a&amp;b'!CO30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22"/>
      <c r="C30" s="6"/>
      <c r="D30" s="6"/>
      <c r="E30" s="74"/>
      <c r="F30" s="19"/>
      <c r="G30" s="17"/>
      <c r="H30" s="6"/>
      <c r="I30" s="11"/>
      <c r="J30" s="95"/>
      <c r="K30" s="10"/>
      <c r="L30" s="10"/>
      <c r="M30" s="10"/>
      <c r="N30" s="10"/>
      <c r="O30" s="10"/>
    </row>
    <row r="31" spans="1:15" x14ac:dyDescent="0.2">
      <c r="A31" s="22" t="s">
        <v>209</v>
      </c>
      <c r="C31" s="6">
        <f>305+249</f>
        <v>554</v>
      </c>
      <c r="D31" s="6">
        <v>3119</v>
      </c>
      <c r="E31" s="8"/>
      <c r="F31" s="19">
        <f>ROUND(G31/C31,2)</f>
        <v>404</v>
      </c>
      <c r="G31" s="17">
        <f>113943+109873</f>
        <v>223816</v>
      </c>
      <c r="H31" s="38">
        <v>326</v>
      </c>
      <c r="I31" s="11">
        <f>D31*H31</f>
        <v>1016794</v>
      </c>
      <c r="J31" s="95">
        <v>5.7509999999999999E-2</v>
      </c>
      <c r="K31" s="10">
        <f>ROUND(I31*J31,0)</f>
        <v>58476</v>
      </c>
      <c r="L31" s="10">
        <f>+'22a&amp;b'!CO32</f>
        <v>3529</v>
      </c>
      <c r="M31" s="10">
        <v>0</v>
      </c>
      <c r="N31" s="10">
        <f>+L31+M31</f>
        <v>3529</v>
      </c>
      <c r="O31" s="10">
        <f>+G31+K31+N31</f>
        <v>285821</v>
      </c>
    </row>
    <row r="32" spans="1:15" x14ac:dyDescent="0.2">
      <c r="A32" s="22"/>
      <c r="C32" s="6"/>
      <c r="D32" s="6"/>
      <c r="E32" s="74"/>
      <c r="F32" s="19"/>
      <c r="G32" s="17"/>
      <c r="H32" s="38"/>
      <c r="I32" s="11"/>
      <c r="J32" s="95"/>
      <c r="K32" s="10"/>
      <c r="L32" s="10"/>
      <c r="M32" s="10"/>
      <c r="N32" s="10"/>
      <c r="O32" s="10"/>
    </row>
    <row r="33" spans="1:15" x14ac:dyDescent="0.2">
      <c r="A33" t="s">
        <v>348</v>
      </c>
      <c r="C33" s="6"/>
      <c r="D33" s="6"/>
      <c r="E33" s="74"/>
      <c r="F33" s="19"/>
      <c r="G33" s="17"/>
      <c r="H33" s="38"/>
      <c r="I33" s="11"/>
      <c r="J33" s="95"/>
      <c r="K33" s="10"/>
      <c r="L33" s="10"/>
      <c r="M33" s="10"/>
      <c r="N33" s="10"/>
      <c r="O33" s="10"/>
    </row>
    <row r="34" spans="1:15" s="42" customFormat="1" x14ac:dyDescent="0.2">
      <c r="A34" s="42" t="s">
        <v>353</v>
      </c>
      <c r="C34" s="43">
        <f>35+38</f>
        <v>73</v>
      </c>
      <c r="D34" s="43">
        <v>485</v>
      </c>
      <c r="E34" s="94" t="s">
        <v>170</v>
      </c>
      <c r="F34" s="79">
        <f>ROUND(G34/C34,2)</f>
        <v>431.51</v>
      </c>
      <c r="G34" s="80">
        <f>16650+14850</f>
        <v>31500</v>
      </c>
      <c r="H34" s="78">
        <v>671</v>
      </c>
      <c r="I34" s="81">
        <f>D34*H34</f>
        <v>325435</v>
      </c>
      <c r="J34" s="95">
        <v>5.7500000000000002E-2</v>
      </c>
      <c r="K34" s="77">
        <f>ROUND(I34*J34,0)</f>
        <v>18713</v>
      </c>
      <c r="L34" s="77">
        <f>+'22a&amp;b'!CO35</f>
        <v>2869</v>
      </c>
      <c r="M34" s="77">
        <v>0</v>
      </c>
      <c r="N34" s="77">
        <f>+L34+M34</f>
        <v>2869</v>
      </c>
      <c r="O34" s="77">
        <f>+G34+K34+N34</f>
        <v>53082</v>
      </c>
    </row>
    <row r="35" spans="1:15" s="42" customFormat="1" x14ac:dyDescent="0.2">
      <c r="A35" s="42" t="s">
        <v>446</v>
      </c>
      <c r="C35" s="43">
        <f>112+97</f>
        <v>209</v>
      </c>
      <c r="D35" s="43">
        <v>696</v>
      </c>
      <c r="E35" s="94"/>
      <c r="F35" s="79">
        <f>ROUND(G35/C35,2)</f>
        <v>439.23</v>
      </c>
      <c r="G35" s="80">
        <f>53550+38250</f>
        <v>91800</v>
      </c>
      <c r="H35" s="78">
        <v>849</v>
      </c>
      <c r="I35" s="81">
        <f>D35*H35</f>
        <v>590904</v>
      </c>
      <c r="J35" s="95">
        <v>5.7459999999999997E-2</v>
      </c>
      <c r="K35" s="77">
        <f>ROUND(I35*J35,0)</f>
        <v>33953</v>
      </c>
      <c r="L35" s="77">
        <f>+'22a&amp;b'!CO36</f>
        <v>18509</v>
      </c>
      <c r="M35" s="77">
        <v>0</v>
      </c>
      <c r="N35" s="77">
        <f>+L35+M35</f>
        <v>18509</v>
      </c>
      <c r="O35" s="77">
        <f>+G35+K35+N35</f>
        <v>144262</v>
      </c>
    </row>
    <row r="36" spans="1:15" x14ac:dyDescent="0.2">
      <c r="A36" s="22"/>
      <c r="C36" s="6"/>
      <c r="D36" s="6"/>
      <c r="E36" s="74"/>
      <c r="F36" s="19"/>
      <c r="G36" s="17"/>
      <c r="H36" s="38"/>
      <c r="I36" s="11"/>
      <c r="J36" s="95"/>
      <c r="K36" s="10"/>
      <c r="L36" s="10"/>
      <c r="M36" s="10"/>
      <c r="N36" s="10"/>
      <c r="O36" s="10"/>
    </row>
    <row r="37" spans="1:15" x14ac:dyDescent="0.2">
      <c r="A37" s="60" t="s">
        <v>350</v>
      </c>
      <c r="C37" s="6">
        <f>0+1562</f>
        <v>1562</v>
      </c>
      <c r="D37" s="6">
        <v>3201</v>
      </c>
      <c r="E37" s="94"/>
      <c r="F37" s="19">
        <f>ROUND(G37/C37,2)</f>
        <v>12.15</v>
      </c>
      <c r="G37" s="17">
        <f>7960+11023</f>
        <v>18983</v>
      </c>
      <c r="H37" s="38">
        <v>111</v>
      </c>
      <c r="I37" s="11">
        <f>D37*H37</f>
        <v>355311</v>
      </c>
      <c r="J37" s="95">
        <v>5.7299999999999997E-2</v>
      </c>
      <c r="K37" s="10">
        <f>ROUND(I37*J37,0)</f>
        <v>20359</v>
      </c>
      <c r="L37" s="10">
        <f>+'22a&amp;b'!CO38</f>
        <v>4952</v>
      </c>
      <c r="M37" s="10">
        <v>0</v>
      </c>
      <c r="N37" s="10">
        <f>+L37+M37</f>
        <v>4952</v>
      </c>
      <c r="O37" s="10">
        <f>+G37+K37+N37</f>
        <v>44294</v>
      </c>
    </row>
    <row r="38" spans="1:15" x14ac:dyDescent="0.2">
      <c r="A38" s="22"/>
      <c r="C38" s="6"/>
      <c r="D38" s="6"/>
      <c r="E38" s="74"/>
      <c r="F38" s="19"/>
      <c r="G38" s="17"/>
      <c r="H38" s="38"/>
      <c r="I38" s="11"/>
      <c r="J38" s="95"/>
      <c r="K38" s="10"/>
      <c r="L38" s="10"/>
      <c r="M38" s="10"/>
      <c r="N38" s="10"/>
      <c r="O38" s="10"/>
    </row>
    <row r="39" spans="1:15" x14ac:dyDescent="0.2">
      <c r="A39" s="22" t="s">
        <v>351</v>
      </c>
      <c r="C39" s="6">
        <f>2566+740</f>
        <v>3306</v>
      </c>
      <c r="D39" s="6">
        <v>5447</v>
      </c>
      <c r="E39" s="94" t="s">
        <v>170</v>
      </c>
      <c r="F39" s="19">
        <f>ROUND(G39/C39,2)</f>
        <v>9.93</v>
      </c>
      <c r="G39" s="17">
        <f>33102-285</f>
        <v>32817</v>
      </c>
      <c r="H39" s="38">
        <v>124</v>
      </c>
      <c r="I39" s="11">
        <f>D39*H39</f>
        <v>675428</v>
      </c>
      <c r="J39" s="95">
        <v>5.7579999999999999E-2</v>
      </c>
      <c r="K39" s="10">
        <f>ROUND(I39*J39,0)</f>
        <v>38891</v>
      </c>
      <c r="L39" s="10">
        <f>+'22a&amp;b'!CO40</f>
        <v>15770</v>
      </c>
      <c r="M39" s="10">
        <v>0</v>
      </c>
      <c r="N39" s="10">
        <f>+L39+M39</f>
        <v>15770</v>
      </c>
      <c r="O39" s="10">
        <f>+G39+K39+N39</f>
        <v>87478</v>
      </c>
    </row>
    <row r="40" spans="1:15" x14ac:dyDescent="0.2">
      <c r="A40" s="22"/>
      <c r="C40" s="6"/>
      <c r="D40" s="43"/>
      <c r="E40" s="94"/>
      <c r="F40" s="19"/>
      <c r="G40" s="17"/>
      <c r="H40" s="38"/>
      <c r="I40" s="11"/>
      <c r="J40" s="95"/>
      <c r="K40" s="10"/>
      <c r="L40" s="10"/>
      <c r="M40" s="10"/>
      <c r="N40" s="10"/>
      <c r="O40" s="10"/>
    </row>
    <row r="41" spans="1:15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95"/>
      <c r="K41" s="10"/>
      <c r="L41" s="10"/>
      <c r="M41" s="10"/>
      <c r="N41" s="10"/>
      <c r="O41" s="10"/>
    </row>
    <row r="42" spans="1:15" x14ac:dyDescent="0.2">
      <c r="A42" t="s">
        <v>387</v>
      </c>
      <c r="C42" s="6">
        <f>31254+53484</f>
        <v>84738</v>
      </c>
      <c r="D42" s="6">
        <v>36146</v>
      </c>
      <c r="E42" s="8" t="s">
        <v>170</v>
      </c>
      <c r="F42" s="19">
        <f>ROUND(G42/C42,2)</f>
        <v>2.19</v>
      </c>
      <c r="G42" s="17">
        <f>79157+106078</f>
        <v>185235</v>
      </c>
      <c r="H42" s="38">
        <v>22</v>
      </c>
      <c r="I42" s="11">
        <f>D42*H42</f>
        <v>795212</v>
      </c>
      <c r="J42" s="95">
        <v>5.7389999999999997E-2</v>
      </c>
      <c r="K42" s="10">
        <f>ROUND(I42*J42,0)</f>
        <v>45637</v>
      </c>
      <c r="L42" s="10">
        <f>+'22a&amp;b'!CO43</f>
        <v>72027</v>
      </c>
      <c r="M42" s="10">
        <v>0</v>
      </c>
      <c r="N42" s="10">
        <f>+L42+M42</f>
        <v>72027</v>
      </c>
      <c r="O42" s="10">
        <f>+G42+K42+N42</f>
        <v>302899</v>
      </c>
    </row>
    <row r="43" spans="1:15" x14ac:dyDescent="0.2">
      <c r="A43" t="s">
        <v>458</v>
      </c>
      <c r="C43" s="6">
        <v>0</v>
      </c>
      <c r="D43" s="43">
        <v>0</v>
      </c>
      <c r="E43" s="8"/>
      <c r="F43" s="19">
        <v>0</v>
      </c>
      <c r="G43" s="17">
        <f>10+8</f>
        <v>18</v>
      </c>
      <c r="H43" s="38">
        <v>14</v>
      </c>
      <c r="I43" s="11">
        <f>D43*H43</f>
        <v>0</v>
      </c>
      <c r="J43" s="95">
        <v>5.7930000000000002E-2</v>
      </c>
      <c r="K43" s="10">
        <f>ROUND(I43*J43,0)</f>
        <v>0</v>
      </c>
      <c r="L43" s="10">
        <f>+'22a&amp;b'!CO44</f>
        <v>0</v>
      </c>
      <c r="M43" s="10">
        <v>0</v>
      </c>
      <c r="N43" s="10">
        <f>+L43+M43</f>
        <v>0</v>
      </c>
      <c r="O43" s="10">
        <f>+G43+K43+N43</f>
        <v>18</v>
      </c>
    </row>
    <row r="44" spans="1:15" x14ac:dyDescent="0.2">
      <c r="A44" t="s">
        <v>398</v>
      </c>
      <c r="C44" s="6">
        <v>12</v>
      </c>
      <c r="D44" s="43">
        <v>7</v>
      </c>
      <c r="E44" s="8"/>
      <c r="F44" s="19">
        <f>ROUND(G44/C44,2)</f>
        <v>48.25</v>
      </c>
      <c r="G44" s="17">
        <f>324+255</f>
        <v>579</v>
      </c>
      <c r="H44" s="38">
        <v>20</v>
      </c>
      <c r="I44" s="11">
        <f>D44*H44</f>
        <v>140</v>
      </c>
      <c r="J44" s="95">
        <v>5.8540000000000002E-2</v>
      </c>
      <c r="K44" s="10">
        <f>ROUND(I44*J44,0)</f>
        <v>8</v>
      </c>
      <c r="L44" s="10">
        <v>0</v>
      </c>
      <c r="M44" s="10">
        <f>ROUND(G44*0.05,0)</f>
        <v>29</v>
      </c>
      <c r="N44" s="10">
        <f>+L44+M44</f>
        <v>29</v>
      </c>
      <c r="O44" s="10">
        <f>+G44+K44+N44</f>
        <v>616</v>
      </c>
    </row>
    <row r="45" spans="1:15" x14ac:dyDescent="0.2">
      <c r="A45" s="22"/>
      <c r="C45" s="6"/>
      <c r="D45" s="6"/>
      <c r="E45" s="8"/>
      <c r="F45" s="19"/>
      <c r="G45" s="17"/>
      <c r="H45" s="38"/>
      <c r="I45" s="11"/>
      <c r="J45" s="95"/>
      <c r="K45" s="10"/>
      <c r="L45" s="10"/>
      <c r="M45" s="10"/>
      <c r="N45" s="10"/>
      <c r="O45" s="10"/>
    </row>
    <row r="46" spans="1:15" x14ac:dyDescent="0.2">
      <c r="A46" s="22" t="s">
        <v>388</v>
      </c>
      <c r="C46" s="6"/>
      <c r="D46" s="6"/>
      <c r="E46" s="8"/>
      <c r="F46" s="19"/>
      <c r="G46" s="17"/>
      <c r="H46" s="38"/>
      <c r="I46" s="11"/>
      <c r="J46" s="95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f>48+27</f>
        <v>75</v>
      </c>
      <c r="D47" s="6">
        <v>115</v>
      </c>
      <c r="E47" s="8" t="s">
        <v>170</v>
      </c>
      <c r="F47" s="19">
        <f>ROUND(G47/C47,2)</f>
        <v>172.67</v>
      </c>
      <c r="G47" s="17">
        <f>8406+4544</f>
        <v>12950</v>
      </c>
      <c r="H47" s="38">
        <v>63</v>
      </c>
      <c r="I47" s="11">
        <f>D47*H47</f>
        <v>7245</v>
      </c>
      <c r="J47" s="95">
        <v>5.7140000000000003E-2</v>
      </c>
      <c r="K47" s="10">
        <f>ROUND(I47*J47,0)</f>
        <v>414</v>
      </c>
      <c r="L47" s="10">
        <v>0</v>
      </c>
      <c r="M47" s="10">
        <f>ROUND(G47*0.05,0)</f>
        <v>648</v>
      </c>
      <c r="N47" s="10">
        <f>+L47+M47</f>
        <v>648</v>
      </c>
      <c r="O47" s="10">
        <f>+G47+K47+N47</f>
        <v>14012</v>
      </c>
    </row>
    <row r="48" spans="1:15" x14ac:dyDescent="0.2">
      <c r="A48" t="s">
        <v>207</v>
      </c>
      <c r="C48" s="6">
        <f>107+351</f>
        <v>458</v>
      </c>
      <c r="D48" s="6">
        <v>555</v>
      </c>
      <c r="E48" s="8" t="s">
        <v>170</v>
      </c>
      <c r="F48" s="19">
        <f>ROUND(G48/C48,2)</f>
        <v>102.95</v>
      </c>
      <c r="G48" s="17">
        <f>14606+32544</f>
        <v>47150</v>
      </c>
      <c r="H48" s="38">
        <v>233</v>
      </c>
      <c r="I48" s="11">
        <f>D48*H48</f>
        <v>129315</v>
      </c>
      <c r="J48" s="95">
        <v>5.7439999999999998E-2</v>
      </c>
      <c r="K48" s="10">
        <f>ROUND(I48*J48,0)</f>
        <v>7428</v>
      </c>
      <c r="L48" s="10">
        <v>0</v>
      </c>
      <c r="M48" s="10">
        <f>ROUND(G48*0.05,0)</f>
        <v>2358</v>
      </c>
      <c r="N48" s="10">
        <f>+L48+M48</f>
        <v>2358</v>
      </c>
      <c r="O48" s="10">
        <f>+G48+K48+N48</f>
        <v>56936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f>20+3</f>
        <v>23</v>
      </c>
      <c r="D51" s="6">
        <v>17</v>
      </c>
      <c r="E51" s="8"/>
      <c r="F51" s="19">
        <f>ROUND(G51/C51,2)</f>
        <v>2450.09</v>
      </c>
      <c r="G51" s="17">
        <f>34765+21587</f>
        <v>56352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'22a&amp;b'!CO60</f>
        <v>0</v>
      </c>
      <c r="M51" s="10">
        <v>0</v>
      </c>
      <c r="N51" s="10">
        <f>+L51+M51</f>
        <v>0</v>
      </c>
      <c r="O51" s="10">
        <f>+G51+K51+N51</f>
        <v>56352</v>
      </c>
    </row>
    <row r="52" spans="1:16" x14ac:dyDescent="0.2">
      <c r="A52" t="s">
        <v>397</v>
      </c>
      <c r="C52" s="6">
        <f>13+3</f>
        <v>16</v>
      </c>
      <c r="D52" s="6">
        <v>11</v>
      </c>
      <c r="E52" s="8"/>
      <c r="F52" s="19">
        <f>ROUND(G52/C52,2)</f>
        <v>3390.5</v>
      </c>
      <c r="G52" s="17">
        <f>32900+21348</f>
        <v>54248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'22a&amp;b'!CO61</f>
        <v>0</v>
      </c>
      <c r="M52" s="10">
        <v>0</v>
      </c>
      <c r="N52" s="10">
        <f>+L52+M52</f>
        <v>0</v>
      </c>
      <c r="O52" s="10">
        <f>+G52+K52+N52</f>
        <v>54248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91261</v>
      </c>
      <c r="D54" s="6">
        <f>SUM(D12:D52)</f>
        <v>51634</v>
      </c>
      <c r="E54" s="74"/>
      <c r="F54" s="3"/>
      <c r="G54" s="17">
        <f>SUM(G12:G52)</f>
        <v>938837</v>
      </c>
      <c r="H54" s="6"/>
      <c r="I54" s="6">
        <f>SUM(I12:I52)</f>
        <v>5752913</v>
      </c>
      <c r="J54" s="18"/>
      <c r="K54" s="17">
        <f>SUM(K12:K52)</f>
        <v>330620</v>
      </c>
      <c r="L54" s="10">
        <f>SUM(L11:L52)</f>
        <v>155086</v>
      </c>
      <c r="M54" s="10">
        <f>SUM(M12:M52)</f>
        <v>3103</v>
      </c>
      <c r="N54" s="10">
        <f>SUM(N12:N52)</f>
        <v>158189</v>
      </c>
      <c r="O54" s="10">
        <f>SUM(O12:O52)</f>
        <v>1427646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424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428</v>
      </c>
      <c r="O59" s="1">
        <f>'Y1'!M7</f>
        <v>24</v>
      </c>
    </row>
    <row r="61" spans="1:16" ht="25.5" x14ac:dyDescent="0.2">
      <c r="A61" t="s">
        <v>455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+'22a&amp;b'!CO78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+'22a&amp;b'!CO79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+'22a&amp;b'!CO80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+'22a&amp;b'!CO81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0</v>
      </c>
      <c r="D73" s="6">
        <v>0</v>
      </c>
      <c r="E73" s="74"/>
      <c r="F73" s="19">
        <v>0</v>
      </c>
      <c r="G73" s="77">
        <f>3122+2142</f>
        <v>5264</v>
      </c>
      <c r="H73" s="6">
        <v>121</v>
      </c>
      <c r="I73" s="11">
        <f>D73*H73</f>
        <v>0</v>
      </c>
      <c r="J73" s="95">
        <v>7.4190000000000006E-2</v>
      </c>
      <c r="K73" s="10">
        <f>ROUND(I73*J73,0)</f>
        <v>0</v>
      </c>
      <c r="L73" s="10">
        <v>0</v>
      </c>
      <c r="M73" s="10">
        <f>ROUND(G73*0.05,0)</f>
        <v>263</v>
      </c>
      <c r="N73" s="10">
        <f>+L73+M73</f>
        <v>263</v>
      </c>
      <c r="O73" s="10">
        <f>+G73+K73+N73</f>
        <v>5527</v>
      </c>
    </row>
    <row r="74" spans="1:15" x14ac:dyDescent="0.2">
      <c r="A74" t="s">
        <v>349</v>
      </c>
      <c r="C74" s="3">
        <f>7+3</f>
        <v>10</v>
      </c>
      <c r="D74" s="6">
        <v>6</v>
      </c>
      <c r="E74" s="74"/>
      <c r="F74" s="19">
        <f>ROUND(G74/C74,2)</f>
        <v>936.4</v>
      </c>
      <c r="G74" s="77">
        <f>6522+2842</f>
        <v>9364</v>
      </c>
      <c r="H74" s="6">
        <v>570</v>
      </c>
      <c r="I74" s="11">
        <f>D74*H74</f>
        <v>3420</v>
      </c>
      <c r="J74" s="95">
        <v>7.4380000000000002E-2</v>
      </c>
      <c r="K74" s="10">
        <f>ROUND(I74*J74,0)</f>
        <v>254</v>
      </c>
      <c r="L74" s="10">
        <v>0</v>
      </c>
      <c r="M74" s="10">
        <f>ROUND(G74*0.05,0)</f>
        <v>468</v>
      </c>
      <c r="N74" s="10">
        <f>+L74+M74</f>
        <v>468</v>
      </c>
      <c r="O74" s="10">
        <f>+G74+K74+N74</f>
        <v>10086</v>
      </c>
    </row>
    <row r="75" spans="1:15" x14ac:dyDescent="0.2">
      <c r="C75" s="3"/>
      <c r="D75" s="6"/>
      <c r="E75" s="74"/>
      <c r="F75" s="19"/>
      <c r="G75" s="10"/>
      <c r="H75" s="6"/>
      <c r="I75" s="11"/>
      <c r="J75" s="95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6"/>
      <c r="I76" s="11"/>
      <c r="J76" s="95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f>2+12</f>
        <v>14</v>
      </c>
      <c r="D77" s="6">
        <v>6</v>
      </c>
      <c r="E77" s="74"/>
      <c r="F77" s="19">
        <f>ROUND(G77/C77,2)</f>
        <v>367.86</v>
      </c>
      <c r="G77" s="77">
        <f>2731+2419</f>
        <v>5150</v>
      </c>
      <c r="H77" s="6">
        <v>114</v>
      </c>
      <c r="I77" s="11">
        <f>D77*H77</f>
        <v>684</v>
      </c>
      <c r="J77" s="95">
        <v>7.4609999999999996E-2</v>
      </c>
      <c r="K77" s="10">
        <f>ROUND(I77*J77,0)</f>
        <v>51</v>
      </c>
      <c r="L77" s="10">
        <v>0</v>
      </c>
      <c r="M77" s="10">
        <f>ROUND(G77*0.05,0)</f>
        <v>258</v>
      </c>
      <c r="N77" s="10">
        <f>+L77+M77</f>
        <v>258</v>
      </c>
      <c r="O77" s="10">
        <f>+G77+K77+N77</f>
        <v>5459</v>
      </c>
    </row>
    <row r="78" spans="1:15" x14ac:dyDescent="0.2">
      <c r="A78" t="s">
        <v>207</v>
      </c>
      <c r="C78" s="3">
        <f>20+24</f>
        <v>44</v>
      </c>
      <c r="D78" s="6">
        <v>17</v>
      </c>
      <c r="E78" s="74"/>
      <c r="F78" s="19">
        <f>ROUND(G78/C78,2)</f>
        <v>125.57</v>
      </c>
      <c r="G78" s="77">
        <f>2356+3169</f>
        <v>5525</v>
      </c>
      <c r="H78" s="6">
        <v>349</v>
      </c>
      <c r="I78" s="11">
        <f>D78*H78</f>
        <v>5933</v>
      </c>
      <c r="J78" s="95">
        <v>7.4380000000000002E-2</v>
      </c>
      <c r="K78" s="10">
        <f>ROUND(I78*J78,0)</f>
        <v>441</v>
      </c>
      <c r="L78" s="10">
        <v>0</v>
      </c>
      <c r="M78" s="10">
        <f>ROUND(G78*0.05,0)</f>
        <v>276</v>
      </c>
      <c r="N78" s="10">
        <f>+L78+M78</f>
        <v>276</v>
      </c>
      <c r="O78" s="10">
        <f>+G78+K78+N78</f>
        <v>6242</v>
      </c>
    </row>
    <row r="79" spans="1:15" x14ac:dyDescent="0.2">
      <c r="C79" s="3"/>
      <c r="D79" s="6"/>
      <c r="E79" s="74"/>
      <c r="F79" s="19"/>
      <c r="G79" s="10"/>
      <c r="H79" s="6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442</v>
      </c>
      <c r="C80" s="3"/>
      <c r="D80" s="6"/>
      <c r="E80" s="74"/>
      <c r="F80" s="19"/>
      <c r="G80" s="10"/>
      <c r="H80" s="6"/>
      <c r="I80" s="11"/>
      <c r="J80" s="18"/>
      <c r="K80" s="10"/>
      <c r="L80" s="10"/>
      <c r="M80" s="10"/>
      <c r="N80" s="10"/>
      <c r="O80" s="10"/>
    </row>
    <row r="81" spans="1:15" x14ac:dyDescent="0.2">
      <c r="A81" t="s">
        <v>208</v>
      </c>
      <c r="C81" s="6">
        <v>0</v>
      </c>
      <c r="D81" s="6">
        <v>0</v>
      </c>
      <c r="E81" s="8"/>
      <c r="F81" s="19">
        <v>0</v>
      </c>
      <c r="G81" s="80">
        <f>6301+2250</f>
        <v>8551</v>
      </c>
      <c r="H81" s="38">
        <v>0</v>
      </c>
      <c r="I81" s="11">
        <v>0</v>
      </c>
      <c r="J81" s="18">
        <v>0</v>
      </c>
      <c r="K81" s="10">
        <v>0</v>
      </c>
      <c r="L81" s="10">
        <v>0</v>
      </c>
      <c r="M81" s="10">
        <v>0</v>
      </c>
      <c r="N81" s="10">
        <v>0</v>
      </c>
      <c r="O81" s="10">
        <f>+G81+K81+N81</f>
        <v>8551</v>
      </c>
    </row>
    <row r="82" spans="1:15" x14ac:dyDescent="0.2">
      <c r="A82" t="s">
        <v>397</v>
      </c>
      <c r="C82" s="6">
        <v>0</v>
      </c>
      <c r="D82" s="6">
        <v>0</v>
      </c>
      <c r="E82" s="8"/>
      <c r="F82" s="19">
        <v>0</v>
      </c>
      <c r="G82" s="80">
        <f>6301+2250</f>
        <v>8551</v>
      </c>
      <c r="H82" s="38">
        <v>0</v>
      </c>
      <c r="I82" s="11">
        <v>0</v>
      </c>
      <c r="J82" s="18">
        <v>0</v>
      </c>
      <c r="K82" s="10">
        <v>0</v>
      </c>
      <c r="L82" s="10">
        <v>0</v>
      </c>
      <c r="M82" s="10">
        <v>0</v>
      </c>
      <c r="N82" s="10">
        <v>0</v>
      </c>
      <c r="O82" s="10">
        <f>+G82+K82+N82</f>
        <v>8551</v>
      </c>
    </row>
    <row r="83" spans="1:15" x14ac:dyDescent="0.2">
      <c r="C83" s="6"/>
      <c r="D83" s="6"/>
      <c r="E83" s="8"/>
      <c r="F83" s="19"/>
      <c r="G83" s="17"/>
      <c r="H83" s="38"/>
      <c r="I83" s="11"/>
      <c r="J83" s="18"/>
      <c r="K83" s="10"/>
      <c r="L83" s="10"/>
      <c r="M83" s="10"/>
      <c r="N83" s="10"/>
      <c r="O83" s="10"/>
    </row>
    <row r="84" spans="1:15" x14ac:dyDescent="0.2">
      <c r="A84" t="s">
        <v>396</v>
      </c>
      <c r="C84" s="6">
        <f>17+87</f>
        <v>104</v>
      </c>
      <c r="D84" s="6">
        <v>26</v>
      </c>
      <c r="E84" s="8"/>
      <c r="F84" s="19">
        <f>ROUND(G84/C84,2)</f>
        <v>7324.43</v>
      </c>
      <c r="G84" s="80">
        <f>182360+579381</f>
        <v>761741</v>
      </c>
      <c r="H84" s="38">
        <v>8788</v>
      </c>
      <c r="I84" s="11">
        <f>D84*H84</f>
        <v>228488</v>
      </c>
      <c r="J84" s="95">
        <v>7.2349999999999998E-2</v>
      </c>
      <c r="K84" s="10">
        <f>ROUND(I84*J84,0)</f>
        <v>16531</v>
      </c>
      <c r="L84" s="10">
        <v>0</v>
      </c>
      <c r="M84" s="10">
        <f>ROUND(G84*0.05,0)</f>
        <v>38087</v>
      </c>
      <c r="N84" s="10">
        <f>+L84+M84</f>
        <v>38087</v>
      </c>
      <c r="O84" s="10">
        <f>+G84+K84+N84</f>
        <v>816359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172</v>
      </c>
      <c r="D86" s="84">
        <f>SUM(D67:D84)</f>
        <v>55</v>
      </c>
      <c r="E86" s="74"/>
      <c r="F86" s="3"/>
      <c r="G86" s="10">
        <f>SUM(G67:G84)</f>
        <v>804146</v>
      </c>
      <c r="H86" s="6"/>
      <c r="I86" s="84">
        <f>SUM(I67:I84)</f>
        <v>238525</v>
      </c>
      <c r="J86" s="18"/>
      <c r="K86" s="10">
        <f>SUM(K67:K84)</f>
        <v>17277</v>
      </c>
      <c r="L86" s="10">
        <f>SUM(L67:L84)</f>
        <v>0</v>
      </c>
      <c r="M86" s="10">
        <f>SUM(M67:M84)</f>
        <v>39352</v>
      </c>
      <c r="N86" s="10">
        <f>SUM(N67:N84)</f>
        <v>39352</v>
      </c>
      <c r="O86" s="10">
        <f>SUM(O67:O84)</f>
        <v>860775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91433</v>
      </c>
      <c r="D99" s="6">
        <f>+D54+D86+D97</f>
        <v>51689</v>
      </c>
      <c r="E99" s="74"/>
      <c r="F99" s="3"/>
      <c r="G99" s="17">
        <f>+G54+G86+G97</f>
        <v>1742983</v>
      </c>
      <c r="H99" s="6"/>
      <c r="I99" s="6">
        <f>+I54+I86+I97</f>
        <v>5991438</v>
      </c>
      <c r="J99" s="18"/>
      <c r="K99" s="17">
        <f>+K54+K86+K97</f>
        <v>347897</v>
      </c>
      <c r="L99" s="10">
        <f>+L54+L86+L97</f>
        <v>155086</v>
      </c>
      <c r="M99" s="10">
        <f>+M54+M86+M97</f>
        <v>42455</v>
      </c>
      <c r="N99" s="10">
        <f>+N54+N86+N97</f>
        <v>197541</v>
      </c>
      <c r="O99" s="10">
        <f>+O54+O86+O97</f>
        <v>2288421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zoomScale="85" zoomScaleNormal="85" workbookViewId="0">
      <pane xSplit="2" ySplit="10" topLeftCell="C11" activePane="bottomRight" state="frozen"/>
      <selection activeCell="F8" sqref="F8"/>
      <selection pane="topRight" activeCell="F8" sqref="F8"/>
      <selection pane="bottomLeft" activeCell="F8" sqref="F8"/>
      <selection pane="bottomRight" activeCell="H39" sqref="H39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8" x14ac:dyDescent="0.2">
      <c r="A1" s="16" t="s">
        <v>447</v>
      </c>
      <c r="B1" s="14"/>
    </row>
    <row r="3" spans="1:18" x14ac:dyDescent="0.2">
      <c r="A3" s="28" t="s">
        <v>0</v>
      </c>
      <c r="I3" s="15"/>
      <c r="N3" s="37" t="s">
        <v>140</v>
      </c>
    </row>
    <row r="4" spans="1:18" ht="25.5" x14ac:dyDescent="0.2">
      <c r="A4" s="36" t="s">
        <v>487</v>
      </c>
      <c r="N4" s="8" t="s">
        <v>448</v>
      </c>
      <c r="O4" s="1">
        <f>+'Y1'!M7</f>
        <v>24</v>
      </c>
    </row>
    <row r="6" spans="1:18" ht="25.5" x14ac:dyDescent="0.2">
      <c r="A6" t="s">
        <v>456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314</v>
      </c>
    </row>
    <row r="7" spans="1:18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8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8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8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8" x14ac:dyDescent="0.2">
      <c r="A11" t="s">
        <v>29</v>
      </c>
    </row>
    <row r="12" spans="1:18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+'22a&amp;b'!CQ13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8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8" x14ac:dyDescent="0.2">
      <c r="A14" s="22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8" x14ac:dyDescent="0.2">
      <c r="A15" s="22" t="s">
        <v>253</v>
      </c>
      <c r="C15" s="6">
        <f>22+26</f>
        <v>48</v>
      </c>
      <c r="D15" s="6">
        <v>580</v>
      </c>
      <c r="E15" s="8" t="s">
        <v>170</v>
      </c>
      <c r="F15" s="19">
        <f>ROUND(G15/C15,2)</f>
        <v>1289.83</v>
      </c>
      <c r="G15" s="17">
        <f>16523+45389</f>
        <v>61912</v>
      </c>
      <c r="H15" s="6">
        <v>981</v>
      </c>
      <c r="I15" s="11">
        <f>D15*H15</f>
        <v>568980</v>
      </c>
      <c r="J15" s="95">
        <v>5.7489999999999999E-2</v>
      </c>
      <c r="K15" s="10">
        <f>ROUND(I15*J15,0)</f>
        <v>32711</v>
      </c>
      <c r="L15" s="10">
        <f>+'22a&amp;b'!CP16</f>
        <v>5145</v>
      </c>
      <c r="M15" s="10">
        <f>ROUND(G15*0,0)</f>
        <v>0</v>
      </c>
      <c r="N15" s="10">
        <f>+L15+M15</f>
        <v>5145</v>
      </c>
      <c r="O15" s="10">
        <f>+G15+K15+N15</f>
        <v>99768</v>
      </c>
      <c r="R15" s="6"/>
    </row>
    <row r="16" spans="1:18" x14ac:dyDescent="0.2">
      <c r="A16" t="s">
        <v>254</v>
      </c>
      <c r="C16" s="6">
        <f>3+8</f>
        <v>11</v>
      </c>
      <c r="D16" s="6">
        <v>77</v>
      </c>
      <c r="E16" s="8" t="s">
        <v>170</v>
      </c>
      <c r="F16" s="19">
        <f>ROUND(G16/C16,2)</f>
        <v>82.64</v>
      </c>
      <c r="G16" s="17">
        <f>100+809</f>
        <v>909</v>
      </c>
      <c r="H16" s="6">
        <v>437</v>
      </c>
      <c r="I16" s="11">
        <f>D16*H16</f>
        <v>33649</v>
      </c>
      <c r="J16" s="95">
        <v>5.7459999999999997E-2</v>
      </c>
      <c r="K16" s="10">
        <f>ROUND(I16*J16,0)</f>
        <v>1933</v>
      </c>
      <c r="L16" s="10">
        <v>0</v>
      </c>
      <c r="M16" s="10">
        <f>ROUND(G16*0.05,0)</f>
        <v>45</v>
      </c>
      <c r="N16" s="10">
        <f>+L16+M16</f>
        <v>45</v>
      </c>
      <c r="O16" s="10">
        <f>+G16+K16+N16</f>
        <v>2887</v>
      </c>
      <c r="R16" s="6"/>
    </row>
    <row r="17" spans="1:18" x14ac:dyDescent="0.2"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  <c r="R17" s="6"/>
    </row>
    <row r="18" spans="1:18" x14ac:dyDescent="0.2">
      <c r="A18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+'22a&amp;b'!CQ19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  <c r="R18" s="6"/>
    </row>
    <row r="19" spans="1:18" x14ac:dyDescent="0.2"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  <c r="R19" s="6"/>
    </row>
    <row r="20" spans="1:18" x14ac:dyDescent="0.2">
      <c r="A20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  <c r="R20" s="6"/>
    </row>
    <row r="21" spans="1:18" x14ac:dyDescent="0.2">
      <c r="A21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+'22a&amp;b'!CQ22</f>
        <v>0</v>
      </c>
      <c r="M21" s="10">
        <v>0</v>
      </c>
      <c r="N21" s="10">
        <f>+L21+M21</f>
        <v>0</v>
      </c>
      <c r="O21" s="10">
        <f>+G21+K21+N21</f>
        <v>0</v>
      </c>
      <c r="R21" s="6"/>
    </row>
    <row r="22" spans="1:18" x14ac:dyDescent="0.2">
      <c r="A2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+'22a&amp;b'!CQ23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  <c r="R22" s="6"/>
    </row>
    <row r="23" spans="1:18" x14ac:dyDescent="0.2"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  <c r="R23" s="6"/>
    </row>
    <row r="24" spans="1:18" x14ac:dyDescent="0.2">
      <c r="A24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  <c r="R24" s="6"/>
    </row>
    <row r="25" spans="1:18" x14ac:dyDescent="0.2">
      <c r="A25" t="s">
        <v>257</v>
      </c>
      <c r="C25" s="6">
        <f>30+66</f>
        <v>96</v>
      </c>
      <c r="D25" s="6">
        <v>656</v>
      </c>
      <c r="E25" s="8" t="s">
        <v>170</v>
      </c>
      <c r="F25" s="19">
        <f>ROUND(G25/C25,2)</f>
        <v>411.98</v>
      </c>
      <c r="G25" s="17">
        <f>8800+30750</f>
        <v>39550</v>
      </c>
      <c r="H25" s="6">
        <v>1292</v>
      </c>
      <c r="I25" s="11">
        <f>D25*H25</f>
        <v>847552</v>
      </c>
      <c r="J25" s="95">
        <v>5.747E-2</v>
      </c>
      <c r="K25" s="10">
        <f>ROUND(I25*J25,0)</f>
        <v>48709</v>
      </c>
      <c r="L25" s="10">
        <f>+'22a&amp;b'!CP26</f>
        <v>22728</v>
      </c>
      <c r="M25" s="10">
        <v>0</v>
      </c>
      <c r="N25" s="10">
        <f>+L25+M25</f>
        <v>22728</v>
      </c>
      <c r="O25" s="10">
        <f>+G25+K25+N25</f>
        <v>110987</v>
      </c>
      <c r="R25" s="6"/>
    </row>
    <row r="26" spans="1:18" x14ac:dyDescent="0.2">
      <c r="C26" s="6"/>
      <c r="D26" s="6"/>
      <c r="E26" s="74"/>
      <c r="F26" s="19"/>
      <c r="G26" s="17"/>
      <c r="H26" s="6"/>
      <c r="I26" s="11"/>
      <c r="J26" s="95"/>
      <c r="K26" s="10"/>
      <c r="L26" s="10"/>
      <c r="M26" s="10"/>
      <c r="N26" s="10"/>
      <c r="O26" s="10"/>
      <c r="R26" s="6"/>
    </row>
    <row r="27" spans="1:18" x14ac:dyDescent="0.2">
      <c r="A27" t="s">
        <v>346</v>
      </c>
      <c r="C27" s="6"/>
      <c r="D27" s="6"/>
      <c r="E27" s="74"/>
      <c r="F27" s="19"/>
      <c r="G27" s="17"/>
      <c r="H27" s="6"/>
      <c r="I27" s="11"/>
      <c r="J27" s="95"/>
      <c r="K27" s="10"/>
      <c r="L27" s="10"/>
      <c r="M27" s="10"/>
      <c r="N27" s="10"/>
      <c r="O27" s="10"/>
      <c r="R27" s="6"/>
    </row>
    <row r="28" spans="1:18" x14ac:dyDescent="0.2">
      <c r="A28" s="22" t="s">
        <v>207</v>
      </c>
      <c r="C28" s="6">
        <f>25+42</f>
        <v>67</v>
      </c>
      <c r="D28" s="6">
        <v>526</v>
      </c>
      <c r="E28" s="8" t="s">
        <v>170</v>
      </c>
      <c r="F28" s="19">
        <f>ROUND(G28/C28,2)</f>
        <v>525.37</v>
      </c>
      <c r="G28" s="17">
        <f>8250+26950</f>
        <v>35200</v>
      </c>
      <c r="H28" s="6">
        <v>841</v>
      </c>
      <c r="I28" s="11">
        <f>D28*H28</f>
        <v>442366</v>
      </c>
      <c r="J28" s="95">
        <v>5.747E-2</v>
      </c>
      <c r="K28" s="10">
        <f>ROUND(I28*J28,0)</f>
        <v>25423</v>
      </c>
      <c r="L28" s="10">
        <f>+'22a&amp;b'!CP29</f>
        <v>5558</v>
      </c>
      <c r="M28" s="10">
        <v>0</v>
      </c>
      <c r="N28" s="10">
        <f>+L28+M28</f>
        <v>5558</v>
      </c>
      <c r="O28" s="10">
        <f>+G28+K28+N28</f>
        <v>66181</v>
      </c>
      <c r="R28" s="6"/>
    </row>
    <row r="29" spans="1:18" x14ac:dyDescent="0.2">
      <c r="A29" s="22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95">
        <v>0</v>
      </c>
      <c r="K29" s="10">
        <f>ROUND(I29*J29,0)</f>
        <v>0</v>
      </c>
      <c r="L29" s="10">
        <f>+'22a&amp;b'!CP30</f>
        <v>0</v>
      </c>
      <c r="M29" s="10">
        <v>0</v>
      </c>
      <c r="N29" s="10">
        <f>+L29+M29</f>
        <v>0</v>
      </c>
      <c r="O29" s="10">
        <f>+G29+K29+N29</f>
        <v>0</v>
      </c>
      <c r="R29" s="6"/>
    </row>
    <row r="30" spans="1:18" x14ac:dyDescent="0.2">
      <c r="A30" s="22"/>
      <c r="C30" s="6"/>
      <c r="D30" s="6"/>
      <c r="E30" s="74"/>
      <c r="F30" s="19"/>
      <c r="G30" s="17"/>
      <c r="H30" s="6"/>
      <c r="I30" s="11"/>
      <c r="J30" s="95"/>
      <c r="K30" s="10"/>
      <c r="L30" s="10"/>
      <c r="M30" s="10"/>
      <c r="N30" s="10"/>
      <c r="O30" s="10"/>
      <c r="R30" s="6"/>
    </row>
    <row r="31" spans="1:18" x14ac:dyDescent="0.2">
      <c r="A31" s="22" t="s">
        <v>209</v>
      </c>
      <c r="C31" s="6">
        <f>306+292</f>
        <v>598</v>
      </c>
      <c r="D31" s="6">
        <v>3693</v>
      </c>
      <c r="E31" s="8"/>
      <c r="F31" s="19">
        <f>ROUND(G31/C31,2)</f>
        <v>336.43</v>
      </c>
      <c r="G31" s="17">
        <f>98015+103168+1</f>
        <v>201184</v>
      </c>
      <c r="H31" s="38">
        <v>326</v>
      </c>
      <c r="I31" s="11">
        <f>D31*H31</f>
        <v>1203918</v>
      </c>
      <c r="J31" s="95">
        <v>5.7509999999999999E-2</v>
      </c>
      <c r="K31" s="10">
        <f>ROUND(I31*J31,0)</f>
        <v>69237</v>
      </c>
      <c r="L31" s="10">
        <f>+'22a&amp;b'!CP32</f>
        <v>3809</v>
      </c>
      <c r="M31" s="10">
        <v>0</v>
      </c>
      <c r="N31" s="10">
        <f>+L31+M31</f>
        <v>3809</v>
      </c>
      <c r="O31" s="10">
        <f>+G31+K31+N31</f>
        <v>274230</v>
      </c>
      <c r="R31" s="6"/>
    </row>
    <row r="32" spans="1:18" x14ac:dyDescent="0.2">
      <c r="A32" s="22"/>
      <c r="C32" s="6"/>
      <c r="D32" s="6"/>
      <c r="E32" s="74"/>
      <c r="F32" s="19"/>
      <c r="G32" s="17"/>
      <c r="H32" s="38"/>
      <c r="I32" s="11"/>
      <c r="J32" s="95"/>
      <c r="K32" s="10"/>
      <c r="L32" s="10"/>
      <c r="M32" s="10"/>
      <c r="N32" s="10"/>
      <c r="O32" s="10"/>
      <c r="R32" s="6"/>
    </row>
    <row r="33" spans="1:18" x14ac:dyDescent="0.2">
      <c r="A33" t="s">
        <v>348</v>
      </c>
      <c r="C33" s="6"/>
      <c r="D33" s="6"/>
      <c r="E33" s="74"/>
      <c r="F33" s="19"/>
      <c r="G33" s="17"/>
      <c r="H33" s="38"/>
      <c r="I33" s="11"/>
      <c r="J33" s="95"/>
      <c r="K33" s="10"/>
      <c r="L33" s="10"/>
      <c r="M33" s="10"/>
      <c r="N33" s="10"/>
      <c r="O33" s="10"/>
      <c r="R33" s="6"/>
    </row>
    <row r="34" spans="1:18" s="42" customFormat="1" x14ac:dyDescent="0.2">
      <c r="A34" s="42" t="s">
        <v>353</v>
      </c>
      <c r="C34" s="43">
        <f>49+35</f>
        <v>84</v>
      </c>
      <c r="D34" s="43">
        <v>405</v>
      </c>
      <c r="E34" s="94" t="s">
        <v>170</v>
      </c>
      <c r="F34" s="79">
        <f>ROUND(G34/C34,2)</f>
        <v>460.12</v>
      </c>
      <c r="G34" s="80">
        <f>16150+22500</f>
        <v>38650</v>
      </c>
      <c r="H34" s="78">
        <v>671</v>
      </c>
      <c r="I34" s="81">
        <f>D34*H34</f>
        <v>271755</v>
      </c>
      <c r="J34" s="95">
        <v>5.7500000000000002E-2</v>
      </c>
      <c r="K34" s="77">
        <f>ROUND(I34*J34,0)</f>
        <v>15626</v>
      </c>
      <c r="L34" s="77">
        <f>+'22a&amp;b'!CP35</f>
        <v>3301</v>
      </c>
      <c r="M34" s="77">
        <v>0</v>
      </c>
      <c r="N34" s="77">
        <f>+L34+M34</f>
        <v>3301</v>
      </c>
      <c r="O34" s="77">
        <f>+G34+K34+N34</f>
        <v>57577</v>
      </c>
      <c r="R34" s="43"/>
    </row>
    <row r="35" spans="1:18" s="42" customFormat="1" x14ac:dyDescent="0.2">
      <c r="A35" s="42" t="s">
        <v>446</v>
      </c>
      <c r="C35" s="43">
        <f>74+133</f>
        <v>207</v>
      </c>
      <c r="D35" s="43">
        <v>585</v>
      </c>
      <c r="E35" s="94" t="s">
        <v>170</v>
      </c>
      <c r="F35" s="79">
        <f>ROUND(G35/C35,2)</f>
        <v>452.9</v>
      </c>
      <c r="G35" s="80">
        <f>28350+65400</f>
        <v>93750</v>
      </c>
      <c r="H35" s="78">
        <v>849</v>
      </c>
      <c r="I35" s="81">
        <f>D35*H35</f>
        <v>496665</v>
      </c>
      <c r="J35" s="95">
        <v>5.7459999999999997E-2</v>
      </c>
      <c r="K35" s="77">
        <f>ROUND(I35*J35,0)</f>
        <v>28538</v>
      </c>
      <c r="L35" s="77">
        <f>+'22a&amp;b'!CP36</f>
        <v>18332</v>
      </c>
      <c r="M35" s="77">
        <v>0</v>
      </c>
      <c r="N35" s="77">
        <f>+L35+M35</f>
        <v>18332</v>
      </c>
      <c r="O35" s="77">
        <f>+G35+K35+N35</f>
        <v>140620</v>
      </c>
      <c r="R35" s="43"/>
    </row>
    <row r="36" spans="1:18" x14ac:dyDescent="0.2">
      <c r="A36" s="22"/>
      <c r="C36" s="6"/>
      <c r="D36" s="6"/>
      <c r="E36" s="74"/>
      <c r="F36" s="19"/>
      <c r="G36" s="17"/>
      <c r="H36" s="38"/>
      <c r="I36" s="11"/>
      <c r="J36" s="95"/>
      <c r="K36" s="10"/>
      <c r="L36" s="10"/>
      <c r="M36" s="10"/>
      <c r="N36" s="10"/>
      <c r="O36" s="10"/>
      <c r="R36" s="6"/>
    </row>
    <row r="37" spans="1:18" x14ac:dyDescent="0.2">
      <c r="A37" s="60" t="s">
        <v>350</v>
      </c>
      <c r="C37" s="6">
        <f>375+214</f>
        <v>589</v>
      </c>
      <c r="D37" s="6">
        <v>637</v>
      </c>
      <c r="E37" s="94"/>
      <c r="F37" s="19">
        <f>ROUND(G37/C37,2)</f>
        <v>12.86</v>
      </c>
      <c r="G37" s="17">
        <f>7573</f>
        <v>7573</v>
      </c>
      <c r="H37" s="38">
        <v>111</v>
      </c>
      <c r="I37" s="11">
        <f>D37*H37</f>
        <v>70707</v>
      </c>
      <c r="J37" s="95">
        <v>5.7299999999999997E-2</v>
      </c>
      <c r="K37" s="10">
        <f>ROUND(I37*J37,0)</f>
        <v>4052</v>
      </c>
      <c r="L37" s="10">
        <f>+'22a&amp;b'!CP38</f>
        <v>1867</v>
      </c>
      <c r="M37" s="10">
        <v>0</v>
      </c>
      <c r="N37" s="10">
        <f>+L37+M37</f>
        <v>1867</v>
      </c>
      <c r="O37" s="10">
        <f>+G37+K37+N37</f>
        <v>13492</v>
      </c>
      <c r="R37" s="6"/>
    </row>
    <row r="38" spans="1:18" x14ac:dyDescent="0.2">
      <c r="A38" s="22"/>
      <c r="C38" s="6"/>
      <c r="D38" s="6"/>
      <c r="E38" s="74"/>
      <c r="F38" s="19"/>
      <c r="G38" s="17"/>
      <c r="H38" s="38"/>
      <c r="I38" s="11"/>
      <c r="J38" s="95"/>
      <c r="K38" s="10"/>
      <c r="L38" s="10"/>
      <c r="M38" s="10"/>
      <c r="N38" s="10"/>
      <c r="O38" s="10"/>
      <c r="R38" s="6"/>
    </row>
    <row r="39" spans="1:18" x14ac:dyDescent="0.2">
      <c r="A39" s="22" t="s">
        <v>351</v>
      </c>
      <c r="C39" s="6">
        <f>813+1478</f>
        <v>2291</v>
      </c>
      <c r="D39" s="6">
        <v>6324</v>
      </c>
      <c r="E39" s="94" t="s">
        <v>170</v>
      </c>
      <c r="F39" s="19">
        <f>ROUND(G39/C39,2)</f>
        <v>15.84</v>
      </c>
      <c r="G39" s="17">
        <f>36283</f>
        <v>36283</v>
      </c>
      <c r="H39" s="38">
        <v>124</v>
      </c>
      <c r="I39" s="11">
        <f>D39*H39</f>
        <v>784176</v>
      </c>
      <c r="J39" s="95">
        <v>5.7579999999999999E-2</v>
      </c>
      <c r="K39" s="10">
        <f>ROUND(I39*J39,0)</f>
        <v>45153</v>
      </c>
      <c r="L39" s="10">
        <f>+'22a&amp;b'!CP40</f>
        <v>10928</v>
      </c>
      <c r="M39" s="10">
        <v>0</v>
      </c>
      <c r="N39" s="10">
        <f>+L39+M39</f>
        <v>10928</v>
      </c>
      <c r="O39" s="10">
        <f>+G39+K39+N39</f>
        <v>92364</v>
      </c>
      <c r="R39" s="6"/>
    </row>
    <row r="40" spans="1:18" x14ac:dyDescent="0.2">
      <c r="A40" s="22"/>
      <c r="C40" s="6"/>
      <c r="D40" s="43"/>
      <c r="E40" s="94"/>
      <c r="F40" s="19"/>
      <c r="G40" s="17"/>
      <c r="H40" s="38"/>
      <c r="I40" s="11"/>
      <c r="J40" s="95"/>
      <c r="K40" s="10"/>
      <c r="L40" s="10"/>
      <c r="M40" s="10"/>
      <c r="N40" s="10"/>
      <c r="O40" s="10"/>
      <c r="R40" s="6"/>
    </row>
    <row r="41" spans="1:18" x14ac:dyDescent="0.2">
      <c r="A41" s="22" t="s">
        <v>386</v>
      </c>
      <c r="C41" s="6"/>
      <c r="D41" s="6"/>
      <c r="E41" s="8"/>
      <c r="F41" s="19"/>
      <c r="G41" s="17"/>
      <c r="H41" s="38"/>
      <c r="I41" s="11"/>
      <c r="J41" s="95"/>
      <c r="K41" s="10"/>
      <c r="L41" s="10"/>
      <c r="M41" s="10"/>
      <c r="N41" s="10"/>
      <c r="O41" s="10"/>
      <c r="R41" s="6"/>
    </row>
    <row r="42" spans="1:18" x14ac:dyDescent="0.2">
      <c r="A42" t="s">
        <v>387</v>
      </c>
      <c r="C42" s="6">
        <f>73080+27769</f>
        <v>100849</v>
      </c>
      <c r="D42" s="6">
        <v>80891</v>
      </c>
      <c r="E42" s="8" t="s">
        <v>170</v>
      </c>
      <c r="F42" s="19">
        <f>ROUND(G42/C42,2)</f>
        <v>2.23</v>
      </c>
      <c r="G42" s="17">
        <f>127321+97811</f>
        <v>225132</v>
      </c>
      <c r="H42" s="38">
        <v>23</v>
      </c>
      <c r="I42" s="11">
        <f>D42*H42</f>
        <v>1860493</v>
      </c>
      <c r="J42" s="95">
        <v>5.7389999999999997E-2</v>
      </c>
      <c r="K42" s="10">
        <f>ROUND(I42*J42,0)</f>
        <v>106774</v>
      </c>
      <c r="L42" s="10">
        <f>+'22a&amp;b'!CP43</f>
        <v>85722</v>
      </c>
      <c r="M42" s="10">
        <v>0</v>
      </c>
      <c r="N42" s="10">
        <f>+L42+M42</f>
        <v>85722</v>
      </c>
      <c r="O42" s="10">
        <f>+G42+K42+N42</f>
        <v>417628</v>
      </c>
      <c r="R42" s="6"/>
    </row>
    <row r="43" spans="1:18" x14ac:dyDescent="0.2">
      <c r="A43" t="s">
        <v>458</v>
      </c>
      <c r="C43" s="6">
        <f>6298+6254</f>
        <v>12552</v>
      </c>
      <c r="D43" s="43">
        <v>6395</v>
      </c>
      <c r="E43" s="8"/>
      <c r="F43" s="19">
        <f>ROUND(G43/C43,2)</f>
        <v>2.38</v>
      </c>
      <c r="G43" s="17">
        <f>12783+17111</f>
        <v>29894</v>
      </c>
      <c r="H43" s="78">
        <v>30</v>
      </c>
      <c r="I43" s="11">
        <f>D43*H43</f>
        <v>191850</v>
      </c>
      <c r="J43" s="95">
        <v>5.7930000000000002E-2</v>
      </c>
      <c r="K43" s="10">
        <f>ROUND(I43*J43,0)</f>
        <v>11114</v>
      </c>
      <c r="L43" s="10">
        <f>+'22a&amp;b'!CP44</f>
        <v>14560</v>
      </c>
      <c r="M43" s="10">
        <v>0</v>
      </c>
      <c r="N43" s="10">
        <f>+L43+M43</f>
        <v>14560</v>
      </c>
      <c r="O43" s="10">
        <f>+G43+K43+N43</f>
        <v>55568</v>
      </c>
      <c r="R43" s="6"/>
    </row>
    <row r="44" spans="1:18" x14ac:dyDescent="0.2">
      <c r="A44" t="s">
        <v>398</v>
      </c>
      <c r="C44" s="6">
        <v>0</v>
      </c>
      <c r="D44" s="43">
        <v>0</v>
      </c>
      <c r="E44" s="8"/>
      <c r="F44" s="19">
        <v>0</v>
      </c>
      <c r="G44" s="17">
        <v>223</v>
      </c>
      <c r="H44" s="78">
        <v>0</v>
      </c>
      <c r="I44" s="11">
        <f>D44*H44</f>
        <v>0</v>
      </c>
      <c r="J44" s="95">
        <v>5.8540000000000002E-2</v>
      </c>
      <c r="K44" s="10">
        <f>ROUND(I44*J44,0)</f>
        <v>0</v>
      </c>
      <c r="L44" s="10">
        <v>0</v>
      </c>
      <c r="M44" s="10">
        <f>ROUND(G44*0.05,0)</f>
        <v>11</v>
      </c>
      <c r="N44" s="10">
        <f>+L44+M44</f>
        <v>11</v>
      </c>
      <c r="O44" s="10">
        <f>+G44+K44+N44</f>
        <v>234</v>
      </c>
      <c r="R44" s="6"/>
    </row>
    <row r="45" spans="1:18" x14ac:dyDescent="0.2">
      <c r="A45" s="22"/>
      <c r="C45" s="6"/>
      <c r="D45" s="6"/>
      <c r="E45" s="8"/>
      <c r="F45" s="19"/>
      <c r="G45" s="17"/>
      <c r="H45" s="78"/>
      <c r="I45" s="11"/>
      <c r="J45" s="95"/>
      <c r="K45" s="10"/>
      <c r="L45" s="10"/>
      <c r="M45" s="10"/>
      <c r="N45" s="10"/>
      <c r="O45" s="10"/>
      <c r="R45" s="6"/>
    </row>
    <row r="46" spans="1:18" x14ac:dyDescent="0.2">
      <c r="A46" s="22" t="s">
        <v>388</v>
      </c>
      <c r="C46" s="6"/>
      <c r="D46" s="6"/>
      <c r="E46" s="8"/>
      <c r="F46" s="19"/>
      <c r="G46" s="17"/>
      <c r="H46" s="78"/>
      <c r="I46" s="11"/>
      <c r="J46" s="95"/>
      <c r="K46" s="10"/>
      <c r="L46" s="10"/>
      <c r="M46" s="10"/>
      <c r="N46" s="10"/>
      <c r="O46" s="10"/>
      <c r="R46" s="6"/>
    </row>
    <row r="47" spans="1:18" x14ac:dyDescent="0.2">
      <c r="A47" t="s">
        <v>208</v>
      </c>
      <c r="C47" s="6">
        <v>0</v>
      </c>
      <c r="D47" s="6">
        <v>69</v>
      </c>
      <c r="E47" s="8" t="s">
        <v>170</v>
      </c>
      <c r="F47" s="19">
        <v>0</v>
      </c>
      <c r="G47" s="17">
        <f>200</f>
        <v>200</v>
      </c>
      <c r="H47" s="78">
        <v>63</v>
      </c>
      <c r="I47" s="11">
        <f>D47*H47</f>
        <v>4347</v>
      </c>
      <c r="J47" s="95">
        <v>5.7140000000000003E-2</v>
      </c>
      <c r="K47" s="10">
        <f>ROUND(I47*J47,0)</f>
        <v>248</v>
      </c>
      <c r="L47" s="10">
        <v>0</v>
      </c>
      <c r="M47" s="10">
        <f>ROUND(G47*0.05,0)</f>
        <v>10</v>
      </c>
      <c r="N47" s="10">
        <f>+L47+M47</f>
        <v>10</v>
      </c>
      <c r="O47" s="10">
        <f>+G47+K47+N47</f>
        <v>458</v>
      </c>
      <c r="R47" s="6"/>
    </row>
    <row r="48" spans="1:18" x14ac:dyDescent="0.2">
      <c r="A48" t="s">
        <v>207</v>
      </c>
      <c r="C48" s="6">
        <f>50+19</f>
        <v>69</v>
      </c>
      <c r="D48" s="6">
        <v>296</v>
      </c>
      <c r="E48" s="8"/>
      <c r="F48" s="19">
        <f>ROUND(G48/C48,2)</f>
        <v>183.48</v>
      </c>
      <c r="G48" s="17">
        <f>9060+3600</f>
        <v>12660</v>
      </c>
      <c r="H48" s="78">
        <v>234</v>
      </c>
      <c r="I48" s="11">
        <f>D48*H48</f>
        <v>69264</v>
      </c>
      <c r="J48" s="95">
        <v>5.7439999999999998E-2</v>
      </c>
      <c r="K48" s="10">
        <f>ROUND(I48*J48,0)</f>
        <v>3979</v>
      </c>
      <c r="L48" s="10">
        <v>0</v>
      </c>
      <c r="M48" s="10">
        <f>ROUND(G48*0.05,0)</f>
        <v>633</v>
      </c>
      <c r="N48" s="10">
        <f>+L48+M48</f>
        <v>633</v>
      </c>
      <c r="O48" s="10">
        <f>+G48+K48+N48</f>
        <v>17272</v>
      </c>
      <c r="R48" s="6"/>
    </row>
    <row r="49" spans="1:18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  <c r="R49" s="6"/>
    </row>
    <row r="50" spans="1:18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  <c r="R50" s="6"/>
    </row>
    <row r="51" spans="1:18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f>7528+1125+5</f>
        <v>8658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'22a&amp;b'!CN60</f>
        <v>0</v>
      </c>
      <c r="M51" s="10">
        <v>0</v>
      </c>
      <c r="N51" s="10">
        <f>+L51+M51</f>
        <v>0</v>
      </c>
      <c r="O51" s="10">
        <f>+G51+K51+N51</f>
        <v>8658</v>
      </c>
      <c r="R51" s="6"/>
    </row>
    <row r="52" spans="1:18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f>7508+1125+1-6</f>
        <v>8628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'22a&amp;b'!CN61</f>
        <v>0</v>
      </c>
      <c r="M52" s="10">
        <v>0</v>
      </c>
      <c r="N52" s="10">
        <f>+L52+M52</f>
        <v>0</v>
      </c>
      <c r="O52" s="10">
        <f>+G52+K52+N52</f>
        <v>8628</v>
      </c>
      <c r="R52" s="6"/>
    </row>
    <row r="53" spans="1:18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8" x14ac:dyDescent="0.2">
      <c r="A54" t="s">
        <v>39</v>
      </c>
      <c r="C54" s="6">
        <f>SUM(C12:C52)</f>
        <v>117461</v>
      </c>
      <c r="D54" s="6">
        <f>SUM(D12:D52)</f>
        <v>101134</v>
      </c>
      <c r="E54" s="74"/>
      <c r="F54" s="3"/>
      <c r="G54" s="17">
        <f>SUM(G12:G52)</f>
        <v>800406</v>
      </c>
      <c r="H54" s="6"/>
      <c r="I54" s="6">
        <f>SUM(I12:I52)</f>
        <v>6845722</v>
      </c>
      <c r="J54" s="18"/>
      <c r="K54" s="17">
        <f>SUM(K12:K52)</f>
        <v>393497</v>
      </c>
      <c r="L54" s="10">
        <f>SUM(L11:L52)</f>
        <v>171950</v>
      </c>
      <c r="M54" s="10">
        <f>SUM(M12:M52)</f>
        <v>699</v>
      </c>
      <c r="N54" s="10">
        <f>SUM(N12:N52)</f>
        <v>172649</v>
      </c>
      <c r="O54" s="10">
        <f>SUM(O12:O52)</f>
        <v>1366552</v>
      </c>
    </row>
    <row r="55" spans="1:18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8" x14ac:dyDescent="0.2">
      <c r="A56" s="16" t="s">
        <v>447</v>
      </c>
      <c r="B56" s="14"/>
    </row>
    <row r="58" spans="1:18" x14ac:dyDescent="0.2">
      <c r="A58" s="28" t="s">
        <v>0</v>
      </c>
      <c r="I58" s="15"/>
      <c r="N58" s="37" t="s">
        <v>140</v>
      </c>
    </row>
    <row r="59" spans="1:18" ht="25.5" x14ac:dyDescent="0.2">
      <c r="A59" s="36" t="s">
        <v>128</v>
      </c>
      <c r="N59" s="8" t="s">
        <v>449</v>
      </c>
      <c r="O59" s="1">
        <f>'Y1'!M7</f>
        <v>24</v>
      </c>
    </row>
    <row r="61" spans="1:18" ht="25.5" x14ac:dyDescent="0.2">
      <c r="A61" t="s">
        <v>456</v>
      </c>
      <c r="C61" s="12" t="s">
        <v>57</v>
      </c>
      <c r="D61" s="12" t="s">
        <v>58</v>
      </c>
      <c r="E61" s="8"/>
      <c r="F61" s="54" t="s">
        <v>374</v>
      </c>
      <c r="G61" s="55" t="s">
        <v>312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312</v>
      </c>
    </row>
    <row r="62" spans="1:18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8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8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+'22a&amp;b'!CQ78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+'22a&amp;b'!CQ79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+'22a&amp;b'!CQ80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+'22a&amp;b'!CQ81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43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0</v>
      </c>
      <c r="D73" s="6">
        <v>1</v>
      </c>
      <c r="E73" s="74"/>
      <c r="F73" s="19">
        <v>0</v>
      </c>
      <c r="G73" s="77">
        <v>0</v>
      </c>
      <c r="H73" s="43">
        <v>121</v>
      </c>
      <c r="I73" s="11">
        <f>D73*H73</f>
        <v>121</v>
      </c>
      <c r="J73" s="95">
        <v>7.1059999999999998E-2</v>
      </c>
      <c r="K73" s="10">
        <f>ROUND(I73*J73,0)</f>
        <v>9</v>
      </c>
      <c r="L73" s="10">
        <v>0</v>
      </c>
      <c r="M73" s="10">
        <f>ROUND(G73*0.05,0)</f>
        <v>0</v>
      </c>
      <c r="N73" s="10">
        <f>+L73+M73</f>
        <v>0</v>
      </c>
      <c r="O73" s="10">
        <f>+G73+K73+N73</f>
        <v>9</v>
      </c>
    </row>
    <row r="74" spans="1:15" x14ac:dyDescent="0.2">
      <c r="A74" t="s">
        <v>349</v>
      </c>
      <c r="C74" s="3">
        <v>5</v>
      </c>
      <c r="D74" s="6">
        <v>15</v>
      </c>
      <c r="E74" s="74"/>
      <c r="F74" s="19">
        <f>ROUND(G74/C74,2)</f>
        <v>540</v>
      </c>
      <c r="G74" s="77">
        <f>2200+500</f>
        <v>2700</v>
      </c>
      <c r="H74" s="43">
        <v>570</v>
      </c>
      <c r="I74" s="11">
        <f>D74*H74</f>
        <v>8550</v>
      </c>
      <c r="J74" s="95">
        <v>7.1080000000000004E-2</v>
      </c>
      <c r="K74" s="10">
        <f>ROUND(I74*J74,0)</f>
        <v>608</v>
      </c>
      <c r="L74" s="10">
        <v>0</v>
      </c>
      <c r="M74" s="10">
        <f>ROUND(G74*0.05,0)</f>
        <v>135</v>
      </c>
      <c r="N74" s="10">
        <f>+L74+M74</f>
        <v>135</v>
      </c>
      <c r="O74" s="10">
        <f>+G74+K74+N74</f>
        <v>3443</v>
      </c>
    </row>
    <row r="75" spans="1:15" x14ac:dyDescent="0.2">
      <c r="C75" s="3"/>
      <c r="D75" s="6"/>
      <c r="E75" s="74"/>
      <c r="F75" s="19"/>
      <c r="G75" s="10"/>
      <c r="H75" s="43"/>
      <c r="I75" s="11"/>
      <c r="J75" s="95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43"/>
      <c r="I76" s="11"/>
      <c r="J76" s="95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0</v>
      </c>
      <c r="D77" s="6">
        <v>12</v>
      </c>
      <c r="E77" s="8" t="s">
        <v>170</v>
      </c>
      <c r="F77" s="19">
        <v>0</v>
      </c>
      <c r="G77" s="77">
        <f>125</f>
        <v>125</v>
      </c>
      <c r="H77" s="43">
        <v>115</v>
      </c>
      <c r="I77" s="11">
        <f>D77*H77</f>
        <v>1380</v>
      </c>
      <c r="J77" s="95">
        <v>7.109E-2</v>
      </c>
      <c r="K77" s="10">
        <f>ROUND(I77*J77,0)</f>
        <v>98</v>
      </c>
      <c r="L77" s="10">
        <v>0</v>
      </c>
      <c r="M77" s="10">
        <f>ROUND(G77*0.05,0)</f>
        <v>6</v>
      </c>
      <c r="N77" s="10">
        <f>+L77+M77</f>
        <v>6</v>
      </c>
      <c r="O77" s="10">
        <f>+G77+K77+N77</f>
        <v>229</v>
      </c>
    </row>
    <row r="78" spans="1:15" x14ac:dyDescent="0.2">
      <c r="A78" t="s">
        <v>207</v>
      </c>
      <c r="C78" s="3">
        <v>6</v>
      </c>
      <c r="D78" s="6">
        <v>27</v>
      </c>
      <c r="E78" s="74"/>
      <c r="F78" s="19">
        <f>ROUND(G78/C78,2)</f>
        <v>263.33</v>
      </c>
      <c r="G78" s="77">
        <f>1415+165</f>
        <v>1580</v>
      </c>
      <c r="H78" s="43">
        <v>349</v>
      </c>
      <c r="I78" s="11">
        <f>D78*H78</f>
        <v>9423</v>
      </c>
      <c r="J78" s="95">
        <v>7.1139999999999995E-2</v>
      </c>
      <c r="K78" s="10">
        <f>ROUND(I78*J78,0)</f>
        <v>670</v>
      </c>
      <c r="L78" s="10">
        <v>0</v>
      </c>
      <c r="M78" s="10">
        <f>ROUND(G78*0.05,0)</f>
        <v>79</v>
      </c>
      <c r="N78" s="10">
        <f>+L78+M78</f>
        <v>79</v>
      </c>
      <c r="O78" s="10">
        <f>+G78+K78+N78</f>
        <v>2329</v>
      </c>
    </row>
    <row r="79" spans="1:15" x14ac:dyDescent="0.2">
      <c r="C79" s="3"/>
      <c r="D79" s="6"/>
      <c r="E79" s="74"/>
      <c r="F79" s="19"/>
      <c r="G79" s="10"/>
      <c r="H79" s="43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396</v>
      </c>
      <c r="C80" s="6">
        <v>53</v>
      </c>
      <c r="D80" s="6">
        <v>31</v>
      </c>
      <c r="E80" s="8" t="s">
        <v>170</v>
      </c>
      <c r="F80" s="19">
        <f>ROUND(G80/C80,2)</f>
        <v>5851.98</v>
      </c>
      <c r="G80" s="80">
        <f>114245+195910</f>
        <v>310155</v>
      </c>
      <c r="H80" s="78">
        <v>8788</v>
      </c>
      <c r="I80" s="11">
        <f>D80*H80</f>
        <v>272428</v>
      </c>
      <c r="J80" s="95">
        <v>7.0379999999999998E-2</v>
      </c>
      <c r="K80" s="10">
        <f>ROUND(I80*J80,0)</f>
        <v>19173</v>
      </c>
      <c r="L80" s="10">
        <v>0</v>
      </c>
      <c r="M80" s="10">
        <f>ROUND(G80*0.05,0)</f>
        <v>15508</v>
      </c>
      <c r="N80" s="10">
        <f>+L80+M80</f>
        <v>15508</v>
      </c>
      <c r="O80" s="10">
        <f>+G80+K80+N80</f>
        <v>344836</v>
      </c>
    </row>
    <row r="81" spans="1:15" x14ac:dyDescent="0.2">
      <c r="C81" s="6" t="s">
        <v>486</v>
      </c>
      <c r="D81" s="6"/>
      <c r="E81" s="8"/>
      <c r="F81" s="19"/>
      <c r="G81" s="80"/>
      <c r="H81" s="78"/>
      <c r="I81" s="11"/>
      <c r="J81" s="95"/>
      <c r="K81" s="10"/>
      <c r="L81" s="10"/>
      <c r="M81" s="10"/>
      <c r="N81" s="10"/>
      <c r="O81" s="10"/>
    </row>
    <row r="82" spans="1:15" x14ac:dyDescent="0.2">
      <c r="A82" t="s">
        <v>442</v>
      </c>
      <c r="C82" s="3"/>
      <c r="D82" s="6"/>
      <c r="E82" s="74"/>
      <c r="F82" s="19"/>
      <c r="G82" s="10"/>
      <c r="H82" s="43"/>
      <c r="I82" s="11"/>
      <c r="J82" s="18"/>
      <c r="K82" s="10"/>
      <c r="L82" s="10"/>
      <c r="M82" s="10"/>
      <c r="N82" s="10"/>
      <c r="O82" s="10"/>
    </row>
    <row r="83" spans="1:15" x14ac:dyDescent="0.2">
      <c r="A83" t="s">
        <v>208</v>
      </c>
      <c r="C83" s="6">
        <v>0</v>
      </c>
      <c r="D83" s="6">
        <v>0</v>
      </c>
      <c r="E83" s="8"/>
      <c r="F83" s="19">
        <v>0</v>
      </c>
      <c r="G83" s="80">
        <f>750</f>
        <v>750</v>
      </c>
      <c r="H83" s="38">
        <v>0</v>
      </c>
      <c r="I83" s="11">
        <v>0</v>
      </c>
      <c r="J83" s="18">
        <v>0</v>
      </c>
      <c r="K83" s="10">
        <v>0</v>
      </c>
      <c r="L83" s="10">
        <v>0</v>
      </c>
      <c r="M83" s="10">
        <v>0</v>
      </c>
      <c r="N83" s="10">
        <v>0</v>
      </c>
      <c r="O83" s="10">
        <f>+G83+K83+N83</f>
        <v>750</v>
      </c>
    </row>
    <row r="84" spans="1:15" x14ac:dyDescent="0.2">
      <c r="A84" t="s">
        <v>397</v>
      </c>
      <c r="C84" s="6">
        <v>0</v>
      </c>
      <c r="D84" s="6">
        <v>0</v>
      </c>
      <c r="E84" s="8"/>
      <c r="F84" s="19">
        <v>0</v>
      </c>
      <c r="G84" s="80">
        <f>750</f>
        <v>750</v>
      </c>
      <c r="H84" s="38">
        <v>0</v>
      </c>
      <c r="I84" s="11">
        <v>0</v>
      </c>
      <c r="J84" s="18">
        <v>0</v>
      </c>
      <c r="K84" s="10">
        <v>0</v>
      </c>
      <c r="L84" s="10">
        <v>0</v>
      </c>
      <c r="M84" s="10">
        <v>0</v>
      </c>
      <c r="N84" s="10">
        <v>0</v>
      </c>
      <c r="O84" s="10">
        <f>+G84+K84+N84</f>
        <v>750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64</v>
      </c>
      <c r="D86" s="84">
        <f>SUM(D67:D84)</f>
        <v>86</v>
      </c>
      <c r="E86" s="74"/>
      <c r="F86" s="3"/>
      <c r="G86" s="10">
        <f>SUM(G67:G84)</f>
        <v>316060</v>
      </c>
      <c r="H86" s="6"/>
      <c r="I86" s="84">
        <f>SUM(I67:I84)</f>
        <v>291902</v>
      </c>
      <c r="J86" s="18"/>
      <c r="K86" s="10">
        <f>SUM(K67:K84)</f>
        <v>20558</v>
      </c>
      <c r="L86" s="10">
        <f>SUM(L67:L84)</f>
        <v>0</v>
      </c>
      <c r="M86" s="10">
        <f>SUM(M67:M84)</f>
        <v>15728</v>
      </c>
      <c r="N86" s="10">
        <f>SUM(N67:N84)</f>
        <v>15728</v>
      </c>
      <c r="O86" s="10">
        <f>SUM(O67:O84)</f>
        <v>352346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117525</v>
      </c>
      <c r="D99" s="6">
        <f>+D54+D86+D97</f>
        <v>101220</v>
      </c>
      <c r="E99" s="74"/>
      <c r="F99" s="3"/>
      <c r="G99" s="17">
        <f>G54+G86+G97</f>
        <v>1116466</v>
      </c>
      <c r="H99" s="6"/>
      <c r="I99" s="6">
        <f>+I54+I86+I97</f>
        <v>7137624</v>
      </c>
      <c r="J99" s="18"/>
      <c r="K99" s="17">
        <f>+K54+K86+K97</f>
        <v>414055</v>
      </c>
      <c r="L99" s="10">
        <f>+L54+L86+L97</f>
        <v>171950</v>
      </c>
      <c r="M99" s="10">
        <f>+M54+M86+M97</f>
        <v>16427</v>
      </c>
      <c r="N99" s="10">
        <f>+N54+N86+N97</f>
        <v>188377</v>
      </c>
      <c r="O99" s="10">
        <f>+O54+O86+O97</f>
        <v>1718898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80" zoomScaleNormal="80" zoomScaleSheetLayoutView="85" workbookViewId="0">
      <selection activeCell="S41" sqref="S41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2.7109375" customWidth="1"/>
    <col min="7" max="7" width="11.570312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7" x14ac:dyDescent="0.2">
      <c r="A1" s="16" t="s">
        <v>447</v>
      </c>
      <c r="B1" s="14"/>
      <c r="C1" s="42"/>
      <c r="D1" s="42"/>
      <c r="E1" s="9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C2" s="42"/>
      <c r="D2" s="42"/>
      <c r="E2" s="9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x14ac:dyDescent="0.2">
      <c r="A3" s="28" t="s">
        <v>0</v>
      </c>
      <c r="I3" s="15"/>
      <c r="N3" s="37" t="s">
        <v>140</v>
      </c>
    </row>
    <row r="4" spans="1:17" ht="25.5" x14ac:dyDescent="0.2">
      <c r="A4" s="36" t="s">
        <v>128</v>
      </c>
      <c r="N4" s="8" t="s">
        <v>450</v>
      </c>
      <c r="O4" s="1">
        <f>+'Y1'!M7</f>
        <v>24</v>
      </c>
    </row>
    <row r="6" spans="1:17" ht="25.5" x14ac:dyDescent="0.2">
      <c r="A6" t="s">
        <v>457</v>
      </c>
      <c r="C6" s="12" t="s">
        <v>57</v>
      </c>
      <c r="D6" s="12" t="s">
        <v>58</v>
      </c>
      <c r="E6" s="8"/>
      <c r="F6" s="54" t="s">
        <v>380</v>
      </c>
      <c r="G6" s="55" t="s">
        <v>314</v>
      </c>
      <c r="H6" s="12" t="s">
        <v>61</v>
      </c>
      <c r="I6" s="12" t="s">
        <v>4</v>
      </c>
      <c r="J6" s="8" t="s">
        <v>200</v>
      </c>
      <c r="K6" s="8" t="s">
        <v>199</v>
      </c>
      <c r="L6" s="12" t="s">
        <v>63</v>
      </c>
      <c r="M6" s="12" t="s">
        <v>64</v>
      </c>
      <c r="N6" s="12"/>
      <c r="O6" s="55" t="s">
        <v>521</v>
      </c>
    </row>
    <row r="7" spans="1:17" ht="25.5" x14ac:dyDescent="0.2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2" t="s">
        <v>248</v>
      </c>
      <c r="I7" s="8" t="s">
        <v>69</v>
      </c>
      <c r="J7" s="12" t="s">
        <v>70</v>
      </c>
      <c r="K7" s="12" t="s">
        <v>71</v>
      </c>
      <c r="L7" s="12" t="s">
        <v>72</v>
      </c>
      <c r="M7" s="12" t="s">
        <v>72</v>
      </c>
      <c r="N7" s="12" t="s">
        <v>73</v>
      </c>
      <c r="O7" s="12" t="s">
        <v>74</v>
      </c>
    </row>
    <row r="8" spans="1:17" ht="38.25" x14ac:dyDescent="0.2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8" t="s">
        <v>247</v>
      </c>
      <c r="I8" s="52" t="s">
        <v>364</v>
      </c>
      <c r="J8" s="12" t="s">
        <v>80</v>
      </c>
      <c r="K8" s="12" t="s">
        <v>81</v>
      </c>
      <c r="L8" s="61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7" x14ac:dyDescent="0.2">
      <c r="C9" s="7">
        <v>-1</v>
      </c>
      <c r="D9" s="7">
        <v>-2</v>
      </c>
      <c r="E9" s="8"/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7" x14ac:dyDescent="0.2">
      <c r="C10" s="12"/>
      <c r="D10" s="12"/>
      <c r="E10" s="8"/>
      <c r="F10" s="12" t="s">
        <v>372</v>
      </c>
      <c r="G10" s="12"/>
      <c r="H10" s="12"/>
      <c r="I10" s="12" t="s">
        <v>85</v>
      </c>
      <c r="J10" s="12"/>
      <c r="K10" s="12" t="s">
        <v>86</v>
      </c>
      <c r="L10" s="12"/>
      <c r="M10" s="12" t="s">
        <v>87</v>
      </c>
      <c r="N10" s="12" t="s">
        <v>88</v>
      </c>
      <c r="O10" s="12" t="s">
        <v>89</v>
      </c>
    </row>
    <row r="11" spans="1:17" x14ac:dyDescent="0.2">
      <c r="A11" t="s">
        <v>29</v>
      </c>
    </row>
    <row r="12" spans="1:17" x14ac:dyDescent="0.2">
      <c r="A12" t="s">
        <v>30</v>
      </c>
      <c r="C12" s="6">
        <v>0</v>
      </c>
      <c r="D12" s="6">
        <v>0</v>
      </c>
      <c r="E12" s="74"/>
      <c r="F12" s="19">
        <v>0</v>
      </c>
      <c r="G12" s="17">
        <v>0</v>
      </c>
      <c r="H12" s="6">
        <v>0</v>
      </c>
      <c r="I12" s="11">
        <f>D12*H12</f>
        <v>0</v>
      </c>
      <c r="J12" s="18">
        <v>0</v>
      </c>
      <c r="K12" s="10">
        <f>ROUND(I12*J12,0)</f>
        <v>0</v>
      </c>
      <c r="L12" s="10">
        <f>+'22a&amp;b'!CQ13</f>
        <v>0</v>
      </c>
      <c r="M12" s="10">
        <f>ROUND(G12*0.05,0)</f>
        <v>0</v>
      </c>
      <c r="N12" s="10">
        <f>+L12+M12</f>
        <v>0</v>
      </c>
      <c r="O12" s="10">
        <f>+G12+K12+N12</f>
        <v>0</v>
      </c>
    </row>
    <row r="13" spans="1:17" x14ac:dyDescent="0.2">
      <c r="C13" s="6"/>
      <c r="D13" s="43"/>
      <c r="E13" s="98"/>
      <c r="F13" s="19"/>
      <c r="G13" s="17"/>
      <c r="H13" s="6"/>
      <c r="I13" s="11"/>
      <c r="J13" s="18"/>
      <c r="K13" s="10"/>
      <c r="L13" s="10"/>
      <c r="M13" s="10"/>
      <c r="N13" s="10"/>
      <c r="O13" s="10"/>
    </row>
    <row r="14" spans="1:17" x14ac:dyDescent="0.2">
      <c r="A14" s="96" t="s">
        <v>261</v>
      </c>
      <c r="C14" s="6"/>
      <c r="D14" s="6"/>
      <c r="E14" s="74"/>
      <c r="F14" s="19"/>
      <c r="G14" s="17"/>
      <c r="H14" s="6"/>
      <c r="I14" s="11"/>
      <c r="J14" s="18"/>
      <c r="K14" s="10"/>
      <c r="L14" s="10"/>
      <c r="M14" s="10"/>
      <c r="N14" s="10"/>
      <c r="O14" s="10"/>
    </row>
    <row r="15" spans="1:17" x14ac:dyDescent="0.2">
      <c r="A15" s="96" t="s">
        <v>253</v>
      </c>
      <c r="C15" s="6">
        <v>65</v>
      </c>
      <c r="D15" s="6">
        <v>434</v>
      </c>
      <c r="E15" s="8" t="s">
        <v>170</v>
      </c>
      <c r="F15" s="19">
        <f>ROUND(G15/C15,2)</f>
        <v>1191.7</v>
      </c>
      <c r="G15" s="17">
        <v>77460.509999999995</v>
      </c>
      <c r="H15" s="6">
        <v>981</v>
      </c>
      <c r="I15" s="11">
        <f>D15*H15</f>
        <v>425754</v>
      </c>
      <c r="J15" s="95">
        <v>5.7489999999999999E-2</v>
      </c>
      <c r="K15" s="10">
        <f>ROUND(I15*J15,0)</f>
        <v>24477</v>
      </c>
      <c r="L15" s="10">
        <f>+'22a&amp;b'!CQ16</f>
        <v>6967</v>
      </c>
      <c r="M15" s="10">
        <f>ROUND(G15*0,0)</f>
        <v>0</v>
      </c>
      <c r="N15" s="10">
        <f>+L15+M15</f>
        <v>6967</v>
      </c>
      <c r="O15" s="10">
        <f>+G15+K15+N15</f>
        <v>108904.51</v>
      </c>
    </row>
    <row r="16" spans="1:17" x14ac:dyDescent="0.2">
      <c r="A16" s="42" t="s">
        <v>254</v>
      </c>
      <c r="C16" s="6">
        <v>6</v>
      </c>
      <c r="D16" s="6">
        <f>75-2</f>
        <v>73</v>
      </c>
      <c r="E16" s="8" t="s">
        <v>170</v>
      </c>
      <c r="F16" s="19">
        <f>ROUND(G16/C16,2)</f>
        <v>227.63</v>
      </c>
      <c r="G16" s="17">
        <v>1365.79</v>
      </c>
      <c r="H16" s="6">
        <v>436</v>
      </c>
      <c r="I16" s="11">
        <f>D16*H16</f>
        <v>31828</v>
      </c>
      <c r="J16" s="95">
        <v>5.7459999999999997E-2</v>
      </c>
      <c r="K16" s="10">
        <f>ROUND(I16*J16,0)</f>
        <v>1829</v>
      </c>
      <c r="L16" s="10">
        <v>0</v>
      </c>
      <c r="M16" s="10">
        <f>ROUND(G16*0.05,0)</f>
        <v>68</v>
      </c>
      <c r="N16" s="10">
        <f>+L16+M16</f>
        <v>68</v>
      </c>
      <c r="O16" s="10">
        <f>+G16+K16+N16</f>
        <v>3262.79</v>
      </c>
    </row>
    <row r="17" spans="1:15" x14ac:dyDescent="0.2">
      <c r="A17" s="42"/>
      <c r="C17" s="6"/>
      <c r="D17" s="6"/>
      <c r="E17" s="74"/>
      <c r="F17" s="19"/>
      <c r="G17" s="17"/>
      <c r="H17" s="6"/>
      <c r="I17" s="11"/>
      <c r="J17" s="18"/>
      <c r="K17" s="10"/>
      <c r="L17" s="10"/>
      <c r="M17" s="10"/>
      <c r="N17" s="10"/>
      <c r="O17" s="10"/>
    </row>
    <row r="18" spans="1:15" x14ac:dyDescent="0.2">
      <c r="A18" s="42" t="s">
        <v>33</v>
      </c>
      <c r="C18" s="6">
        <v>0</v>
      </c>
      <c r="D18" s="6">
        <v>0</v>
      </c>
      <c r="E18" s="74"/>
      <c r="F18" s="19">
        <v>0</v>
      </c>
      <c r="G18" s="17">
        <v>0</v>
      </c>
      <c r="H18" s="6">
        <v>0</v>
      </c>
      <c r="I18" s="11">
        <f>D18*H18</f>
        <v>0</v>
      </c>
      <c r="J18" s="18">
        <v>0</v>
      </c>
      <c r="K18" s="10">
        <f>ROUND(I18*J18,0)</f>
        <v>0</v>
      </c>
      <c r="L18" s="10">
        <f>+'22a&amp;b'!CQ19</f>
        <v>0</v>
      </c>
      <c r="M18" s="10">
        <f>ROUND(G18*0.05,0)</f>
        <v>0</v>
      </c>
      <c r="N18" s="10">
        <f>+L18+M18</f>
        <v>0</v>
      </c>
      <c r="O18" s="10">
        <f>+G18+K18+N18</f>
        <v>0</v>
      </c>
    </row>
    <row r="19" spans="1:15" x14ac:dyDescent="0.2">
      <c r="A19" s="42"/>
      <c r="C19" s="6"/>
      <c r="D19" s="6"/>
      <c r="E19" s="74"/>
      <c r="F19" s="19"/>
      <c r="G19" s="17"/>
      <c r="H19" s="6"/>
      <c r="I19" s="11"/>
      <c r="J19" s="18"/>
      <c r="K19" s="10"/>
      <c r="L19" s="10"/>
      <c r="M19" s="10"/>
      <c r="N19" s="10"/>
      <c r="O19" s="10"/>
    </row>
    <row r="20" spans="1:15" x14ac:dyDescent="0.2">
      <c r="A20" s="42" t="s">
        <v>259</v>
      </c>
      <c r="C20" s="6"/>
      <c r="D20" s="6"/>
      <c r="E20" s="74"/>
      <c r="F20" s="19"/>
      <c r="G20" s="17"/>
      <c r="H20" s="6"/>
      <c r="I20" s="11"/>
      <c r="J20" s="18"/>
      <c r="K20" s="10"/>
      <c r="L20" s="10"/>
      <c r="M20" s="10"/>
      <c r="N20" s="10"/>
      <c r="O20" s="10"/>
    </row>
    <row r="21" spans="1:15" x14ac:dyDescent="0.2">
      <c r="A21" s="42" t="s">
        <v>255</v>
      </c>
      <c r="C21" s="6">
        <v>0</v>
      </c>
      <c r="D21" s="6">
        <v>0</v>
      </c>
      <c r="E21" s="74"/>
      <c r="F21" s="19">
        <v>0</v>
      </c>
      <c r="G21" s="17">
        <v>0</v>
      </c>
      <c r="H21" s="6">
        <v>0</v>
      </c>
      <c r="I21" s="11">
        <f>D21*H21</f>
        <v>0</v>
      </c>
      <c r="J21" s="18">
        <v>0</v>
      </c>
      <c r="K21" s="10">
        <f>ROUND(I21*J21,0)</f>
        <v>0</v>
      </c>
      <c r="L21" s="10">
        <f>+'22a&amp;b'!CQ22</f>
        <v>0</v>
      </c>
      <c r="M21" s="10">
        <v>0</v>
      </c>
      <c r="N21" s="10">
        <f>+L21+M21</f>
        <v>0</v>
      </c>
      <c r="O21" s="10">
        <f>+G21+K21+N21</f>
        <v>0</v>
      </c>
    </row>
    <row r="22" spans="1:15" x14ac:dyDescent="0.2">
      <c r="A22" s="42" t="s">
        <v>256</v>
      </c>
      <c r="C22" s="6">
        <v>0</v>
      </c>
      <c r="D22" s="6">
        <v>0</v>
      </c>
      <c r="E22" s="74"/>
      <c r="F22" s="19">
        <v>0</v>
      </c>
      <c r="G22" s="17">
        <v>0</v>
      </c>
      <c r="H22" s="6">
        <v>0</v>
      </c>
      <c r="I22" s="11">
        <f>D22*H22</f>
        <v>0</v>
      </c>
      <c r="J22" s="18">
        <v>0</v>
      </c>
      <c r="K22" s="10">
        <f>ROUND(I22*J22,0)</f>
        <v>0</v>
      </c>
      <c r="L22" s="10">
        <f>+'22a&amp;b'!CQ23</f>
        <v>0</v>
      </c>
      <c r="M22" s="10">
        <f>ROUND(G22*0.05,0)</f>
        <v>0</v>
      </c>
      <c r="N22" s="10">
        <f>+L22+M22</f>
        <v>0</v>
      </c>
      <c r="O22" s="10">
        <f>+G22+K22+N22</f>
        <v>0</v>
      </c>
    </row>
    <row r="23" spans="1:15" x14ac:dyDescent="0.2">
      <c r="A23" s="42"/>
      <c r="C23" s="6"/>
      <c r="D23" s="6"/>
      <c r="E23" s="74"/>
      <c r="F23" s="19"/>
      <c r="G23" s="17"/>
      <c r="H23" s="6"/>
      <c r="I23" s="11"/>
      <c r="J23" s="18"/>
      <c r="K23" s="10"/>
      <c r="L23" s="10"/>
      <c r="M23" s="10"/>
      <c r="N23" s="10"/>
      <c r="O23" s="10"/>
    </row>
    <row r="24" spans="1:15" x14ac:dyDescent="0.2">
      <c r="A24" s="42" t="s">
        <v>236</v>
      </c>
      <c r="C24" s="6"/>
      <c r="D24" s="6"/>
      <c r="E24" s="74"/>
      <c r="F24" s="19"/>
      <c r="G24" s="17"/>
      <c r="H24" s="6"/>
      <c r="I24" s="11"/>
      <c r="J24" s="18"/>
      <c r="K24" s="10"/>
      <c r="L24" s="10"/>
      <c r="M24" s="10"/>
      <c r="N24" s="10"/>
      <c r="O24" s="10"/>
    </row>
    <row r="25" spans="1:15" x14ac:dyDescent="0.2">
      <c r="A25" s="42" t="s">
        <v>257</v>
      </c>
      <c r="C25" s="6">
        <v>94</v>
      </c>
      <c r="D25" s="6">
        <v>658</v>
      </c>
      <c r="E25" s="8" t="s">
        <v>170</v>
      </c>
      <c r="F25" s="19">
        <f>ROUND(G25/C25,2)</f>
        <v>554.64</v>
      </c>
      <c r="G25" s="17">
        <v>52135.97</v>
      </c>
      <c r="H25" s="6">
        <v>1291</v>
      </c>
      <c r="I25" s="11">
        <f>D25*H25</f>
        <v>849478</v>
      </c>
      <c r="J25" s="95">
        <v>5.747E-2</v>
      </c>
      <c r="K25" s="10">
        <f>ROUND(I25*J25,0)</f>
        <v>48820</v>
      </c>
      <c r="L25" s="10">
        <f>+'22a&amp;b'!CQ26</f>
        <v>22255</v>
      </c>
      <c r="M25" s="10">
        <v>0</v>
      </c>
      <c r="N25" s="10">
        <f>+L25+M25</f>
        <v>22255</v>
      </c>
      <c r="O25" s="10">
        <f>+G25+K25+N25</f>
        <v>123210.97</v>
      </c>
    </row>
    <row r="26" spans="1:15" x14ac:dyDescent="0.2">
      <c r="A26" s="42"/>
      <c r="C26" s="6"/>
      <c r="D26" s="6"/>
      <c r="E26" s="74"/>
      <c r="F26" s="19"/>
      <c r="G26" s="17"/>
      <c r="H26" s="6"/>
      <c r="I26" s="11"/>
      <c r="J26" s="95"/>
      <c r="K26" s="10"/>
      <c r="L26" s="10"/>
      <c r="M26" s="10"/>
      <c r="N26" s="10"/>
      <c r="O26" s="10"/>
    </row>
    <row r="27" spans="1:15" x14ac:dyDescent="0.2">
      <c r="A27" s="42" t="s">
        <v>346</v>
      </c>
      <c r="C27" s="6"/>
      <c r="D27" s="6"/>
      <c r="E27" s="74"/>
      <c r="F27" s="19"/>
      <c r="G27" s="17"/>
      <c r="H27" s="6"/>
      <c r="I27" s="11"/>
      <c r="J27" s="95"/>
      <c r="K27" s="10"/>
      <c r="L27" s="10"/>
      <c r="M27" s="10"/>
      <c r="N27" s="10"/>
      <c r="O27" s="10"/>
    </row>
    <row r="28" spans="1:15" x14ac:dyDescent="0.2">
      <c r="A28" s="96" t="s">
        <v>207</v>
      </c>
      <c r="C28" s="6">
        <v>59</v>
      </c>
      <c r="D28" s="6">
        <v>556</v>
      </c>
      <c r="E28" s="8" t="s">
        <v>170</v>
      </c>
      <c r="F28" s="19">
        <f>ROUND(G28/C28,2)</f>
        <v>669.41</v>
      </c>
      <c r="G28" s="17">
        <v>39495</v>
      </c>
      <c r="H28" s="6">
        <v>840</v>
      </c>
      <c r="I28" s="11">
        <f>D28*H28</f>
        <v>467040</v>
      </c>
      <c r="J28" s="95">
        <v>5.747E-2</v>
      </c>
      <c r="K28" s="10">
        <f>ROUND(I28*J28,0)</f>
        <v>26841</v>
      </c>
      <c r="L28" s="10">
        <f>+'22a&amp;b'!CQ29</f>
        <v>4895</v>
      </c>
      <c r="M28" s="10">
        <v>0</v>
      </c>
      <c r="N28" s="10">
        <f>+L28+M28</f>
        <v>4895</v>
      </c>
      <c r="O28" s="10">
        <f>+G28+K28+N28</f>
        <v>71231</v>
      </c>
    </row>
    <row r="29" spans="1:15" x14ac:dyDescent="0.2">
      <c r="A29" s="96" t="s">
        <v>208</v>
      </c>
      <c r="C29" s="6">
        <v>0</v>
      </c>
      <c r="D29" s="6">
        <v>0</v>
      </c>
      <c r="E29" s="74"/>
      <c r="F29" s="19">
        <v>0</v>
      </c>
      <c r="G29" s="17">
        <v>0</v>
      </c>
      <c r="H29" s="6">
        <v>0</v>
      </c>
      <c r="I29" s="11">
        <f>D29*H29</f>
        <v>0</v>
      </c>
      <c r="J29" s="95">
        <v>0</v>
      </c>
      <c r="K29" s="10">
        <f>ROUND(I29*J29,0)</f>
        <v>0</v>
      </c>
      <c r="L29" s="10">
        <f>+'22a&amp;b'!CQ30</f>
        <v>0</v>
      </c>
      <c r="M29" s="10">
        <v>0</v>
      </c>
      <c r="N29" s="10">
        <f>+L29+M29</f>
        <v>0</v>
      </c>
      <c r="O29" s="10">
        <f>+G29+K29+N29</f>
        <v>0</v>
      </c>
    </row>
    <row r="30" spans="1:15" x14ac:dyDescent="0.2">
      <c r="A30" s="96"/>
      <c r="C30" s="6"/>
      <c r="D30" s="6"/>
      <c r="E30" s="74"/>
      <c r="F30" s="19"/>
      <c r="G30" s="17"/>
      <c r="H30" s="6"/>
      <c r="I30" s="11"/>
      <c r="J30" s="95"/>
      <c r="K30" s="10"/>
      <c r="L30" s="10"/>
      <c r="M30" s="10"/>
      <c r="N30" s="10"/>
      <c r="O30" s="10"/>
    </row>
    <row r="31" spans="1:15" x14ac:dyDescent="0.2">
      <c r="A31" s="96" t="s">
        <v>209</v>
      </c>
      <c r="C31" s="6">
        <f>313+289</f>
        <v>602</v>
      </c>
      <c r="D31" s="6">
        <v>3612</v>
      </c>
      <c r="E31" s="8"/>
      <c r="F31" s="19">
        <f>ROUND(G31/C31,2)</f>
        <v>440.32</v>
      </c>
      <c r="G31" s="17">
        <v>265074</v>
      </c>
      <c r="H31" s="38">
        <v>325</v>
      </c>
      <c r="I31" s="11">
        <f>D31*H31</f>
        <v>1173900</v>
      </c>
      <c r="J31" s="95">
        <v>5.7509999999999999E-2</v>
      </c>
      <c r="K31" s="10">
        <f>ROUND(I31*J31,0)</f>
        <v>67511</v>
      </c>
      <c r="L31" s="10">
        <f>+'22a&amp;b'!CQ32</f>
        <v>3835</v>
      </c>
      <c r="M31" s="10">
        <v>0</v>
      </c>
      <c r="N31" s="10">
        <f>+L31+M31</f>
        <v>3835</v>
      </c>
      <c r="O31" s="10">
        <f>+G31+K31+N31</f>
        <v>336420</v>
      </c>
    </row>
    <row r="32" spans="1:15" x14ac:dyDescent="0.2">
      <c r="A32" s="96"/>
      <c r="C32" s="6"/>
      <c r="D32" s="6"/>
      <c r="E32" s="74"/>
      <c r="F32" s="19"/>
      <c r="G32" s="17"/>
      <c r="H32" s="38"/>
      <c r="I32" s="11"/>
      <c r="J32" s="95"/>
      <c r="K32" s="10"/>
      <c r="L32" s="10"/>
      <c r="M32" s="10"/>
      <c r="N32" s="10"/>
      <c r="O32" s="10"/>
    </row>
    <row r="33" spans="1:15" x14ac:dyDescent="0.2">
      <c r="A33" s="42" t="s">
        <v>348</v>
      </c>
      <c r="C33" s="6"/>
      <c r="D33" s="6"/>
      <c r="E33" s="74"/>
      <c r="F33" s="19"/>
      <c r="G33" s="17"/>
      <c r="H33" s="38"/>
      <c r="I33" s="11"/>
      <c r="J33" s="95"/>
      <c r="K33" s="10"/>
      <c r="L33" s="10"/>
      <c r="M33" s="10"/>
      <c r="N33" s="10"/>
      <c r="O33" s="10"/>
    </row>
    <row r="34" spans="1:15" s="42" customFormat="1" x14ac:dyDescent="0.2">
      <c r="A34" s="42" t="s">
        <v>353</v>
      </c>
      <c r="C34" s="43">
        <v>90</v>
      </c>
      <c r="D34" s="43">
        <v>576</v>
      </c>
      <c r="E34" s="94" t="s">
        <v>170</v>
      </c>
      <c r="F34" s="79">
        <f>ROUND(G34/C34,2)</f>
        <v>424.26</v>
      </c>
      <c r="G34" s="80">
        <v>38183.279999999999</v>
      </c>
      <c r="H34" s="78">
        <v>671</v>
      </c>
      <c r="I34" s="81">
        <f>D34*H34</f>
        <v>386496</v>
      </c>
      <c r="J34" s="95">
        <v>5.7500000000000002E-2</v>
      </c>
      <c r="K34" s="77">
        <f>ROUND(I34*J34,0)</f>
        <v>22224</v>
      </c>
      <c r="L34" s="77">
        <f>+'22a&amp;b'!CQ35</f>
        <v>3537</v>
      </c>
      <c r="M34" s="77">
        <v>0</v>
      </c>
      <c r="N34" s="77">
        <f>+L34+M34</f>
        <v>3537</v>
      </c>
      <c r="O34" s="77">
        <f>+G34+K34+N34</f>
        <v>63944.28</v>
      </c>
    </row>
    <row r="35" spans="1:15" s="42" customFormat="1" x14ac:dyDescent="0.2">
      <c r="A35" s="42" t="s">
        <v>446</v>
      </c>
      <c r="C35" s="43">
        <v>171</v>
      </c>
      <c r="D35" s="43">
        <v>1040</v>
      </c>
      <c r="E35" s="94" t="s">
        <v>170</v>
      </c>
      <c r="F35" s="79">
        <f>ROUND(G35/C35,2)</f>
        <v>468.92</v>
      </c>
      <c r="G35" s="80">
        <v>80185.83</v>
      </c>
      <c r="H35" s="78">
        <v>849</v>
      </c>
      <c r="I35" s="81">
        <f>D35*H35</f>
        <v>882960</v>
      </c>
      <c r="J35" s="95">
        <v>5.7459999999999997E-2</v>
      </c>
      <c r="K35" s="77">
        <f>ROUND(I35*J35,0)</f>
        <v>50735</v>
      </c>
      <c r="L35" s="77">
        <f>+'22a&amp;b'!CQ36</f>
        <v>15144</v>
      </c>
      <c r="M35" s="77">
        <v>0</v>
      </c>
      <c r="N35" s="77">
        <f>+L35+M35</f>
        <v>15144</v>
      </c>
      <c r="O35" s="77">
        <f>+G35+K35+N35</f>
        <v>146064.83000000002</v>
      </c>
    </row>
    <row r="36" spans="1:15" x14ac:dyDescent="0.2">
      <c r="A36" s="96"/>
      <c r="C36" s="6"/>
      <c r="D36" s="6"/>
      <c r="E36" s="74"/>
      <c r="F36" s="19"/>
      <c r="G36" s="17"/>
      <c r="H36" s="38"/>
      <c r="I36" s="11"/>
      <c r="J36" s="95"/>
      <c r="K36" s="10"/>
      <c r="L36" s="10"/>
      <c r="M36" s="10"/>
      <c r="N36" s="10"/>
      <c r="O36" s="10"/>
    </row>
    <row r="37" spans="1:15" x14ac:dyDescent="0.2">
      <c r="A37" s="177" t="s">
        <v>350</v>
      </c>
      <c r="C37" s="6">
        <v>1641</v>
      </c>
      <c r="D37" s="6">
        <v>3796</v>
      </c>
      <c r="E37" s="94"/>
      <c r="F37" s="19">
        <f>ROUND(G37/C37,2)</f>
        <v>13.27</v>
      </c>
      <c r="G37" s="17">
        <v>21778.42</v>
      </c>
      <c r="H37" s="38">
        <v>111</v>
      </c>
      <c r="I37" s="11">
        <f>D37*H37</f>
        <v>421356</v>
      </c>
      <c r="J37" s="95">
        <v>5.7299999999999997E-2</v>
      </c>
      <c r="K37" s="10">
        <f>ROUND(I37*J37,0)</f>
        <v>24144</v>
      </c>
      <c r="L37" s="10">
        <f>+'22a&amp;b'!CQ38</f>
        <v>5202</v>
      </c>
      <c r="M37" s="10">
        <v>0</v>
      </c>
      <c r="N37" s="10">
        <f>+L37+M37</f>
        <v>5202</v>
      </c>
      <c r="O37" s="10">
        <f>+G37+K37+N37</f>
        <v>51124.42</v>
      </c>
    </row>
    <row r="38" spans="1:15" x14ac:dyDescent="0.2">
      <c r="A38" s="96"/>
      <c r="C38" s="6"/>
      <c r="D38" s="6"/>
      <c r="E38" s="74"/>
      <c r="F38" s="19"/>
      <c r="G38" s="17"/>
      <c r="H38" s="38"/>
      <c r="I38" s="11"/>
      <c r="J38" s="95"/>
      <c r="K38" s="10"/>
      <c r="L38" s="10"/>
      <c r="M38" s="10"/>
      <c r="N38" s="10"/>
      <c r="O38" s="10"/>
    </row>
    <row r="39" spans="1:15" x14ac:dyDescent="0.2">
      <c r="A39" s="96" t="s">
        <v>351</v>
      </c>
      <c r="C39" s="6">
        <v>2725</v>
      </c>
      <c r="D39" s="6">
        <v>4474</v>
      </c>
      <c r="E39" s="94" t="s">
        <v>170</v>
      </c>
      <c r="F39" s="19">
        <f>ROUND(G39/C39,2)</f>
        <v>7.9</v>
      </c>
      <c r="G39" s="17">
        <v>21519.75</v>
      </c>
      <c r="H39" s="38">
        <v>124</v>
      </c>
      <c r="I39" s="11">
        <f>D39*H39</f>
        <v>554776</v>
      </c>
      <c r="J39" s="95">
        <v>5.7579999999999999E-2</v>
      </c>
      <c r="K39" s="10">
        <f>ROUND(I39*J39,0)</f>
        <v>31944</v>
      </c>
      <c r="L39" s="10">
        <f>+'22a&amp;b'!CQ40</f>
        <v>12998</v>
      </c>
      <c r="M39" s="10">
        <v>0</v>
      </c>
      <c r="N39" s="10">
        <f>+L39+M39</f>
        <v>12998</v>
      </c>
      <c r="O39" s="10">
        <f>+G39+K39+N39</f>
        <v>66461.75</v>
      </c>
    </row>
    <row r="40" spans="1:15" x14ac:dyDescent="0.2">
      <c r="A40" s="96"/>
      <c r="C40" s="6"/>
      <c r="D40" s="43"/>
      <c r="E40" s="94"/>
      <c r="F40" s="19"/>
      <c r="G40" s="17"/>
      <c r="H40" s="38"/>
      <c r="I40" s="11"/>
      <c r="J40" s="95"/>
      <c r="K40" s="10"/>
      <c r="L40" s="10"/>
      <c r="M40" s="10"/>
      <c r="N40" s="10"/>
      <c r="O40" s="10"/>
    </row>
    <row r="41" spans="1:15" x14ac:dyDescent="0.2">
      <c r="A41" s="96" t="s">
        <v>386</v>
      </c>
      <c r="C41" s="6"/>
      <c r="D41" s="6"/>
      <c r="E41" s="8"/>
      <c r="F41" s="19"/>
      <c r="G41" s="17"/>
      <c r="H41" s="38"/>
      <c r="I41" s="11"/>
      <c r="J41" s="95"/>
      <c r="K41" s="10"/>
      <c r="L41" s="10"/>
      <c r="M41" s="10"/>
      <c r="N41" s="10"/>
      <c r="O41" s="10"/>
    </row>
    <row r="42" spans="1:15" x14ac:dyDescent="0.2">
      <c r="A42" s="42" t="s">
        <v>387</v>
      </c>
      <c r="C42" s="6">
        <v>105916</v>
      </c>
      <c r="D42" s="6">
        <v>89504</v>
      </c>
      <c r="E42" s="8" t="s">
        <v>170</v>
      </c>
      <c r="F42" s="19">
        <f>ROUND(G42/C42,2)</f>
        <v>1.84</v>
      </c>
      <c r="G42" s="17">
        <v>194980.11</v>
      </c>
      <c r="H42" s="78">
        <v>23</v>
      </c>
      <c r="I42" s="11">
        <f>D42*H42</f>
        <v>2058592</v>
      </c>
      <c r="J42" s="95">
        <v>5.7389999999999997E-2</v>
      </c>
      <c r="K42" s="10">
        <f>ROUND(I42*J42,0)</f>
        <v>118143</v>
      </c>
      <c r="L42" s="10">
        <f>+'22a&amp;b'!CQ43</f>
        <v>90029</v>
      </c>
      <c r="M42" s="10">
        <v>0</v>
      </c>
      <c r="N42" s="10">
        <f>+L42+M42</f>
        <v>90029</v>
      </c>
      <c r="O42" s="10">
        <f>+G42+K42+N42</f>
        <v>403152.11</v>
      </c>
    </row>
    <row r="43" spans="1:15" x14ac:dyDescent="0.2">
      <c r="A43" s="42" t="s">
        <v>458</v>
      </c>
      <c r="C43" s="6">
        <v>12826</v>
      </c>
      <c r="D43" s="43">
        <v>5749</v>
      </c>
      <c r="E43" s="8"/>
      <c r="F43" s="19">
        <f>ROUND(G43/C43,2)</f>
        <v>2.08</v>
      </c>
      <c r="G43" s="17">
        <v>26636.3</v>
      </c>
      <c r="H43" s="78">
        <v>30</v>
      </c>
      <c r="I43" s="11">
        <f>D43*H43</f>
        <v>172470</v>
      </c>
      <c r="J43" s="95">
        <v>5.7930000000000002E-2</v>
      </c>
      <c r="K43" s="10">
        <f>ROUND(I43*J43,0)</f>
        <v>9991</v>
      </c>
      <c r="L43" s="10">
        <f>+'22a&amp;b'!CQ44</f>
        <v>14878</v>
      </c>
      <c r="M43" s="10">
        <v>0</v>
      </c>
      <c r="N43" s="10">
        <f>+L43+M43</f>
        <v>14878</v>
      </c>
      <c r="O43" s="10">
        <f>+G43+K43+N43</f>
        <v>51505.3</v>
      </c>
    </row>
    <row r="44" spans="1:15" x14ac:dyDescent="0.2">
      <c r="A44" s="42" t="s">
        <v>398</v>
      </c>
      <c r="C44" s="6">
        <v>115</v>
      </c>
      <c r="D44" s="43">
        <v>40</v>
      </c>
      <c r="E44" s="8"/>
      <c r="F44" s="19">
        <v>0</v>
      </c>
      <c r="G44" s="17">
        <v>1268.6199999999999</v>
      </c>
      <c r="H44" s="78">
        <v>0</v>
      </c>
      <c r="I44" s="11">
        <f>D44*H44</f>
        <v>0</v>
      </c>
      <c r="J44" s="95">
        <v>5.8540000000000002E-2</v>
      </c>
      <c r="K44" s="10">
        <f>ROUND(I44*J44,0)</f>
        <v>0</v>
      </c>
      <c r="L44" s="10">
        <v>0</v>
      </c>
      <c r="M44" s="10">
        <f>ROUND(G44*0.05,0)</f>
        <v>63</v>
      </c>
      <c r="N44" s="10">
        <f>+L44+M44</f>
        <v>63</v>
      </c>
      <c r="O44" s="10">
        <f>+G44+K44+N44</f>
        <v>1331.62</v>
      </c>
    </row>
    <row r="45" spans="1:15" x14ac:dyDescent="0.2">
      <c r="A45" s="96"/>
      <c r="C45" s="6"/>
      <c r="D45" s="6"/>
      <c r="E45" s="8"/>
      <c r="F45" s="19"/>
      <c r="G45" s="17"/>
      <c r="H45" s="78"/>
      <c r="I45" s="11"/>
      <c r="J45" s="95"/>
      <c r="K45" s="10"/>
      <c r="L45" s="10"/>
      <c r="M45" s="10"/>
      <c r="N45" s="10"/>
      <c r="O45" s="10"/>
    </row>
    <row r="46" spans="1:15" x14ac:dyDescent="0.2">
      <c r="A46" s="96" t="s">
        <v>388</v>
      </c>
      <c r="C46" s="6"/>
      <c r="D46" s="6"/>
      <c r="E46" s="8"/>
      <c r="F46" s="19"/>
      <c r="G46" s="17"/>
      <c r="H46" s="78"/>
      <c r="I46" s="11"/>
      <c r="J46" s="95"/>
      <c r="K46" s="10"/>
      <c r="L46" s="10"/>
      <c r="M46" s="10"/>
      <c r="N46" s="10"/>
      <c r="O46" s="10"/>
    </row>
    <row r="47" spans="1:15" x14ac:dyDescent="0.2">
      <c r="A47" t="s">
        <v>208</v>
      </c>
      <c r="C47" s="6">
        <v>0</v>
      </c>
      <c r="D47" s="6">
        <v>148</v>
      </c>
      <c r="E47" s="8" t="s">
        <v>170</v>
      </c>
      <c r="F47" s="19">
        <v>0</v>
      </c>
      <c r="G47" s="17">
        <v>0</v>
      </c>
      <c r="H47" s="78">
        <v>63</v>
      </c>
      <c r="I47" s="11">
        <f>D47*H47</f>
        <v>9324</v>
      </c>
      <c r="J47" s="95">
        <v>5.7140000000000003E-2</v>
      </c>
      <c r="K47" s="10">
        <f>ROUND(I47*J47,0)</f>
        <v>533</v>
      </c>
      <c r="L47" s="10">
        <v>0</v>
      </c>
      <c r="M47" s="10">
        <f>ROUND(G47*0.05,0)</f>
        <v>0</v>
      </c>
      <c r="N47" s="10">
        <f>+L47+M47</f>
        <v>0</v>
      </c>
      <c r="O47" s="10">
        <f>+G47+K47+N47</f>
        <v>533</v>
      </c>
    </row>
    <row r="48" spans="1:15" x14ac:dyDescent="0.2">
      <c r="A48" t="s">
        <v>207</v>
      </c>
      <c r="C48" s="6">
        <v>87</v>
      </c>
      <c r="D48" s="6">
        <v>389</v>
      </c>
      <c r="E48" s="8"/>
      <c r="F48" s="19">
        <f>ROUND(G48/C48,2)</f>
        <v>113.78</v>
      </c>
      <c r="G48" s="17">
        <v>9899.1299999999992</v>
      </c>
      <c r="H48" s="78">
        <v>234</v>
      </c>
      <c r="I48" s="11">
        <f>D48*H48</f>
        <v>91026</v>
      </c>
      <c r="J48" s="95">
        <v>5.7439999999999998E-2</v>
      </c>
      <c r="K48" s="10">
        <f>ROUND(I48*J48,0)</f>
        <v>5229</v>
      </c>
      <c r="L48" s="10">
        <v>0</v>
      </c>
      <c r="M48" s="10">
        <f>ROUND(G48*0.05,0)</f>
        <v>495</v>
      </c>
      <c r="N48" s="10">
        <f>+L48+M48</f>
        <v>495</v>
      </c>
      <c r="O48" s="10">
        <f>+G48+K48+N48</f>
        <v>15623.13</v>
      </c>
    </row>
    <row r="49" spans="1:16" x14ac:dyDescent="0.2">
      <c r="C49" s="6"/>
      <c r="D49" s="6"/>
      <c r="E49" s="8"/>
      <c r="F49" s="19"/>
      <c r="G49" s="17"/>
      <c r="H49" s="38"/>
      <c r="I49" s="11"/>
      <c r="J49" s="18"/>
      <c r="K49" s="10"/>
      <c r="L49" s="10"/>
      <c r="M49" s="10"/>
      <c r="N49" s="10"/>
      <c r="O49" s="10"/>
    </row>
    <row r="50" spans="1:16" x14ac:dyDescent="0.2">
      <c r="A50" t="s">
        <v>441</v>
      </c>
      <c r="C50" s="6"/>
      <c r="D50" s="6"/>
      <c r="E50" s="8"/>
      <c r="F50" s="19"/>
      <c r="G50" s="17"/>
      <c r="H50" s="38"/>
      <c r="I50" s="11"/>
      <c r="J50" s="18"/>
      <c r="K50" s="10"/>
      <c r="L50" s="10"/>
      <c r="M50" s="10"/>
      <c r="N50" s="10"/>
      <c r="O50" s="10"/>
    </row>
    <row r="51" spans="1:16" x14ac:dyDescent="0.2">
      <c r="A51" t="s">
        <v>208</v>
      </c>
      <c r="C51" s="6">
        <v>0</v>
      </c>
      <c r="D51" s="6">
        <v>0</v>
      </c>
      <c r="E51" s="8"/>
      <c r="F51" s="19">
        <v>0</v>
      </c>
      <c r="G51" s="17">
        <f>2069-2069+1875</f>
        <v>1875</v>
      </c>
      <c r="H51" s="38">
        <v>0</v>
      </c>
      <c r="I51" s="11">
        <f>D51*H51</f>
        <v>0</v>
      </c>
      <c r="J51" s="18">
        <v>0</v>
      </c>
      <c r="K51" s="10">
        <f>ROUND(I51*J51,0)</f>
        <v>0</v>
      </c>
      <c r="L51" s="10">
        <f>'22a&amp;b'!CN60</f>
        <v>0</v>
      </c>
      <c r="M51" s="10">
        <v>0</v>
      </c>
      <c r="N51" s="10">
        <f>+L51+M51</f>
        <v>0</v>
      </c>
      <c r="O51" s="10">
        <f>+G51+K51+N51</f>
        <v>1875</v>
      </c>
    </row>
    <row r="52" spans="1:16" x14ac:dyDescent="0.2">
      <c r="A52" t="s">
        <v>397</v>
      </c>
      <c r="C52" s="6">
        <v>0</v>
      </c>
      <c r="D52" s="6">
        <v>0</v>
      </c>
      <c r="E52" s="8"/>
      <c r="F52" s="19">
        <v>0</v>
      </c>
      <c r="G52" s="17">
        <f>2070-2070+1875</f>
        <v>1875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'22a&amp;b'!CN61</f>
        <v>0</v>
      </c>
      <c r="M52" s="10">
        <v>0</v>
      </c>
      <c r="N52" s="10">
        <f>+L52+M52</f>
        <v>0</v>
      </c>
      <c r="O52" s="10">
        <f>+G52+K52+N52</f>
        <v>1875</v>
      </c>
    </row>
    <row r="53" spans="1:16" x14ac:dyDescent="0.2"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124397</v>
      </c>
      <c r="D54" s="6">
        <f>SUM(D12:D52)</f>
        <v>111049</v>
      </c>
      <c r="E54" s="74"/>
      <c r="F54" s="3"/>
      <c r="G54" s="17">
        <f>SUM(G12:G52)</f>
        <v>833732.71000000008</v>
      </c>
      <c r="H54" s="6"/>
      <c r="I54" s="6">
        <f>SUM(I12:I52)</f>
        <v>7525000</v>
      </c>
      <c r="J54" s="18"/>
      <c r="K54" s="17">
        <f>SUM(K12:K52)</f>
        <v>432421</v>
      </c>
      <c r="L54" s="10">
        <f>SUM(L11:L52)</f>
        <v>179740</v>
      </c>
      <c r="M54" s="10">
        <f>SUM(M12:M52)</f>
        <v>626</v>
      </c>
      <c r="N54" s="10">
        <f>SUM(N12:N52)</f>
        <v>180366</v>
      </c>
      <c r="O54" s="10">
        <f>SUM(O12:O52)</f>
        <v>1446519.7100000002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">
        <v>447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8" t="s">
        <v>451</v>
      </c>
      <c r="O59" s="1">
        <f>'Y1'!M7</f>
        <v>24</v>
      </c>
    </row>
    <row r="61" spans="1:16" ht="25.5" x14ac:dyDescent="0.2">
      <c r="A61" t="s">
        <v>457</v>
      </c>
      <c r="C61" s="12" t="s">
        <v>57</v>
      </c>
      <c r="D61" s="12" t="s">
        <v>58</v>
      </c>
      <c r="E61" s="8"/>
      <c r="F61" s="54" t="s">
        <v>380</v>
      </c>
      <c r="G61" s="55" t="s">
        <v>314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314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38.2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3">
        <v>0</v>
      </c>
      <c r="D67" s="6">
        <v>0</v>
      </c>
      <c r="E67" s="74"/>
      <c r="F67" s="19">
        <v>0</v>
      </c>
      <c r="G67" s="10">
        <v>0</v>
      </c>
      <c r="H67" s="6">
        <v>0</v>
      </c>
      <c r="I67" s="11">
        <f>D67*H67</f>
        <v>0</v>
      </c>
      <c r="J67" s="18" t="s">
        <v>38</v>
      </c>
      <c r="K67" s="10">
        <v>0</v>
      </c>
      <c r="L67" s="10">
        <f>+'22a&amp;b'!CQ78</f>
        <v>0</v>
      </c>
      <c r="M67" s="10">
        <f>G67*0.05</f>
        <v>0</v>
      </c>
      <c r="N67" s="10">
        <f>+L67+M67</f>
        <v>0</v>
      </c>
      <c r="O67" s="10">
        <f>+G67+K67+N67</f>
        <v>0</v>
      </c>
    </row>
    <row r="68" spans="1:15" x14ac:dyDescent="0.2">
      <c r="A68" t="s">
        <v>42</v>
      </c>
      <c r="C68" s="3">
        <v>0</v>
      </c>
      <c r="D68" s="6">
        <v>0</v>
      </c>
      <c r="E68" s="74"/>
      <c r="F68" s="19">
        <v>0</v>
      </c>
      <c r="G68" s="10">
        <v>0</v>
      </c>
      <c r="H68" s="6">
        <v>0</v>
      </c>
      <c r="I68" s="11">
        <f>D68*H68</f>
        <v>0</v>
      </c>
      <c r="J68" s="18" t="s">
        <v>38</v>
      </c>
      <c r="K68" s="10">
        <v>0</v>
      </c>
      <c r="L68" s="10">
        <f>+'22a&amp;b'!CQ79</f>
        <v>0</v>
      </c>
      <c r="M68" s="10">
        <f>G68*0.05</f>
        <v>0</v>
      </c>
      <c r="N68" s="10">
        <f>+L68+M68</f>
        <v>0</v>
      </c>
      <c r="O68" s="10">
        <f>+G68+K68+N68</f>
        <v>0</v>
      </c>
    </row>
    <row r="69" spans="1:15" x14ac:dyDescent="0.2">
      <c r="A69" t="s">
        <v>43</v>
      </c>
      <c r="C69" s="3">
        <v>0</v>
      </c>
      <c r="D69" s="6">
        <v>0</v>
      </c>
      <c r="E69" s="74"/>
      <c r="F69" s="19">
        <v>0</v>
      </c>
      <c r="G69" s="10">
        <v>0</v>
      </c>
      <c r="H69" s="6">
        <v>0</v>
      </c>
      <c r="I69" s="11">
        <f>D69*H69</f>
        <v>0</v>
      </c>
      <c r="J69" s="18">
        <v>0</v>
      </c>
      <c r="K69" s="10">
        <f>ROUND(I69*J69,0)</f>
        <v>0</v>
      </c>
      <c r="L69" s="10">
        <f>+'22a&amp;b'!CQ80</f>
        <v>0</v>
      </c>
      <c r="M69" s="10">
        <v>0</v>
      </c>
      <c r="N69" s="10">
        <f>+L69+M69</f>
        <v>0</v>
      </c>
      <c r="O69" s="10">
        <f>+G69+K69+N69</f>
        <v>0</v>
      </c>
    </row>
    <row r="70" spans="1:15" x14ac:dyDescent="0.2">
      <c r="A70" t="s">
        <v>44</v>
      </c>
      <c r="C70" s="3">
        <v>0</v>
      </c>
      <c r="D70" s="6">
        <v>0</v>
      </c>
      <c r="E70" s="74"/>
      <c r="F70" s="19">
        <v>0</v>
      </c>
      <c r="G70" s="10">
        <v>0</v>
      </c>
      <c r="H70" s="6">
        <v>0</v>
      </c>
      <c r="I70" s="11">
        <f>D70*H70</f>
        <v>0</v>
      </c>
      <c r="J70" s="18">
        <v>0</v>
      </c>
      <c r="K70" s="10">
        <f>ROUND(I70*J70,0)</f>
        <v>0</v>
      </c>
      <c r="L70" s="10">
        <f>+'22a&amp;b'!CQ81</f>
        <v>0</v>
      </c>
      <c r="M70" s="10">
        <v>0</v>
      </c>
      <c r="N70" s="10">
        <f>+L70+M70</f>
        <v>0</v>
      </c>
      <c r="O70" s="10">
        <f>+G70+K70+N70</f>
        <v>0</v>
      </c>
    </row>
    <row r="71" spans="1:15" x14ac:dyDescent="0.2">
      <c r="C71" s="3"/>
      <c r="D71" s="6"/>
      <c r="E71" s="74"/>
      <c r="F71" s="19"/>
      <c r="G71" s="10"/>
      <c r="H71" s="6"/>
      <c r="I71" s="11"/>
      <c r="J71" s="18"/>
      <c r="K71" s="10"/>
      <c r="L71" s="10"/>
      <c r="M71" s="10"/>
      <c r="N71" s="10"/>
      <c r="O71" s="10"/>
    </row>
    <row r="72" spans="1:15" x14ac:dyDescent="0.2">
      <c r="A72" t="s">
        <v>389</v>
      </c>
      <c r="C72" s="3"/>
      <c r="D72" s="6"/>
      <c r="E72" s="74"/>
      <c r="F72" s="19"/>
      <c r="G72" s="10"/>
      <c r="H72" s="6"/>
      <c r="I72" s="11"/>
      <c r="J72" s="18"/>
      <c r="K72" s="10"/>
      <c r="L72" s="10"/>
      <c r="M72" s="10"/>
      <c r="N72" s="10"/>
      <c r="O72" s="10"/>
    </row>
    <row r="73" spans="1:15" x14ac:dyDescent="0.2">
      <c r="A73" t="s">
        <v>390</v>
      </c>
      <c r="C73" s="3">
        <v>0</v>
      </c>
      <c r="D73" s="6">
        <v>1</v>
      </c>
      <c r="E73" s="74"/>
      <c r="F73" s="19">
        <v>0</v>
      </c>
      <c r="G73" s="77">
        <v>1990.12</v>
      </c>
      <c r="H73" s="6">
        <v>120</v>
      </c>
      <c r="I73" s="11">
        <f>D73*H73</f>
        <v>120</v>
      </c>
      <c r="J73" s="95">
        <v>7.1059999999999998E-2</v>
      </c>
      <c r="K73" s="10">
        <f>ROUND(I73*J73,0)</f>
        <v>9</v>
      </c>
      <c r="L73" s="10">
        <v>0</v>
      </c>
      <c r="M73" s="10">
        <f>ROUND(G73*0.05,0)</f>
        <v>100</v>
      </c>
      <c r="N73" s="10">
        <f>+L73+M73</f>
        <v>100</v>
      </c>
      <c r="O73" s="10">
        <f>+G73+K73+N73</f>
        <v>2099.12</v>
      </c>
    </row>
    <row r="74" spans="1:15" x14ac:dyDescent="0.2">
      <c r="A74" t="s">
        <v>349</v>
      </c>
      <c r="C74" s="3">
        <v>6</v>
      </c>
      <c r="D74" s="6">
        <v>13</v>
      </c>
      <c r="E74" s="74"/>
      <c r="F74" s="19">
        <f>ROUND(G74/C74,2)</f>
        <v>1030.44</v>
      </c>
      <c r="G74" s="77">
        <v>6182.63</v>
      </c>
      <c r="H74" s="6">
        <v>570</v>
      </c>
      <c r="I74" s="11">
        <f>D74*H74</f>
        <v>7410</v>
      </c>
      <c r="J74" s="95">
        <v>7.1080000000000004E-2</v>
      </c>
      <c r="K74" s="10">
        <f>ROUND(I74*J74,0)</f>
        <v>527</v>
      </c>
      <c r="L74" s="10">
        <v>0</v>
      </c>
      <c r="M74" s="10">
        <f>ROUND(G74*0.05,0)</f>
        <v>309</v>
      </c>
      <c r="N74" s="10">
        <f>+L74+M74</f>
        <v>309</v>
      </c>
      <c r="O74" s="10">
        <f>+G74+K74+N74</f>
        <v>7018.63</v>
      </c>
    </row>
    <row r="75" spans="1:15" x14ac:dyDescent="0.2">
      <c r="C75" s="3"/>
      <c r="D75" s="6"/>
      <c r="E75" s="74"/>
      <c r="F75" s="19"/>
      <c r="G75" s="10"/>
      <c r="H75" s="6"/>
      <c r="I75" s="11"/>
      <c r="J75" s="95"/>
      <c r="K75" s="10"/>
      <c r="L75" s="10"/>
      <c r="M75" s="10"/>
      <c r="N75" s="10"/>
      <c r="O75" s="10"/>
    </row>
    <row r="76" spans="1:15" x14ac:dyDescent="0.2">
      <c r="A76" t="s">
        <v>388</v>
      </c>
      <c r="C76" s="3"/>
      <c r="D76" s="6"/>
      <c r="E76" s="74"/>
      <c r="F76" s="19"/>
      <c r="G76" s="10"/>
      <c r="H76" s="43"/>
      <c r="I76" s="11"/>
      <c r="J76" s="95"/>
      <c r="K76" s="10"/>
      <c r="L76" s="10"/>
      <c r="M76" s="10"/>
      <c r="N76" s="10"/>
      <c r="O76" s="10"/>
    </row>
    <row r="77" spans="1:15" x14ac:dyDescent="0.2">
      <c r="A77" t="s">
        <v>208</v>
      </c>
      <c r="C77" s="3">
        <v>0</v>
      </c>
      <c r="D77" s="6">
        <v>21</v>
      </c>
      <c r="E77" s="8" t="s">
        <v>170</v>
      </c>
      <c r="F77" s="19">
        <v>0</v>
      </c>
      <c r="G77" s="77">
        <v>0</v>
      </c>
      <c r="H77" s="43">
        <v>115</v>
      </c>
      <c r="I77" s="11">
        <f>D77*H77</f>
        <v>2415</v>
      </c>
      <c r="J77" s="95">
        <v>7.109E-2</v>
      </c>
      <c r="K77" s="10">
        <f>ROUND(I77*J77,0)</f>
        <v>172</v>
      </c>
      <c r="L77" s="10">
        <v>0</v>
      </c>
      <c r="M77" s="10">
        <f>ROUND(G77*0.05,0)</f>
        <v>0</v>
      </c>
      <c r="N77" s="10">
        <f>+L77+M77</f>
        <v>0</v>
      </c>
      <c r="O77" s="10">
        <f>+G77+K77+N77</f>
        <v>172</v>
      </c>
    </row>
    <row r="78" spans="1:15" x14ac:dyDescent="0.2">
      <c r="A78" t="s">
        <v>207</v>
      </c>
      <c r="C78" s="3">
        <v>10</v>
      </c>
      <c r="D78" s="6">
        <v>57</v>
      </c>
      <c r="E78" s="74"/>
      <c r="F78" s="19">
        <f>ROUND(G78/C78,2)</f>
        <v>539.70000000000005</v>
      </c>
      <c r="G78" s="77">
        <v>5397</v>
      </c>
      <c r="H78" s="43">
        <v>348</v>
      </c>
      <c r="I78" s="11">
        <f>D78*H78</f>
        <v>19836</v>
      </c>
      <c r="J78" s="95">
        <v>7.1139999999999995E-2</v>
      </c>
      <c r="K78" s="10">
        <f>ROUND(I78*J78,0)</f>
        <v>1411</v>
      </c>
      <c r="L78" s="10">
        <v>0</v>
      </c>
      <c r="M78" s="10">
        <f>ROUND(G78*0.05,0)</f>
        <v>270</v>
      </c>
      <c r="N78" s="10">
        <f>+L78+M78</f>
        <v>270</v>
      </c>
      <c r="O78" s="10">
        <f>+G78+K78+N78</f>
        <v>7078</v>
      </c>
    </row>
    <row r="79" spans="1:15" x14ac:dyDescent="0.2">
      <c r="C79" s="3"/>
      <c r="D79" s="6"/>
      <c r="E79" s="74"/>
      <c r="F79" s="19"/>
      <c r="G79" s="10"/>
      <c r="H79" s="43"/>
      <c r="I79" s="11"/>
      <c r="J79" s="18"/>
      <c r="K79" s="10"/>
      <c r="L79" s="10"/>
      <c r="M79" s="10"/>
      <c r="N79" s="10"/>
      <c r="O79" s="10"/>
    </row>
    <row r="80" spans="1:15" x14ac:dyDescent="0.2">
      <c r="A80" t="s">
        <v>396</v>
      </c>
      <c r="C80" s="43">
        <v>98</v>
      </c>
      <c r="D80" s="6">
        <v>79</v>
      </c>
      <c r="E80" s="8" t="s">
        <v>170</v>
      </c>
      <c r="F80" s="19">
        <f>ROUND(G80/C80,2)</f>
        <v>6512.07</v>
      </c>
      <c r="G80" s="80">
        <v>638183</v>
      </c>
      <c r="H80" s="78">
        <v>8788</v>
      </c>
      <c r="I80" s="11">
        <f>D80*H80</f>
        <v>694252</v>
      </c>
      <c r="J80" s="95">
        <v>7.0379999999999998E-2</v>
      </c>
      <c r="K80" s="10">
        <f>ROUND(I80*J80,0)</f>
        <v>48861</v>
      </c>
      <c r="L80" s="10">
        <v>0</v>
      </c>
      <c r="M80" s="10">
        <f>ROUND(G80*0.05,0)</f>
        <v>31909</v>
      </c>
      <c r="N80" s="10">
        <f>+L80+M80</f>
        <v>31909</v>
      </c>
      <c r="O80" s="10">
        <f>+G80+K80+N80</f>
        <v>718953</v>
      </c>
    </row>
    <row r="81" spans="1:15" x14ac:dyDescent="0.2">
      <c r="C81" s="6"/>
      <c r="D81" s="6"/>
      <c r="E81" s="8"/>
      <c r="F81" s="19"/>
      <c r="G81" s="80"/>
      <c r="H81" s="38"/>
      <c r="I81" s="11"/>
      <c r="J81" s="95"/>
      <c r="K81" s="10"/>
      <c r="L81" s="10"/>
      <c r="M81" s="10"/>
      <c r="N81" s="10"/>
      <c r="O81" s="10"/>
    </row>
    <row r="82" spans="1:15" x14ac:dyDescent="0.2">
      <c r="A82" t="s">
        <v>442</v>
      </c>
      <c r="C82" s="3"/>
      <c r="D82" s="6"/>
      <c r="E82" s="74"/>
      <c r="F82" s="19"/>
      <c r="G82" s="10"/>
      <c r="H82" s="6"/>
      <c r="I82" s="11"/>
      <c r="J82" s="18"/>
      <c r="K82" s="10"/>
      <c r="L82" s="10"/>
      <c r="M82" s="10"/>
      <c r="N82" s="10"/>
      <c r="O82" s="10"/>
    </row>
    <row r="83" spans="1:15" x14ac:dyDescent="0.2">
      <c r="A83" t="s">
        <v>208</v>
      </c>
      <c r="C83" s="6">
        <v>0</v>
      </c>
      <c r="D83" s="6">
        <v>0</v>
      </c>
      <c r="E83" s="8"/>
      <c r="F83" s="19">
        <v>0</v>
      </c>
      <c r="G83" s="80">
        <v>0</v>
      </c>
      <c r="H83" s="38">
        <v>0</v>
      </c>
      <c r="I83" s="11">
        <v>0</v>
      </c>
      <c r="J83" s="18">
        <v>0</v>
      </c>
      <c r="K83" s="10">
        <v>0</v>
      </c>
      <c r="L83" s="10">
        <v>0</v>
      </c>
      <c r="M83" s="10">
        <v>0</v>
      </c>
      <c r="N83" s="10">
        <v>0</v>
      </c>
      <c r="O83" s="10">
        <f>+G83+K83+N83</f>
        <v>0</v>
      </c>
    </row>
    <row r="84" spans="1:15" x14ac:dyDescent="0.2">
      <c r="A84" t="s">
        <v>397</v>
      </c>
      <c r="C84" s="6">
        <v>0</v>
      </c>
      <c r="D84" s="6">
        <v>0</v>
      </c>
      <c r="E84" s="8"/>
      <c r="F84" s="19">
        <v>0</v>
      </c>
      <c r="G84" s="80">
        <v>0</v>
      </c>
      <c r="H84" s="38">
        <v>0</v>
      </c>
      <c r="I84" s="11">
        <v>0</v>
      </c>
      <c r="J84" s="18">
        <v>0</v>
      </c>
      <c r="K84" s="10">
        <v>0</v>
      </c>
      <c r="L84" s="10">
        <v>0</v>
      </c>
      <c r="M84" s="10">
        <v>0</v>
      </c>
      <c r="N84" s="10">
        <v>0</v>
      </c>
      <c r="O84" s="10">
        <f>+G84+K84+N84</f>
        <v>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114</v>
      </c>
      <c r="D86" s="84">
        <f>SUM(D67:D84)</f>
        <v>171</v>
      </c>
      <c r="E86" s="74"/>
      <c r="F86" s="3"/>
      <c r="G86" s="10">
        <f>SUM(G67:G84)</f>
        <v>651752.75</v>
      </c>
      <c r="H86" s="6"/>
      <c r="I86" s="84">
        <f>SUM(I67:I84)</f>
        <v>724033</v>
      </c>
      <c r="J86" s="18"/>
      <c r="K86" s="10">
        <f>SUM(K67:K84)</f>
        <v>50980</v>
      </c>
      <c r="L86" s="10">
        <f>SUM(L67:L84)</f>
        <v>0</v>
      </c>
      <c r="M86" s="10">
        <f>SUM(M67:M84)</f>
        <v>32588</v>
      </c>
      <c r="N86" s="10">
        <f>SUM(N67:N84)</f>
        <v>32588</v>
      </c>
      <c r="O86" s="10">
        <f>SUM(O67:O84)</f>
        <v>735320.75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 t="s">
        <v>138</v>
      </c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 t="s">
        <v>38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 t="s">
        <v>38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124511</v>
      </c>
      <c r="D99" s="6">
        <f>+D54+D86+D97</f>
        <v>111220</v>
      </c>
      <c r="E99" s="74"/>
      <c r="F99" s="3"/>
      <c r="G99" s="17">
        <f>G54+G86+G97</f>
        <v>1485485.46</v>
      </c>
      <c r="H99" s="6"/>
      <c r="I99" s="6">
        <f>+I54+I86+I97</f>
        <v>8249033</v>
      </c>
      <c r="J99" s="18"/>
      <c r="K99" s="17">
        <f>+K54+K86+K97</f>
        <v>483401</v>
      </c>
      <c r="L99" s="10">
        <f>+L54+L86+L97</f>
        <v>179740</v>
      </c>
      <c r="M99" s="10">
        <f>+M54+M86+M97</f>
        <v>33214</v>
      </c>
      <c r="N99" s="10">
        <f>+N54+N86+N97</f>
        <v>212954</v>
      </c>
      <c r="O99" s="10">
        <f>+O54+O86+O97</f>
        <v>2181840.46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1" spans="1:15" x14ac:dyDescent="0.2">
      <c r="C101" s="28" t="s">
        <v>138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honeticPr fontId="16" type="noConversion"/>
  <printOptions horizontalCentered="1" verticalCentered="1" gridLines="1"/>
  <pageMargins left="0" right="0" top="0.6" bottom="0" header="0" footer="0"/>
  <pageSetup scale="60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="75" zoomScaleNormal="75" workbookViewId="0">
      <pane xSplit="2" ySplit="10" topLeftCell="C65" activePane="bottomRight" state="frozen"/>
      <selection activeCell="N102" sqref="N102"/>
      <selection pane="topRight" activeCell="N102" sqref="N102"/>
      <selection pane="bottomLeft" activeCell="N102" sqref="N102"/>
      <selection pane="bottomRight" activeCell="N103" sqref="N103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22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5" x14ac:dyDescent="0.2">
      <c r="A1" s="16" t="s">
        <v>480</v>
      </c>
      <c r="B1" s="14"/>
      <c r="C1" s="42"/>
      <c r="D1" s="42"/>
      <c r="E1" s="96"/>
      <c r="F1" s="42"/>
      <c r="G1" s="42"/>
      <c r="H1" s="42"/>
      <c r="I1" s="42"/>
      <c r="J1" s="42"/>
    </row>
    <row r="3" spans="1:15" x14ac:dyDescent="0.2">
      <c r="A3" s="28" t="s">
        <v>0</v>
      </c>
      <c r="I3" s="15"/>
      <c r="N3" s="37" t="s">
        <v>140</v>
      </c>
    </row>
    <row r="4" spans="1:15" ht="25.5" x14ac:dyDescent="0.2">
      <c r="A4" s="36" t="s">
        <v>128</v>
      </c>
      <c r="N4" s="29" t="s">
        <v>463</v>
      </c>
      <c r="O4" s="1">
        <f>+'Y1'!M7</f>
        <v>24</v>
      </c>
    </row>
    <row r="6" spans="1:15" ht="26.25" x14ac:dyDescent="0.25">
      <c r="A6" s="105" t="s">
        <v>481</v>
      </c>
      <c r="C6" s="12" t="s">
        <v>57</v>
      </c>
      <c r="D6" s="12" t="s">
        <v>58</v>
      </c>
      <c r="E6" s="8"/>
      <c r="F6" s="54" t="s">
        <v>380</v>
      </c>
      <c r="G6" s="55" t="s">
        <v>521</v>
      </c>
      <c r="H6" s="117" t="s">
        <v>61</v>
      </c>
      <c r="I6" s="12" t="s">
        <v>4</v>
      </c>
      <c r="J6" s="8" t="s">
        <v>200</v>
      </c>
      <c r="K6" s="8" t="s">
        <v>199</v>
      </c>
      <c r="L6" s="185" t="s">
        <v>63</v>
      </c>
      <c r="M6" s="12" t="s">
        <v>64</v>
      </c>
      <c r="N6" s="12"/>
      <c r="O6" s="55" t="s">
        <v>314</v>
      </c>
    </row>
    <row r="7" spans="1:15" ht="26.25" x14ac:dyDescent="0.25">
      <c r="C7" s="12" t="s">
        <v>66</v>
      </c>
      <c r="D7" s="12" t="s">
        <v>66</v>
      </c>
      <c r="E7" s="8"/>
      <c r="F7" s="54" t="s">
        <v>67</v>
      </c>
      <c r="G7" s="12" t="s">
        <v>27</v>
      </c>
      <c r="H7" s="117" t="s">
        <v>248</v>
      </c>
      <c r="I7" s="8" t="s">
        <v>69</v>
      </c>
      <c r="J7" s="12" t="s">
        <v>70</v>
      </c>
      <c r="K7" s="12" t="s">
        <v>71</v>
      </c>
      <c r="L7" s="185" t="s">
        <v>72</v>
      </c>
      <c r="M7" s="12" t="s">
        <v>72</v>
      </c>
      <c r="N7" s="12" t="s">
        <v>73</v>
      </c>
      <c r="O7" s="12" t="s">
        <v>74</v>
      </c>
    </row>
    <row r="8" spans="1:15" ht="30" x14ac:dyDescent="0.25">
      <c r="A8" t="s">
        <v>28</v>
      </c>
      <c r="C8" s="12" t="s">
        <v>75</v>
      </c>
      <c r="D8" s="8" t="s">
        <v>359</v>
      </c>
      <c r="E8" s="8"/>
      <c r="F8" s="54" t="s">
        <v>76</v>
      </c>
      <c r="G8" s="12" t="s">
        <v>77</v>
      </c>
      <c r="H8" s="118" t="s">
        <v>247</v>
      </c>
      <c r="I8" s="52" t="s">
        <v>364</v>
      </c>
      <c r="J8" s="12" t="s">
        <v>80</v>
      </c>
      <c r="K8" s="12" t="s">
        <v>81</v>
      </c>
      <c r="L8" s="186" t="str">
        <f>+'Y1'!J13</f>
        <v>(EX. C,                            PG.23C)</v>
      </c>
      <c r="M8" s="8" t="s">
        <v>217</v>
      </c>
      <c r="N8" s="12" t="s">
        <v>72</v>
      </c>
      <c r="O8" s="12" t="s">
        <v>83</v>
      </c>
    </row>
    <row r="9" spans="1:15" ht="15" x14ac:dyDescent="0.25">
      <c r="C9" s="7">
        <v>-1</v>
      </c>
      <c r="D9" s="7">
        <v>-2</v>
      </c>
      <c r="E9" s="8"/>
      <c r="F9" s="7">
        <v>-3</v>
      </c>
      <c r="G9" s="7">
        <v>-4</v>
      </c>
      <c r="H9" s="119">
        <v>-5</v>
      </c>
      <c r="I9" s="7">
        <v>-6</v>
      </c>
      <c r="J9" s="7">
        <v>-7</v>
      </c>
      <c r="K9" s="7">
        <v>-8</v>
      </c>
      <c r="L9" s="187">
        <v>-9</v>
      </c>
      <c r="M9" s="7">
        <v>-10</v>
      </c>
      <c r="N9" s="7">
        <v>-11</v>
      </c>
      <c r="O9" s="7">
        <v>-12</v>
      </c>
    </row>
    <row r="10" spans="1:15" ht="15" x14ac:dyDescent="0.25">
      <c r="C10" s="25" t="s">
        <v>138</v>
      </c>
      <c r="D10" s="12"/>
      <c r="E10" s="8"/>
      <c r="F10" s="12" t="s">
        <v>372</v>
      </c>
      <c r="G10" s="12"/>
      <c r="H10" s="117"/>
      <c r="I10" s="12" t="s">
        <v>85</v>
      </c>
      <c r="J10" s="12"/>
      <c r="K10" s="12" t="s">
        <v>86</v>
      </c>
      <c r="L10" s="185"/>
      <c r="M10" s="12" t="s">
        <v>87</v>
      </c>
      <c r="N10" s="12" t="s">
        <v>88</v>
      </c>
      <c r="O10" s="12" t="s">
        <v>89</v>
      </c>
    </row>
    <row r="11" spans="1:15" x14ac:dyDescent="0.2">
      <c r="A11" s="42" t="s">
        <v>29</v>
      </c>
      <c r="C11" s="42"/>
      <c r="D11" s="42"/>
      <c r="E11" s="96"/>
      <c r="F11" s="42"/>
      <c r="G11" s="42"/>
      <c r="H11" s="120"/>
      <c r="I11" s="42"/>
      <c r="J11" s="42"/>
      <c r="K11" s="42"/>
      <c r="L11" s="42"/>
      <c r="M11" s="42"/>
      <c r="N11" s="42"/>
      <c r="O11" s="42"/>
    </row>
    <row r="12" spans="1:15" x14ac:dyDescent="0.2">
      <c r="A12" s="42" t="s">
        <v>30</v>
      </c>
      <c r="C12" s="43">
        <v>0</v>
      </c>
      <c r="D12" s="43">
        <v>0</v>
      </c>
      <c r="E12" s="98"/>
      <c r="F12" s="79">
        <v>0</v>
      </c>
      <c r="G12" s="80">
        <v>0</v>
      </c>
      <c r="H12" s="121">
        <v>0</v>
      </c>
      <c r="I12" s="81">
        <f>D12*H12</f>
        <v>0</v>
      </c>
      <c r="J12" s="95">
        <v>0</v>
      </c>
      <c r="K12" s="77">
        <f>ROUND(I12*J12,0)</f>
        <v>0</v>
      </c>
      <c r="L12" s="77">
        <f>+'22a&amp;b'!CR13</f>
        <v>0</v>
      </c>
      <c r="M12" s="77">
        <f>ROUND(G12*0.05,0)</f>
        <v>0</v>
      </c>
      <c r="N12" s="77">
        <f>+L12+M12</f>
        <v>0</v>
      </c>
      <c r="O12" s="77">
        <f>+G12+K12+N12</f>
        <v>0</v>
      </c>
    </row>
    <row r="13" spans="1:15" x14ac:dyDescent="0.2">
      <c r="A13" s="42"/>
      <c r="C13" s="43"/>
      <c r="D13" s="43"/>
      <c r="E13" s="98"/>
      <c r="F13" s="79"/>
      <c r="G13" s="80"/>
      <c r="H13" s="121"/>
      <c r="I13" s="81"/>
      <c r="J13" s="95"/>
      <c r="K13" s="77"/>
      <c r="L13" s="77"/>
      <c r="M13" s="77"/>
      <c r="N13" s="77"/>
      <c r="O13" s="77"/>
    </row>
    <row r="14" spans="1:15" x14ac:dyDescent="0.2">
      <c r="A14" s="96" t="s">
        <v>261</v>
      </c>
      <c r="C14" s="43"/>
      <c r="D14" s="43"/>
      <c r="E14" s="98"/>
      <c r="F14" s="79"/>
      <c r="G14" s="80"/>
      <c r="H14" s="121"/>
      <c r="I14" s="81"/>
      <c r="J14" s="95"/>
      <c r="K14" s="77"/>
      <c r="L14" s="77"/>
      <c r="M14" s="77"/>
      <c r="N14" s="77"/>
      <c r="O14" s="77"/>
    </row>
    <row r="15" spans="1:15" x14ac:dyDescent="0.2">
      <c r="A15" s="96" t="s">
        <v>253</v>
      </c>
      <c r="C15" s="43">
        <v>42</v>
      </c>
      <c r="D15" s="43">
        <v>387</v>
      </c>
      <c r="E15" s="94" t="s">
        <v>170</v>
      </c>
      <c r="F15" s="79">
        <f>ROUND(G15/C15,2)</f>
        <v>1817.35</v>
      </c>
      <c r="G15" s="80">
        <f>71528.58+4800</f>
        <v>76328.58</v>
      </c>
      <c r="H15" s="121">
        <v>1131</v>
      </c>
      <c r="I15" s="81">
        <f>D15*H15</f>
        <v>437697</v>
      </c>
      <c r="J15" s="179">
        <v>5.7509999999999999E-2</v>
      </c>
      <c r="K15" s="77">
        <f>ROUND(I15*J15,0)</f>
        <v>25172</v>
      </c>
      <c r="L15" s="77">
        <f>+'22a&amp;b'!CR16</f>
        <v>6439</v>
      </c>
      <c r="M15" s="77">
        <f>ROUND(G15*0,0)</f>
        <v>0</v>
      </c>
      <c r="N15" s="77">
        <f>+L15+M15</f>
        <v>6439</v>
      </c>
      <c r="O15" s="77">
        <f>+G15+K15+N15</f>
        <v>107939.58</v>
      </c>
    </row>
    <row r="16" spans="1:15" x14ac:dyDescent="0.2">
      <c r="A16" s="42" t="s">
        <v>254</v>
      </c>
      <c r="C16" s="43">
        <v>1</v>
      </c>
      <c r="D16" s="43">
        <v>51</v>
      </c>
      <c r="E16" s="94" t="s">
        <v>170</v>
      </c>
      <c r="F16" s="79">
        <f>ROUND(G16/C16,2)</f>
        <v>2527.9299999999998</v>
      </c>
      <c r="G16" s="80">
        <v>2527.9299999999998</v>
      </c>
      <c r="H16" s="121">
        <v>217</v>
      </c>
      <c r="I16" s="81">
        <f>D16*H16</f>
        <v>11067</v>
      </c>
      <c r="J16" s="95">
        <v>5.7369999999999997E-2</v>
      </c>
      <c r="K16" s="77">
        <f>ROUND(I16*J16,0)</f>
        <v>635</v>
      </c>
      <c r="L16" s="77">
        <f>+'22a&amp;b'!CR17</f>
        <v>1</v>
      </c>
      <c r="M16" s="77">
        <v>0</v>
      </c>
      <c r="N16" s="77">
        <f>+L16+M16</f>
        <v>1</v>
      </c>
      <c r="O16" s="77">
        <f>+G16+K16+N16</f>
        <v>3163.93</v>
      </c>
    </row>
    <row r="17" spans="1:15" x14ac:dyDescent="0.2">
      <c r="A17" s="42"/>
      <c r="C17" s="43"/>
      <c r="D17" s="43"/>
      <c r="E17" s="98"/>
      <c r="F17" s="79"/>
      <c r="G17" s="80"/>
      <c r="H17" s="43"/>
      <c r="I17" s="81"/>
      <c r="J17" s="95"/>
      <c r="K17" s="77"/>
      <c r="L17" s="77"/>
      <c r="M17" s="77"/>
      <c r="N17" s="77"/>
      <c r="O17" s="77"/>
    </row>
    <row r="18" spans="1:15" x14ac:dyDescent="0.2">
      <c r="A18" s="42" t="s">
        <v>33</v>
      </c>
      <c r="C18" s="43">
        <v>0</v>
      </c>
      <c r="D18" s="43">
        <v>0</v>
      </c>
      <c r="E18" s="98"/>
      <c r="F18" s="79">
        <v>0</v>
      </c>
      <c r="G18" s="80">
        <v>0</v>
      </c>
      <c r="H18" s="43">
        <v>0</v>
      </c>
      <c r="I18" s="81">
        <f>D18*H18</f>
        <v>0</v>
      </c>
      <c r="J18" s="95">
        <v>0</v>
      </c>
      <c r="K18" s="77">
        <f>ROUND(I18*J18,0)</f>
        <v>0</v>
      </c>
      <c r="L18" s="77">
        <f>+'22a&amp;b'!CR19</f>
        <v>0</v>
      </c>
      <c r="M18" s="77">
        <f>ROUND(G18*0.05,0)</f>
        <v>0</v>
      </c>
      <c r="N18" s="77">
        <f>+L18+M18</f>
        <v>0</v>
      </c>
      <c r="O18" s="77">
        <f>+G18+K18+N18</f>
        <v>0</v>
      </c>
    </row>
    <row r="19" spans="1:15" x14ac:dyDescent="0.2">
      <c r="A19" s="42"/>
      <c r="C19" s="43"/>
      <c r="D19" s="43"/>
      <c r="E19" s="98"/>
      <c r="F19" s="79"/>
      <c r="G19" s="80"/>
      <c r="H19" s="43"/>
      <c r="I19" s="81"/>
      <c r="J19" s="95"/>
      <c r="K19" s="77"/>
      <c r="L19" s="77"/>
      <c r="M19" s="77"/>
      <c r="N19" s="77"/>
      <c r="O19" s="77"/>
    </row>
    <row r="20" spans="1:15" x14ac:dyDescent="0.2">
      <c r="A20" s="42" t="s">
        <v>259</v>
      </c>
      <c r="C20" s="43"/>
      <c r="D20" s="43"/>
      <c r="E20" s="98"/>
      <c r="F20" s="79"/>
      <c r="G20" s="80"/>
      <c r="H20" s="43"/>
      <c r="I20" s="81"/>
      <c r="J20" s="95"/>
      <c r="K20" s="77"/>
      <c r="L20" s="77"/>
      <c r="M20" s="77"/>
      <c r="N20" s="77"/>
      <c r="O20" s="77"/>
    </row>
    <row r="21" spans="1:15" x14ac:dyDescent="0.2">
      <c r="A21" s="42" t="s">
        <v>255</v>
      </c>
      <c r="C21" s="43">
        <v>0</v>
      </c>
      <c r="D21" s="43">
        <v>0</v>
      </c>
      <c r="E21" s="98"/>
      <c r="F21" s="79">
        <v>0</v>
      </c>
      <c r="G21" s="80">
        <v>0</v>
      </c>
      <c r="H21" s="43">
        <v>0</v>
      </c>
      <c r="I21" s="81">
        <f>D21*H21</f>
        <v>0</v>
      </c>
      <c r="J21" s="95">
        <v>0</v>
      </c>
      <c r="K21" s="77">
        <f>ROUND(I21*J21,0)</f>
        <v>0</v>
      </c>
      <c r="L21" s="77">
        <f>+'22a&amp;b'!CR22</f>
        <v>0</v>
      </c>
      <c r="M21" s="77">
        <v>0</v>
      </c>
      <c r="N21" s="77">
        <f>+L21+M21</f>
        <v>0</v>
      </c>
      <c r="O21" s="77">
        <f>+G21+K21+N21</f>
        <v>0</v>
      </c>
    </row>
    <row r="22" spans="1:15" x14ac:dyDescent="0.2">
      <c r="A22" s="42" t="s">
        <v>256</v>
      </c>
      <c r="C22" s="43">
        <v>0</v>
      </c>
      <c r="D22" s="43">
        <v>0</v>
      </c>
      <c r="E22" s="98"/>
      <c r="F22" s="79">
        <v>0</v>
      </c>
      <c r="G22" s="80">
        <v>0</v>
      </c>
      <c r="H22" s="43">
        <v>0</v>
      </c>
      <c r="I22" s="81">
        <f>D22*H22</f>
        <v>0</v>
      </c>
      <c r="J22" s="95">
        <v>0</v>
      </c>
      <c r="K22" s="77">
        <f>ROUND(I22*J22,0)</f>
        <v>0</v>
      </c>
      <c r="L22" s="77">
        <f>+'22a&amp;b'!CR23</f>
        <v>0</v>
      </c>
      <c r="M22" s="77">
        <f>ROUND(G22*0.05,0)</f>
        <v>0</v>
      </c>
      <c r="N22" s="77">
        <f>+L22+M22</f>
        <v>0</v>
      </c>
      <c r="O22" s="77">
        <f>+G22+K22+N22</f>
        <v>0</v>
      </c>
    </row>
    <row r="23" spans="1:15" x14ac:dyDescent="0.2">
      <c r="A23" s="42"/>
      <c r="C23" s="43"/>
      <c r="D23" s="43"/>
      <c r="E23" s="98"/>
      <c r="F23" s="79"/>
      <c r="G23" s="80"/>
      <c r="H23" s="43"/>
      <c r="I23" s="81"/>
      <c r="J23" s="95"/>
      <c r="K23" s="77"/>
      <c r="L23" s="77"/>
      <c r="M23" s="77"/>
      <c r="N23" s="77"/>
      <c r="O23" s="77"/>
    </row>
    <row r="24" spans="1:15" x14ac:dyDescent="0.2">
      <c r="A24" s="42" t="s">
        <v>236</v>
      </c>
      <c r="C24" s="43"/>
      <c r="D24" s="43"/>
      <c r="E24" s="98"/>
      <c r="F24" s="79"/>
      <c r="G24" s="80"/>
      <c r="H24" s="43"/>
      <c r="I24" s="81"/>
      <c r="J24" s="95"/>
      <c r="K24" s="77"/>
      <c r="L24" s="77"/>
      <c r="M24" s="77"/>
      <c r="N24" s="77"/>
      <c r="O24" s="77"/>
    </row>
    <row r="25" spans="1:15" x14ac:dyDescent="0.2">
      <c r="A25" s="178" t="s">
        <v>479</v>
      </c>
      <c r="C25" s="43">
        <v>104</v>
      </c>
      <c r="D25" s="43">
        <v>651</v>
      </c>
      <c r="E25" s="94" t="s">
        <v>170</v>
      </c>
      <c r="F25" s="79">
        <f>ROUND(G25/C25,2)</f>
        <v>568.92999999999995</v>
      </c>
      <c r="G25" s="80">
        <v>59169.1</v>
      </c>
      <c r="H25" s="43">
        <v>834</v>
      </c>
      <c r="I25" s="81">
        <f>D25*H25</f>
        <v>542934</v>
      </c>
      <c r="J25" s="95">
        <v>5.7480000000000003E-2</v>
      </c>
      <c r="K25" s="77">
        <f>ROUND(I25*J25,0)</f>
        <v>31208</v>
      </c>
      <c r="L25" s="77">
        <f>+'22a&amp;b'!CR26</f>
        <v>1539</v>
      </c>
      <c r="M25" s="77">
        <v>0</v>
      </c>
      <c r="N25" s="77">
        <f>+L25+M25</f>
        <v>1539</v>
      </c>
      <c r="O25" s="77">
        <f>+G25+K25+N25</f>
        <v>91916.1</v>
      </c>
    </row>
    <row r="26" spans="1:15" x14ac:dyDescent="0.2">
      <c r="A26" s="42"/>
      <c r="C26" s="43"/>
      <c r="D26" s="43"/>
      <c r="E26" s="98"/>
      <c r="F26" s="79"/>
      <c r="G26" s="80"/>
      <c r="H26" s="43"/>
      <c r="I26" s="81"/>
      <c r="J26" s="95"/>
      <c r="K26" s="77"/>
      <c r="L26" s="77"/>
      <c r="M26" s="77"/>
      <c r="N26" s="77"/>
      <c r="O26" s="77"/>
    </row>
    <row r="27" spans="1:15" x14ac:dyDescent="0.2">
      <c r="A27" s="42" t="s">
        <v>346</v>
      </c>
      <c r="C27" s="43"/>
      <c r="D27" s="43"/>
      <c r="E27" s="98"/>
      <c r="F27" s="79"/>
      <c r="G27" s="80"/>
      <c r="H27" s="43"/>
      <c r="I27" s="81"/>
      <c r="J27" s="95"/>
      <c r="K27" s="77"/>
      <c r="L27" s="77"/>
      <c r="M27" s="77"/>
      <c r="N27" s="77"/>
      <c r="O27" s="77"/>
    </row>
    <row r="28" spans="1:15" x14ac:dyDescent="0.2">
      <c r="A28" s="96" t="s">
        <v>207</v>
      </c>
      <c r="C28" s="43">
        <v>56</v>
      </c>
      <c r="D28" s="43">
        <v>460</v>
      </c>
      <c r="E28" s="94" t="s">
        <v>170</v>
      </c>
      <c r="F28" s="79">
        <f>ROUND(G28/C28,2)</f>
        <v>746.6</v>
      </c>
      <c r="G28" s="80">
        <v>41809.46</v>
      </c>
      <c r="H28" s="43">
        <v>719</v>
      </c>
      <c r="I28" s="81">
        <f>D28*H28</f>
        <v>330740</v>
      </c>
      <c r="J28" s="95">
        <v>5.7500000000000002E-2</v>
      </c>
      <c r="K28" s="77">
        <f>ROUND(I28*J28,0)</f>
        <v>19018</v>
      </c>
      <c r="L28" s="77">
        <f>+'22a&amp;b'!CR29</f>
        <v>4960</v>
      </c>
      <c r="M28" s="77">
        <v>0</v>
      </c>
      <c r="N28" s="77">
        <f>+L28+M28</f>
        <v>4960</v>
      </c>
      <c r="O28" s="77">
        <f>+G28+K28+N28</f>
        <v>65787.459999999992</v>
      </c>
    </row>
    <row r="29" spans="1:15" x14ac:dyDescent="0.2">
      <c r="A29" s="96" t="s">
        <v>208</v>
      </c>
      <c r="C29" s="43">
        <v>0</v>
      </c>
      <c r="D29" s="43">
        <v>0</v>
      </c>
      <c r="E29" s="98"/>
      <c r="F29" s="79">
        <v>0</v>
      </c>
      <c r="G29" s="80">
        <v>0</v>
      </c>
      <c r="H29" s="43">
        <v>0</v>
      </c>
      <c r="I29" s="81">
        <f>D29*H29</f>
        <v>0</v>
      </c>
      <c r="J29" s="95">
        <v>0</v>
      </c>
      <c r="K29" s="77">
        <f>ROUND(I29*J29,0)</f>
        <v>0</v>
      </c>
      <c r="L29" s="77">
        <f>+'22a&amp;b'!CR30</f>
        <v>0</v>
      </c>
      <c r="M29" s="77">
        <v>0</v>
      </c>
      <c r="N29" s="77">
        <f>+L29+M29</f>
        <v>0</v>
      </c>
      <c r="O29" s="77">
        <f>+G29+K29+N29</f>
        <v>0</v>
      </c>
    </row>
    <row r="30" spans="1:15" x14ac:dyDescent="0.2">
      <c r="A30" s="96"/>
      <c r="C30" s="43"/>
      <c r="D30" s="43"/>
      <c r="E30" s="98"/>
      <c r="F30" s="79"/>
      <c r="G30" s="80"/>
      <c r="H30" s="43"/>
      <c r="I30" s="81"/>
      <c r="J30" s="95"/>
      <c r="K30" s="77"/>
      <c r="L30" s="77"/>
      <c r="M30" s="77"/>
      <c r="N30" s="77"/>
      <c r="O30" s="77"/>
    </row>
    <row r="31" spans="1:15" x14ac:dyDescent="0.2">
      <c r="A31" s="96" t="s">
        <v>209</v>
      </c>
      <c r="C31" s="43">
        <v>590</v>
      </c>
      <c r="D31" s="43">
        <v>3561</v>
      </c>
      <c r="E31" s="94"/>
      <c r="F31" s="79">
        <f>ROUND(G31/C31,2)</f>
        <v>436.38</v>
      </c>
      <c r="G31" s="80">
        <v>257463.07</v>
      </c>
      <c r="H31" s="78">
        <v>399</v>
      </c>
      <c r="I31" s="81">
        <f>D31*H31</f>
        <v>1420839</v>
      </c>
      <c r="J31" s="95">
        <v>5.7439999999999998E-2</v>
      </c>
      <c r="K31" s="77">
        <f>ROUND(I31*J31,0)</f>
        <v>81613</v>
      </c>
      <c r="L31" s="77">
        <f>+'22a&amp;b'!CR32</f>
        <v>9198</v>
      </c>
      <c r="M31" s="77">
        <v>0</v>
      </c>
      <c r="N31" s="77">
        <f>+L31+M31</f>
        <v>9198</v>
      </c>
      <c r="O31" s="77">
        <f>+G31+K31+N31</f>
        <v>348274.07</v>
      </c>
    </row>
    <row r="32" spans="1:15" x14ac:dyDescent="0.2">
      <c r="A32" s="96"/>
      <c r="C32" s="43"/>
      <c r="D32" s="43"/>
      <c r="E32" s="98"/>
      <c r="F32" s="79"/>
      <c r="G32" s="80"/>
      <c r="H32" s="43"/>
      <c r="I32" s="81"/>
      <c r="J32" s="95"/>
      <c r="K32" s="77"/>
      <c r="L32" s="77"/>
      <c r="M32" s="77"/>
      <c r="N32" s="77"/>
      <c r="O32" s="77"/>
    </row>
    <row r="33" spans="1:15" x14ac:dyDescent="0.2">
      <c r="A33" s="42" t="s">
        <v>348</v>
      </c>
      <c r="C33" s="43"/>
      <c r="D33" s="43"/>
      <c r="E33" s="98"/>
      <c r="F33" s="79"/>
      <c r="G33" s="80"/>
      <c r="H33" s="78"/>
      <c r="I33" s="81"/>
      <c r="J33" s="95"/>
      <c r="K33" s="77"/>
      <c r="L33" s="77"/>
      <c r="M33" s="77"/>
      <c r="N33" s="77"/>
      <c r="O33" s="77"/>
    </row>
    <row r="34" spans="1:15" s="42" customFormat="1" x14ac:dyDescent="0.2">
      <c r="A34" s="42" t="s">
        <v>353</v>
      </c>
      <c r="C34" s="43">
        <v>82</v>
      </c>
      <c r="D34" s="43">
        <v>318</v>
      </c>
      <c r="E34" s="94" t="s">
        <v>170</v>
      </c>
      <c r="F34" s="79">
        <f>ROUND(G34/C34,2)</f>
        <v>527.25</v>
      </c>
      <c r="G34" s="80">
        <v>43234.59</v>
      </c>
      <c r="H34" s="78">
        <v>639</v>
      </c>
      <c r="I34" s="81">
        <f>D34*H34</f>
        <v>203202</v>
      </c>
      <c r="J34" s="95">
        <v>5.7459999999999997E-2</v>
      </c>
      <c r="K34" s="77">
        <f>ROUND(I34*J34,0)</f>
        <v>11676</v>
      </c>
      <c r="L34" s="77">
        <f>+'22a&amp;b'!CR35</f>
        <v>2130</v>
      </c>
      <c r="M34" s="77">
        <v>0</v>
      </c>
      <c r="N34" s="77">
        <f>+L34+M34</f>
        <v>2130</v>
      </c>
      <c r="O34" s="77">
        <f>+G34+K34+N34</f>
        <v>57040.59</v>
      </c>
    </row>
    <row r="35" spans="1:15" s="42" customFormat="1" x14ac:dyDescent="0.2">
      <c r="A35" s="42" t="s">
        <v>446</v>
      </c>
      <c r="C35" s="43">
        <v>249</v>
      </c>
      <c r="D35" s="43">
        <v>556</v>
      </c>
      <c r="E35" s="94" t="s">
        <v>170</v>
      </c>
      <c r="F35" s="79">
        <f>ROUND(G35/C35,2)</f>
        <v>462.75</v>
      </c>
      <c r="G35" s="80">
        <v>115224.68</v>
      </c>
      <c r="H35" s="78">
        <v>388</v>
      </c>
      <c r="I35" s="81">
        <f>D35*H35</f>
        <v>215728</v>
      </c>
      <c r="J35" s="95">
        <v>5.7450000000000001E-2</v>
      </c>
      <c r="K35" s="77">
        <f>ROUND(I35*J35,0)</f>
        <v>12394</v>
      </c>
      <c r="L35" s="77">
        <f>+'22a&amp;b'!CR36</f>
        <v>2714</v>
      </c>
      <c r="M35" s="77">
        <v>0</v>
      </c>
      <c r="N35" s="77">
        <f>+L35+M35</f>
        <v>2714</v>
      </c>
      <c r="O35" s="77">
        <f>+G35+K35+N35</f>
        <v>130332.68</v>
      </c>
    </row>
    <row r="36" spans="1:15" x14ac:dyDescent="0.2">
      <c r="A36" s="96"/>
      <c r="C36" s="43"/>
      <c r="D36" s="43"/>
      <c r="E36" s="98"/>
      <c r="F36" s="79"/>
      <c r="G36" s="80"/>
      <c r="H36" s="78"/>
      <c r="I36" s="81"/>
      <c r="J36" s="95"/>
      <c r="K36" s="77"/>
      <c r="L36" s="77"/>
      <c r="M36" s="77"/>
      <c r="N36" s="77"/>
      <c r="O36" s="77"/>
    </row>
    <row r="37" spans="1:15" x14ac:dyDescent="0.2">
      <c r="A37" s="177" t="s">
        <v>350</v>
      </c>
      <c r="C37" s="43">
        <v>603</v>
      </c>
      <c r="D37" s="43">
        <v>550</v>
      </c>
      <c r="E37" s="94"/>
      <c r="F37" s="79">
        <f>ROUND(G37/C37,2)</f>
        <v>32.159999999999997</v>
      </c>
      <c r="G37" s="80">
        <v>19390.150000000001</v>
      </c>
      <c r="H37" s="78">
        <v>39</v>
      </c>
      <c r="I37" s="81">
        <f>D37*H37</f>
        <v>21450</v>
      </c>
      <c r="J37" s="95">
        <v>5.6919999999999998E-2</v>
      </c>
      <c r="K37" s="77">
        <f>ROUND(I37*J37,0)</f>
        <v>1221</v>
      </c>
      <c r="L37" s="77">
        <f>+'22a&amp;b'!CR38</f>
        <v>850</v>
      </c>
      <c r="M37" s="77">
        <v>0</v>
      </c>
      <c r="N37" s="77">
        <f>+L37+M37</f>
        <v>850</v>
      </c>
      <c r="O37" s="77">
        <f>+G37+K37+N37</f>
        <v>21461.15</v>
      </c>
    </row>
    <row r="38" spans="1:15" x14ac:dyDescent="0.2">
      <c r="A38" s="96"/>
      <c r="C38" s="43"/>
      <c r="D38" s="43"/>
      <c r="E38" s="98"/>
      <c r="F38" s="79"/>
      <c r="G38" s="80"/>
      <c r="H38" s="43"/>
      <c r="I38" s="81"/>
      <c r="J38" s="95"/>
      <c r="K38" s="77"/>
      <c r="L38" s="77"/>
      <c r="M38" s="77"/>
      <c r="N38" s="77"/>
      <c r="O38" s="77"/>
    </row>
    <row r="39" spans="1:15" x14ac:dyDescent="0.2">
      <c r="A39" s="96" t="s">
        <v>351</v>
      </c>
      <c r="C39" s="43">
        <v>1915</v>
      </c>
      <c r="D39" s="43">
        <v>6327</v>
      </c>
      <c r="E39" s="94" t="s">
        <v>170</v>
      </c>
      <c r="F39" s="79">
        <f>ROUND(G39/C39,2)</f>
        <v>23.84</v>
      </c>
      <c r="G39" s="80">
        <v>45656.24</v>
      </c>
      <c r="H39" s="78">
        <v>28</v>
      </c>
      <c r="I39" s="81">
        <f>D39*H39</f>
        <v>177156</v>
      </c>
      <c r="J39" s="95">
        <v>5.7860000000000002E-2</v>
      </c>
      <c r="K39" s="77">
        <f>ROUND(I39*J39,0)</f>
        <v>10250</v>
      </c>
      <c r="L39" s="77">
        <f>+'22a&amp;b'!CR40</f>
        <v>1666</v>
      </c>
      <c r="M39" s="77">
        <v>0</v>
      </c>
      <c r="N39" s="77">
        <f>+L39+M39</f>
        <v>1666</v>
      </c>
      <c r="O39" s="77">
        <f>+G39+K39+N39</f>
        <v>57572.24</v>
      </c>
    </row>
    <row r="40" spans="1:15" x14ac:dyDescent="0.2">
      <c r="A40" s="96"/>
      <c r="C40" s="43"/>
      <c r="D40" s="43"/>
      <c r="E40" s="94"/>
      <c r="F40" s="79"/>
      <c r="G40" s="80"/>
      <c r="H40" s="78"/>
      <c r="I40" s="81"/>
      <c r="J40" s="95"/>
      <c r="K40" s="77"/>
      <c r="L40" s="77"/>
      <c r="M40" s="77"/>
      <c r="N40" s="77"/>
      <c r="O40" s="77"/>
    </row>
    <row r="41" spans="1:15" x14ac:dyDescent="0.2">
      <c r="A41" s="96" t="s">
        <v>386</v>
      </c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</row>
    <row r="42" spans="1:15" x14ac:dyDescent="0.2">
      <c r="A42" s="42" t="s">
        <v>387</v>
      </c>
      <c r="C42" s="43">
        <v>160760</v>
      </c>
      <c r="D42" s="43">
        <v>159365</v>
      </c>
      <c r="E42" s="94" t="s">
        <v>170</v>
      </c>
      <c r="F42" s="79">
        <f>ROUND(G42/C42,2)</f>
        <v>2.2000000000000002</v>
      </c>
      <c r="G42" s="80">
        <v>353790.87</v>
      </c>
      <c r="H42" s="78">
        <v>12</v>
      </c>
      <c r="I42" s="81">
        <f>D42*H42</f>
        <v>1912380</v>
      </c>
      <c r="J42" s="95">
        <v>5.7669999999999999E-2</v>
      </c>
      <c r="K42" s="77">
        <f>ROUND(I42*J42,0)</f>
        <v>110287</v>
      </c>
      <c r="L42" s="77">
        <f>+'22a&amp;b'!CR43</f>
        <v>107709</v>
      </c>
      <c r="M42" s="77">
        <v>0</v>
      </c>
      <c r="N42" s="77">
        <f>+L42+M42</f>
        <v>107709</v>
      </c>
      <c r="O42" s="77">
        <f>+G42+K42+N42</f>
        <v>571786.87</v>
      </c>
    </row>
    <row r="43" spans="1:15" x14ac:dyDescent="0.2">
      <c r="A43" s="42" t="s">
        <v>458</v>
      </c>
      <c r="C43" s="43">
        <v>12519</v>
      </c>
      <c r="D43" s="43">
        <v>14522</v>
      </c>
      <c r="E43" s="94"/>
      <c r="F43" s="79">
        <f>ROUND(G43/C43,2)</f>
        <v>2.81</v>
      </c>
      <c r="G43" s="80">
        <v>35146.74</v>
      </c>
      <c r="H43" s="78">
        <v>17</v>
      </c>
      <c r="I43" s="81">
        <f>D43*H43</f>
        <v>246874</v>
      </c>
      <c r="J43" s="95">
        <v>5.611E-2</v>
      </c>
      <c r="K43" s="77">
        <f>ROUND(I43*J43,0)</f>
        <v>13852</v>
      </c>
      <c r="L43" s="77">
        <f>+'22a&amp;b'!CR44</f>
        <v>11267</v>
      </c>
      <c r="M43" s="77">
        <v>0</v>
      </c>
      <c r="N43" s="77">
        <f>+L43+M43</f>
        <v>11267</v>
      </c>
      <c r="O43" s="77">
        <f>+G43+K43+N43</f>
        <v>60265.74</v>
      </c>
    </row>
    <row r="44" spans="1:15" x14ac:dyDescent="0.2">
      <c r="A44" s="42" t="s">
        <v>398</v>
      </c>
      <c r="C44" s="43">
        <v>248</v>
      </c>
      <c r="D44" s="43">
        <v>203</v>
      </c>
      <c r="E44" s="94"/>
      <c r="F44" s="79">
        <v>0</v>
      </c>
      <c r="G44" s="80">
        <v>5183.74</v>
      </c>
      <c r="H44" s="78">
        <v>16</v>
      </c>
      <c r="I44" s="81">
        <f>D44*H44</f>
        <v>3248</v>
      </c>
      <c r="J44" s="95">
        <v>5.6750000000000002E-2</v>
      </c>
      <c r="K44" s="77">
        <f>ROUND(I44*J44,0)</f>
        <v>184</v>
      </c>
      <c r="L44" s="77">
        <v>0</v>
      </c>
      <c r="M44" s="77">
        <f>ROUND(G44*0.05,0)</f>
        <v>259</v>
      </c>
      <c r="N44" s="77">
        <f>+L44+M44</f>
        <v>259</v>
      </c>
      <c r="O44" s="77">
        <f>+G44+K44+N44</f>
        <v>5626.74</v>
      </c>
    </row>
    <row r="45" spans="1:15" x14ac:dyDescent="0.2">
      <c r="A45" s="96"/>
      <c r="C45" s="43"/>
      <c r="D45" s="43"/>
      <c r="E45" s="94"/>
      <c r="F45" s="79"/>
      <c r="G45" s="80"/>
      <c r="H45" s="78"/>
      <c r="I45" s="81"/>
      <c r="J45" s="95"/>
      <c r="K45" s="77"/>
      <c r="L45" s="77"/>
      <c r="M45" s="77"/>
      <c r="N45" s="77"/>
      <c r="O45" s="77"/>
    </row>
    <row r="46" spans="1:15" x14ac:dyDescent="0.2">
      <c r="A46" s="96" t="s">
        <v>388</v>
      </c>
      <c r="C46" s="43"/>
      <c r="D46" s="43"/>
      <c r="E46" s="94"/>
      <c r="F46" s="79"/>
      <c r="G46" s="80"/>
      <c r="H46" s="78"/>
      <c r="I46" s="81"/>
      <c r="J46" s="95"/>
      <c r="K46" s="77"/>
      <c r="L46" s="77"/>
      <c r="M46" s="77"/>
      <c r="N46" s="77"/>
      <c r="O46" s="77"/>
    </row>
    <row r="47" spans="1:15" x14ac:dyDescent="0.2">
      <c r="A47" s="42" t="s">
        <v>208</v>
      </c>
      <c r="C47" s="43">
        <v>0</v>
      </c>
      <c r="D47" s="43">
        <v>96</v>
      </c>
      <c r="E47" s="94" t="s">
        <v>170</v>
      </c>
      <c r="F47" s="79">
        <v>0</v>
      </c>
      <c r="G47" s="80">
        <v>0</v>
      </c>
      <c r="H47" s="78">
        <v>0</v>
      </c>
      <c r="I47" s="81">
        <f>D47*H47</f>
        <v>0</v>
      </c>
      <c r="J47" s="95">
        <v>0</v>
      </c>
      <c r="K47" s="77">
        <f>ROUND(I47*J47,0)</f>
        <v>0</v>
      </c>
      <c r="L47" s="77">
        <v>0</v>
      </c>
      <c r="M47" s="77">
        <f>ROUND(G47*0.05,0)</f>
        <v>0</v>
      </c>
      <c r="N47" s="77">
        <f>+L47+M47</f>
        <v>0</v>
      </c>
      <c r="O47" s="77">
        <f>+G47+K47+N47</f>
        <v>0</v>
      </c>
    </row>
    <row r="48" spans="1:15" x14ac:dyDescent="0.2">
      <c r="A48" s="42" t="s">
        <v>207</v>
      </c>
      <c r="C48" s="43">
        <v>52</v>
      </c>
      <c r="D48" s="43">
        <v>373</v>
      </c>
      <c r="E48" s="94"/>
      <c r="F48" s="79">
        <f>ROUND(G48/C48,2)</f>
        <v>309.02</v>
      </c>
      <c r="G48" s="80">
        <v>16069.07</v>
      </c>
      <c r="H48" s="78">
        <v>142</v>
      </c>
      <c r="I48" s="81">
        <f>D48*H48</f>
        <v>52966</v>
      </c>
      <c r="J48" s="95">
        <v>5.7439999999999998E-2</v>
      </c>
      <c r="K48" s="77">
        <f>ROUND(I48*J48,0)</f>
        <v>3042</v>
      </c>
      <c r="L48" s="77">
        <v>0</v>
      </c>
      <c r="M48" s="77">
        <f>ROUND(G48*0.05,0)</f>
        <v>803</v>
      </c>
      <c r="N48" s="77">
        <f>+L48+M48</f>
        <v>803</v>
      </c>
      <c r="O48" s="77">
        <f>+G48+K48+N48</f>
        <v>19914.07</v>
      </c>
    </row>
    <row r="49" spans="1:16" x14ac:dyDescent="0.2">
      <c r="A49" s="42"/>
      <c r="C49" s="43"/>
      <c r="D49" s="43"/>
      <c r="E49" s="94"/>
      <c r="F49" s="79"/>
      <c r="G49" s="80"/>
      <c r="H49" s="78"/>
      <c r="I49" s="81"/>
      <c r="J49" s="95"/>
      <c r="K49" s="77"/>
      <c r="L49" s="77"/>
      <c r="M49" s="77"/>
      <c r="N49" s="77"/>
      <c r="O49" s="77"/>
    </row>
    <row r="50" spans="1:16" x14ac:dyDescent="0.2">
      <c r="A50" s="42" t="s">
        <v>441</v>
      </c>
      <c r="C50" s="43"/>
      <c r="D50" s="43"/>
      <c r="E50" s="94"/>
      <c r="F50" s="79"/>
      <c r="G50" s="80"/>
      <c r="H50" s="78"/>
      <c r="I50" s="81"/>
      <c r="J50" s="95"/>
      <c r="K50" s="77"/>
      <c r="L50" s="77"/>
      <c r="M50" s="77"/>
      <c r="N50" s="77"/>
      <c r="O50" s="77"/>
    </row>
    <row r="51" spans="1:16" x14ac:dyDescent="0.2">
      <c r="A51" s="42" t="s">
        <v>208</v>
      </c>
      <c r="C51" s="43">
        <v>0</v>
      </c>
      <c r="D51" s="43">
        <v>0</v>
      </c>
      <c r="E51" s="94"/>
      <c r="F51" s="79">
        <v>0</v>
      </c>
      <c r="G51" s="80">
        <v>0</v>
      </c>
      <c r="H51" s="78">
        <v>0</v>
      </c>
      <c r="I51" s="81">
        <f>D51*H51</f>
        <v>0</v>
      </c>
      <c r="J51" s="95">
        <v>0</v>
      </c>
      <c r="K51" s="77">
        <f>ROUND(I51*J51,0)</f>
        <v>0</v>
      </c>
      <c r="L51" s="77">
        <f>+'22a&amp;b'!CR60</f>
        <v>0</v>
      </c>
      <c r="M51" s="77">
        <v>0</v>
      </c>
      <c r="N51" s="77">
        <f>+L51+M51</f>
        <v>0</v>
      </c>
      <c r="O51" s="77">
        <f>+G51+K51+N51</f>
        <v>0</v>
      </c>
    </row>
    <row r="52" spans="1:16" x14ac:dyDescent="0.2">
      <c r="A52" s="42" t="s">
        <v>397</v>
      </c>
      <c r="C52" s="6">
        <v>0</v>
      </c>
      <c r="D52" s="6">
        <v>0</v>
      </c>
      <c r="E52" s="8"/>
      <c r="F52" s="19">
        <v>0</v>
      </c>
      <c r="G52" s="17">
        <v>0</v>
      </c>
      <c r="H52" s="38">
        <v>0</v>
      </c>
      <c r="I52" s="11">
        <f>D52*H52</f>
        <v>0</v>
      </c>
      <c r="J52" s="18">
        <v>0</v>
      </c>
      <c r="K52" s="10">
        <f>ROUND(I52*J52,0)</f>
        <v>0</v>
      </c>
      <c r="L52" s="10">
        <f>+'22a&amp;b'!CR61</f>
        <v>0</v>
      </c>
      <c r="M52" s="10">
        <v>0</v>
      </c>
      <c r="N52" s="10">
        <f>+L52+M52</f>
        <v>0</v>
      </c>
      <c r="O52" s="10">
        <f>+G52+K52+N52</f>
        <v>0</v>
      </c>
    </row>
    <row r="53" spans="1:16" x14ac:dyDescent="0.2">
      <c r="A53" s="42"/>
      <c r="C53" s="6" t="s">
        <v>201</v>
      </c>
      <c r="D53" s="6" t="s">
        <v>201</v>
      </c>
      <c r="E53" s="74"/>
      <c r="F53" s="6"/>
      <c r="G53" s="6" t="s">
        <v>201</v>
      </c>
      <c r="H53" s="3"/>
      <c r="I53" s="6" t="s">
        <v>201</v>
      </c>
      <c r="J53" s="18"/>
      <c r="K53" s="6" t="s">
        <v>201</v>
      </c>
      <c r="L53" s="6" t="s">
        <v>201</v>
      </c>
      <c r="M53" s="6" t="s">
        <v>201</v>
      </c>
      <c r="N53" s="6" t="s">
        <v>201</v>
      </c>
      <c r="O53" s="6" t="s">
        <v>201</v>
      </c>
      <c r="P53" s="6"/>
    </row>
    <row r="54" spans="1:16" x14ac:dyDescent="0.2">
      <c r="A54" t="s">
        <v>39</v>
      </c>
      <c r="C54" s="6">
        <f>SUM(C12:C52)</f>
        <v>177221</v>
      </c>
      <c r="D54" s="6">
        <f>SUM(D12:D52)</f>
        <v>187420</v>
      </c>
      <c r="E54" s="74"/>
      <c r="F54" s="3"/>
      <c r="G54" s="17">
        <f>SUM(G12:G52)</f>
        <v>1070994.22</v>
      </c>
      <c r="H54" s="6"/>
      <c r="I54" s="6">
        <f>SUM(I12:I52)</f>
        <v>5576281</v>
      </c>
      <c r="J54" s="18"/>
      <c r="K54" s="17">
        <f>SUM(K12:K52)</f>
        <v>320552</v>
      </c>
      <c r="L54" s="10">
        <f>SUM(L11:L52)</f>
        <v>148473</v>
      </c>
      <c r="M54" s="10">
        <f>SUM(M12:M52)</f>
        <v>1062</v>
      </c>
      <c r="N54" s="10">
        <f>SUM(N12:N52)</f>
        <v>149535</v>
      </c>
      <c r="O54" s="10">
        <f>SUM(O12:O52)</f>
        <v>1541081.22</v>
      </c>
    </row>
    <row r="55" spans="1:16" x14ac:dyDescent="0.2">
      <c r="C55" s="3" t="s">
        <v>94</v>
      </c>
      <c r="D55" s="3" t="s">
        <v>94</v>
      </c>
      <c r="E55" s="74"/>
      <c r="F55" s="3"/>
      <c r="G55" s="3" t="s">
        <v>94</v>
      </c>
      <c r="H55" s="3"/>
      <c r="I55" s="3" t="s">
        <v>94</v>
      </c>
      <c r="J55" s="3"/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</row>
    <row r="56" spans="1:16" x14ac:dyDescent="0.2">
      <c r="A56" s="16" t="str">
        <f>A1</f>
        <v>Year 2014</v>
      </c>
      <c r="B56" s="14"/>
    </row>
    <row r="58" spans="1:16" x14ac:dyDescent="0.2">
      <c r="A58" s="28" t="s">
        <v>0</v>
      </c>
      <c r="I58" s="15"/>
      <c r="N58" s="37" t="s">
        <v>140</v>
      </c>
    </row>
    <row r="59" spans="1:16" ht="25.5" x14ac:dyDescent="0.2">
      <c r="A59" s="36" t="s">
        <v>128</v>
      </c>
      <c r="N59" s="29" t="s">
        <v>464</v>
      </c>
      <c r="O59" s="1">
        <f>'Y1'!M7</f>
        <v>24</v>
      </c>
    </row>
    <row r="61" spans="1:16" ht="25.5" x14ac:dyDescent="0.2">
      <c r="A61" s="105" t="str">
        <f>A6</f>
        <v>YEAR 19 (1st HALF)</v>
      </c>
      <c r="C61" s="12" t="s">
        <v>57</v>
      </c>
      <c r="D61" s="12" t="s">
        <v>58</v>
      </c>
      <c r="E61" s="8"/>
      <c r="F61" s="54" t="s">
        <v>380</v>
      </c>
      <c r="G61" s="55" t="s">
        <v>521</v>
      </c>
      <c r="H61" s="12" t="s">
        <v>61</v>
      </c>
      <c r="I61" s="12" t="s">
        <v>4</v>
      </c>
      <c r="J61" s="8" t="s">
        <v>200</v>
      </c>
      <c r="K61" s="8" t="s">
        <v>199</v>
      </c>
      <c r="L61" s="12" t="s">
        <v>63</v>
      </c>
      <c r="M61" s="12" t="s">
        <v>64</v>
      </c>
      <c r="N61" s="12"/>
      <c r="O61" s="55" t="s">
        <v>521</v>
      </c>
    </row>
    <row r="62" spans="1:16" ht="25.5" x14ac:dyDescent="0.2">
      <c r="C62" s="12" t="s">
        <v>66</v>
      </c>
      <c r="D62" s="12" t="s">
        <v>66</v>
      </c>
      <c r="E62" s="8"/>
      <c r="F62" s="54" t="s">
        <v>67</v>
      </c>
      <c r="G62" s="12" t="s">
        <v>27</v>
      </c>
      <c r="H62" s="12" t="s">
        <v>248</v>
      </c>
      <c r="I62" s="8" t="s">
        <v>69</v>
      </c>
      <c r="J62" s="12" t="s">
        <v>70</v>
      </c>
      <c r="K62" s="12" t="s">
        <v>71</v>
      </c>
      <c r="L62" s="12" t="s">
        <v>72</v>
      </c>
      <c r="M62" s="12" t="s">
        <v>72</v>
      </c>
      <c r="N62" s="12" t="s">
        <v>73</v>
      </c>
      <c r="O62" s="12" t="s">
        <v>74</v>
      </c>
    </row>
    <row r="63" spans="1:16" ht="25.5" x14ac:dyDescent="0.2">
      <c r="A63" t="s">
        <v>28</v>
      </c>
      <c r="C63" s="12" t="s">
        <v>75</v>
      </c>
      <c r="D63" s="8" t="s">
        <v>359</v>
      </c>
      <c r="E63" s="8"/>
      <c r="F63" s="54" t="s">
        <v>76</v>
      </c>
      <c r="G63" s="12" t="s">
        <v>77</v>
      </c>
      <c r="H63" s="8" t="s">
        <v>247</v>
      </c>
      <c r="I63" s="52" t="s">
        <v>364</v>
      </c>
      <c r="J63" s="12" t="s">
        <v>80</v>
      </c>
      <c r="K63" s="12" t="s">
        <v>81</v>
      </c>
      <c r="L63" s="61" t="str">
        <f>+'Y1'!J13</f>
        <v>(EX. C,                            PG.23C)</v>
      </c>
      <c r="M63" s="8" t="s">
        <v>217</v>
      </c>
      <c r="N63" s="12" t="s">
        <v>72</v>
      </c>
      <c r="O63" s="12" t="s">
        <v>83</v>
      </c>
    </row>
    <row r="64" spans="1:16" x14ac:dyDescent="0.2">
      <c r="C64" s="7">
        <v>-1</v>
      </c>
      <c r="D64" s="7">
        <v>-2</v>
      </c>
      <c r="E64" s="8"/>
      <c r="F64" s="7">
        <v>-3</v>
      </c>
      <c r="G64" s="7">
        <v>-4</v>
      </c>
      <c r="H64" s="7">
        <v>-5</v>
      </c>
      <c r="I64" s="7">
        <v>-6</v>
      </c>
      <c r="J64" s="7">
        <v>-7</v>
      </c>
      <c r="K64" s="7">
        <v>-8</v>
      </c>
      <c r="L64" s="7">
        <v>-9</v>
      </c>
      <c r="M64" s="7">
        <v>-10</v>
      </c>
      <c r="N64" s="7">
        <v>-11</v>
      </c>
      <c r="O64" s="7">
        <v>-12</v>
      </c>
    </row>
    <row r="65" spans="1:15" x14ac:dyDescent="0.2">
      <c r="C65" s="12"/>
      <c r="D65" s="12"/>
      <c r="E65" s="8"/>
      <c r="F65" s="12" t="s">
        <v>372</v>
      </c>
      <c r="G65" s="12"/>
      <c r="H65" s="12"/>
      <c r="I65" s="12" t="s">
        <v>85</v>
      </c>
      <c r="J65" s="12"/>
      <c r="K65" s="12" t="s">
        <v>86</v>
      </c>
      <c r="L65" s="12"/>
      <c r="M65" s="12" t="s">
        <v>87</v>
      </c>
      <c r="N65" s="12" t="s">
        <v>88</v>
      </c>
      <c r="O65" s="12" t="s">
        <v>89</v>
      </c>
    </row>
    <row r="66" spans="1:15" x14ac:dyDescent="0.2">
      <c r="A66" t="s">
        <v>40</v>
      </c>
      <c r="C66" s="3"/>
      <c r="D66" s="3"/>
      <c r="E66" s="74"/>
      <c r="F66" s="3"/>
      <c r="G66" s="3"/>
      <c r="H66" s="6"/>
      <c r="I66" s="3"/>
      <c r="J66" s="18"/>
      <c r="K66" s="3"/>
      <c r="L66" s="3"/>
      <c r="M66" s="3"/>
      <c r="N66" s="3"/>
      <c r="O66" s="3"/>
    </row>
    <row r="67" spans="1:15" x14ac:dyDescent="0.2">
      <c r="A67" t="s">
        <v>41</v>
      </c>
      <c r="C67" s="97">
        <v>0</v>
      </c>
      <c r="D67" s="43">
        <v>0</v>
      </c>
      <c r="E67" s="98"/>
      <c r="F67" s="79">
        <v>0</v>
      </c>
      <c r="G67" s="77">
        <v>0</v>
      </c>
      <c r="H67" s="43">
        <v>0</v>
      </c>
      <c r="I67" s="81">
        <f>D67*H67</f>
        <v>0</v>
      </c>
      <c r="J67" s="95" t="s">
        <v>38</v>
      </c>
      <c r="K67" s="77">
        <v>0</v>
      </c>
      <c r="L67" s="77">
        <f>+'22a&amp;b'!CR78</f>
        <v>0</v>
      </c>
      <c r="M67" s="77">
        <f>G67*0.05</f>
        <v>0</v>
      </c>
      <c r="N67" s="77">
        <f>+L67+M67</f>
        <v>0</v>
      </c>
      <c r="O67" s="77">
        <f>+G67+K67+N67</f>
        <v>0</v>
      </c>
    </row>
    <row r="68" spans="1:15" x14ac:dyDescent="0.2">
      <c r="A68" t="s">
        <v>42</v>
      </c>
      <c r="C68" s="97">
        <v>0</v>
      </c>
      <c r="D68" s="43">
        <v>0</v>
      </c>
      <c r="E68" s="98"/>
      <c r="F68" s="79">
        <v>0</v>
      </c>
      <c r="G68" s="77">
        <v>0</v>
      </c>
      <c r="H68" s="43">
        <v>0</v>
      </c>
      <c r="I68" s="81">
        <f>D68*H68</f>
        <v>0</v>
      </c>
      <c r="J68" s="95" t="s">
        <v>38</v>
      </c>
      <c r="K68" s="77">
        <v>0</v>
      </c>
      <c r="L68" s="77">
        <f>+'22a&amp;b'!CR79</f>
        <v>0</v>
      </c>
      <c r="M68" s="77">
        <f>G68*0.05</f>
        <v>0</v>
      </c>
      <c r="N68" s="77">
        <f>+L68+M68</f>
        <v>0</v>
      </c>
      <c r="O68" s="77">
        <f>+G68+K68+N68</f>
        <v>0</v>
      </c>
    </row>
    <row r="69" spans="1:15" x14ac:dyDescent="0.2">
      <c r="A69" t="s">
        <v>43</v>
      </c>
      <c r="C69" s="97">
        <v>0</v>
      </c>
      <c r="D69" s="43">
        <v>0</v>
      </c>
      <c r="E69" s="98"/>
      <c r="F69" s="79">
        <v>0</v>
      </c>
      <c r="G69" s="77">
        <v>0</v>
      </c>
      <c r="H69" s="43">
        <v>0</v>
      </c>
      <c r="I69" s="81">
        <f>D69*H69</f>
        <v>0</v>
      </c>
      <c r="J69" s="95">
        <v>0</v>
      </c>
      <c r="K69" s="77">
        <f>ROUND(I69*J69,0)</f>
        <v>0</v>
      </c>
      <c r="L69" s="77">
        <f>+'22a&amp;b'!CR80</f>
        <v>0</v>
      </c>
      <c r="M69" s="77">
        <v>0</v>
      </c>
      <c r="N69" s="77">
        <f>+L69+M69</f>
        <v>0</v>
      </c>
      <c r="O69" s="77">
        <f>+G69+K69+N69</f>
        <v>0</v>
      </c>
    </row>
    <row r="70" spans="1:15" x14ac:dyDescent="0.2">
      <c r="A70" t="s">
        <v>44</v>
      </c>
      <c r="C70" s="97">
        <v>0</v>
      </c>
      <c r="D70" s="43">
        <v>0</v>
      </c>
      <c r="E70" s="98"/>
      <c r="F70" s="79">
        <v>0</v>
      </c>
      <c r="G70" s="77">
        <v>0</v>
      </c>
      <c r="H70" s="43">
        <v>0</v>
      </c>
      <c r="I70" s="81">
        <f>D70*H70</f>
        <v>0</v>
      </c>
      <c r="J70" s="95">
        <v>0</v>
      </c>
      <c r="K70" s="77">
        <f>ROUND(I70*J70,0)</f>
        <v>0</v>
      </c>
      <c r="L70" s="77">
        <f>+'22a&amp;b'!CR81</f>
        <v>0</v>
      </c>
      <c r="M70" s="77">
        <v>0</v>
      </c>
      <c r="N70" s="77">
        <f>+L70+M70</f>
        <v>0</v>
      </c>
      <c r="O70" s="77">
        <f>+G70+K70+N70</f>
        <v>0</v>
      </c>
    </row>
    <row r="71" spans="1:15" x14ac:dyDescent="0.2">
      <c r="C71" s="97"/>
      <c r="D71" s="43"/>
      <c r="E71" s="98"/>
      <c r="F71" s="79"/>
      <c r="G71" s="77"/>
      <c r="H71" s="43"/>
      <c r="I71" s="81"/>
      <c r="J71" s="95"/>
      <c r="K71" s="77"/>
      <c r="L71" s="77"/>
      <c r="M71" s="77"/>
      <c r="N71" s="77"/>
      <c r="O71" s="77"/>
    </row>
    <row r="72" spans="1:15" x14ac:dyDescent="0.2">
      <c r="A72" t="s">
        <v>389</v>
      </c>
      <c r="C72" s="97"/>
      <c r="D72" s="43"/>
      <c r="E72" s="98"/>
      <c r="F72" s="79"/>
      <c r="G72" s="77"/>
      <c r="H72" s="43"/>
      <c r="I72" s="81"/>
      <c r="J72" s="95"/>
      <c r="K72" s="77"/>
      <c r="L72" s="77"/>
      <c r="M72" s="77"/>
      <c r="N72" s="77"/>
      <c r="O72" s="77"/>
    </row>
    <row r="73" spans="1:15" x14ac:dyDescent="0.2">
      <c r="A73" t="s">
        <v>390</v>
      </c>
      <c r="C73" s="97">
        <v>0</v>
      </c>
      <c r="D73" s="43">
        <v>1</v>
      </c>
      <c r="E73" s="98"/>
      <c r="F73" s="79">
        <v>0</v>
      </c>
      <c r="G73" s="77">
        <v>3733.01</v>
      </c>
      <c r="H73" s="43">
        <v>67</v>
      </c>
      <c r="I73" s="81">
        <f>D73*H73</f>
        <v>67</v>
      </c>
      <c r="J73" s="95">
        <v>7.7619999999999995E-2</v>
      </c>
      <c r="K73" s="77">
        <f>ROUND(I73*J73,0)</f>
        <v>5</v>
      </c>
      <c r="L73" s="77">
        <v>0</v>
      </c>
      <c r="M73" s="77">
        <f>ROUND(G73*0.05,0)</f>
        <v>187</v>
      </c>
      <c r="N73" s="77">
        <f>+L73+M73</f>
        <v>187</v>
      </c>
      <c r="O73" s="77">
        <f>+G73+K73+N73</f>
        <v>3925.01</v>
      </c>
    </row>
    <row r="74" spans="1:15" x14ac:dyDescent="0.2">
      <c r="A74" t="s">
        <v>349</v>
      </c>
      <c r="C74" s="97">
        <v>7</v>
      </c>
      <c r="D74" s="43">
        <v>12</v>
      </c>
      <c r="E74" s="98"/>
      <c r="F74" s="79">
        <f>ROUND(G74/C74,2)</f>
        <v>1409.12</v>
      </c>
      <c r="G74" s="77">
        <v>9863.86</v>
      </c>
      <c r="H74" s="43">
        <v>347</v>
      </c>
      <c r="I74" s="81">
        <f>D74*H74</f>
        <v>4164</v>
      </c>
      <c r="J74" s="95">
        <v>7.7579999999999996E-2</v>
      </c>
      <c r="K74" s="77">
        <f>ROUND(I74*J74,0)</f>
        <v>323</v>
      </c>
      <c r="L74" s="77">
        <v>0</v>
      </c>
      <c r="M74" s="77">
        <f>ROUND(G74*0.05,0)</f>
        <v>493</v>
      </c>
      <c r="N74" s="77">
        <f>+L74+M74</f>
        <v>493</v>
      </c>
      <c r="O74" s="77">
        <f>+G74+K74+N74</f>
        <v>10679.86</v>
      </c>
    </row>
    <row r="75" spans="1:15" x14ac:dyDescent="0.2">
      <c r="C75" s="97"/>
      <c r="D75" s="43"/>
      <c r="E75" s="98"/>
      <c r="F75" s="79"/>
      <c r="G75" s="77"/>
      <c r="H75" s="43"/>
      <c r="I75" s="81"/>
      <c r="J75" s="95"/>
      <c r="K75" s="77"/>
      <c r="L75" s="77"/>
      <c r="M75" s="77"/>
      <c r="N75" s="77"/>
      <c r="O75" s="77"/>
    </row>
    <row r="76" spans="1:15" x14ac:dyDescent="0.2">
      <c r="A76" t="s">
        <v>388</v>
      </c>
      <c r="C76" s="97"/>
      <c r="D76" s="43"/>
      <c r="E76" s="98"/>
      <c r="F76" s="79"/>
      <c r="G76" s="77"/>
      <c r="H76" s="43"/>
      <c r="I76" s="81"/>
      <c r="J76" s="95"/>
      <c r="K76" s="77"/>
      <c r="L76" s="77"/>
      <c r="M76" s="77"/>
      <c r="N76" s="77"/>
      <c r="O76" s="77"/>
    </row>
    <row r="77" spans="1:15" x14ac:dyDescent="0.2">
      <c r="A77" t="s">
        <v>208</v>
      </c>
      <c r="C77" s="97">
        <v>0</v>
      </c>
      <c r="D77" s="43">
        <v>13</v>
      </c>
      <c r="E77" s="94" t="s">
        <v>170</v>
      </c>
      <c r="F77" s="79">
        <v>0</v>
      </c>
      <c r="G77" s="77">
        <v>0</v>
      </c>
      <c r="H77" s="43">
        <v>0</v>
      </c>
      <c r="I77" s="81">
        <f>D77*H77</f>
        <v>0</v>
      </c>
      <c r="J77" s="95">
        <v>0</v>
      </c>
      <c r="K77" s="77">
        <f>ROUND(I77*J77,0)</f>
        <v>0</v>
      </c>
      <c r="L77" s="77">
        <v>0</v>
      </c>
      <c r="M77" s="77">
        <f>ROUND(G77*0.05,0)</f>
        <v>0</v>
      </c>
      <c r="N77" s="77">
        <f>+L77+M77</f>
        <v>0</v>
      </c>
      <c r="O77" s="77">
        <f>+G77+K77+N77</f>
        <v>0</v>
      </c>
    </row>
    <row r="78" spans="1:15" x14ac:dyDescent="0.2">
      <c r="A78" t="s">
        <v>207</v>
      </c>
      <c r="C78" s="97">
        <v>3</v>
      </c>
      <c r="D78" s="43">
        <v>45</v>
      </c>
      <c r="E78" s="98"/>
      <c r="F78" s="79">
        <f>ROUND(G78/C78,2)</f>
        <v>3083.14</v>
      </c>
      <c r="G78" s="77">
        <v>9249.41</v>
      </c>
      <c r="H78" s="43">
        <v>334</v>
      </c>
      <c r="I78" s="81">
        <f>D78*H78</f>
        <v>15030</v>
      </c>
      <c r="J78" s="95">
        <v>7.7600000000000002E-2</v>
      </c>
      <c r="K78" s="77">
        <f>ROUND(I78*J78,0)</f>
        <v>1166</v>
      </c>
      <c r="L78" s="77">
        <v>0</v>
      </c>
      <c r="M78" s="77">
        <f>ROUND(G78*0.05,0)</f>
        <v>462</v>
      </c>
      <c r="N78" s="77">
        <f>+L78+M78</f>
        <v>462</v>
      </c>
      <c r="O78" s="77">
        <f>+G78+K78+N78</f>
        <v>10877.41</v>
      </c>
    </row>
    <row r="79" spans="1:15" x14ac:dyDescent="0.2">
      <c r="C79" s="97"/>
      <c r="D79" s="43"/>
      <c r="E79" s="98"/>
      <c r="F79" s="79"/>
      <c r="G79" s="77"/>
      <c r="H79" s="43"/>
      <c r="I79" s="81"/>
      <c r="J79" s="95"/>
      <c r="K79" s="77"/>
      <c r="L79" s="77"/>
      <c r="M79" s="77"/>
      <c r="N79" s="77"/>
      <c r="O79" s="77"/>
    </row>
    <row r="80" spans="1:15" x14ac:dyDescent="0.2">
      <c r="A80" t="s">
        <v>396</v>
      </c>
      <c r="C80" s="43">
        <v>37</v>
      </c>
      <c r="D80" s="43">
        <v>56</v>
      </c>
      <c r="E80" s="94" t="s">
        <v>170</v>
      </c>
      <c r="F80" s="79">
        <f>ROUND(G80/C80,2)</f>
        <v>10440.16</v>
      </c>
      <c r="G80" s="80">
        <v>386285.75</v>
      </c>
      <c r="H80" s="78">
        <v>9407</v>
      </c>
      <c r="I80" s="81">
        <f>D80*H80</f>
        <v>526792</v>
      </c>
      <c r="J80" s="95">
        <v>7.6100000000000001E-2</v>
      </c>
      <c r="K80" s="77">
        <f>ROUND(I80*J80,0)</f>
        <v>40089</v>
      </c>
      <c r="L80" s="77">
        <f>+'22a&amp;b'!CR91</f>
        <v>27364</v>
      </c>
      <c r="M80" s="77">
        <v>0</v>
      </c>
      <c r="N80" s="77">
        <f>+L80+M80</f>
        <v>27364</v>
      </c>
      <c r="O80" s="77">
        <f>+G80+K80+N80</f>
        <v>453738.75</v>
      </c>
    </row>
    <row r="81" spans="1:15" x14ac:dyDescent="0.2">
      <c r="C81" s="43"/>
      <c r="D81" s="43"/>
      <c r="E81" s="94"/>
      <c r="F81" s="79"/>
      <c r="G81" s="80"/>
      <c r="H81" s="78"/>
      <c r="I81" s="81"/>
      <c r="J81" s="95"/>
      <c r="K81" s="77"/>
      <c r="L81" s="77"/>
      <c r="M81" s="77"/>
      <c r="N81" s="77"/>
      <c r="O81" s="77"/>
    </row>
    <row r="82" spans="1:15" x14ac:dyDescent="0.2">
      <c r="A82" t="s">
        <v>442</v>
      </c>
      <c r="C82" s="97"/>
      <c r="D82" s="43"/>
      <c r="E82" s="98"/>
      <c r="F82" s="79"/>
      <c r="G82" s="77"/>
      <c r="H82" s="43"/>
      <c r="I82" s="81"/>
      <c r="J82" s="95"/>
      <c r="K82" s="77"/>
      <c r="L82" s="77"/>
      <c r="M82" s="77"/>
      <c r="N82" s="77"/>
      <c r="O82" s="77"/>
    </row>
    <row r="83" spans="1:15" x14ac:dyDescent="0.2">
      <c r="A83" t="s">
        <v>208</v>
      </c>
      <c r="C83" s="43">
        <v>0</v>
      </c>
      <c r="D83" s="43">
        <v>0</v>
      </c>
      <c r="E83" s="94"/>
      <c r="F83" s="79">
        <v>0</v>
      </c>
      <c r="G83" s="80">
        <v>0</v>
      </c>
      <c r="H83" s="78">
        <v>0</v>
      </c>
      <c r="I83" s="81">
        <v>0</v>
      </c>
      <c r="J83" s="95">
        <v>0</v>
      </c>
      <c r="K83" s="77">
        <v>0</v>
      </c>
      <c r="L83" s="77">
        <v>0</v>
      </c>
      <c r="M83" s="77">
        <v>0</v>
      </c>
      <c r="N83" s="77">
        <v>0</v>
      </c>
      <c r="O83" s="77">
        <f>+G83+K83+N83</f>
        <v>0</v>
      </c>
    </row>
    <row r="84" spans="1:15" x14ac:dyDescent="0.2">
      <c r="A84" t="s">
        <v>397</v>
      </c>
      <c r="C84" s="43">
        <v>0</v>
      </c>
      <c r="D84" s="43">
        <v>0</v>
      </c>
      <c r="E84" s="94"/>
      <c r="F84" s="79">
        <v>0</v>
      </c>
      <c r="G84" s="80">
        <v>0</v>
      </c>
      <c r="H84" s="78">
        <v>0</v>
      </c>
      <c r="I84" s="81">
        <v>0</v>
      </c>
      <c r="J84" s="95">
        <v>0</v>
      </c>
      <c r="K84" s="77">
        <v>0</v>
      </c>
      <c r="L84" s="77">
        <v>0</v>
      </c>
      <c r="M84" s="77">
        <v>0</v>
      </c>
      <c r="N84" s="77">
        <v>0</v>
      </c>
      <c r="O84" s="77">
        <f>+G84+K84+N84</f>
        <v>0</v>
      </c>
    </row>
    <row r="85" spans="1:15" x14ac:dyDescent="0.2">
      <c r="C85" s="6" t="s">
        <v>201</v>
      </c>
      <c r="D85" s="6" t="s">
        <v>201</v>
      </c>
      <c r="E85" s="74"/>
      <c r="F85" s="6"/>
      <c r="G85" s="6" t="s">
        <v>201</v>
      </c>
      <c r="H85" s="6"/>
      <c r="I85" s="6" t="s">
        <v>201</v>
      </c>
      <c r="J85" s="6"/>
      <c r="K85" s="6" t="s">
        <v>201</v>
      </c>
      <c r="L85" s="6" t="s">
        <v>201</v>
      </c>
      <c r="M85" s="6" t="s">
        <v>201</v>
      </c>
      <c r="N85" s="6" t="s">
        <v>201</v>
      </c>
      <c r="O85" s="6" t="s">
        <v>201</v>
      </c>
    </row>
    <row r="86" spans="1:15" x14ac:dyDescent="0.2">
      <c r="A86" t="s">
        <v>45</v>
      </c>
      <c r="C86" s="84">
        <f>SUM(C67:C84)</f>
        <v>47</v>
      </c>
      <c r="D86" s="84">
        <f>SUM(D67:D84)</f>
        <v>127</v>
      </c>
      <c r="E86" s="74"/>
      <c r="F86" s="3"/>
      <c r="G86" s="10">
        <f>SUM(G67:G84)</f>
        <v>409132.03</v>
      </c>
      <c r="H86" s="6"/>
      <c r="I86" s="84">
        <f>SUM(I67:I84)</f>
        <v>546053</v>
      </c>
      <c r="J86" s="18"/>
      <c r="K86" s="10">
        <f>SUM(K67:K84)</f>
        <v>41583</v>
      </c>
      <c r="L86" s="10">
        <f>SUM(L67:L84)</f>
        <v>27364</v>
      </c>
      <c r="M86" s="10">
        <f>SUM(M67:M84)</f>
        <v>1142</v>
      </c>
      <c r="N86" s="10">
        <f>SUM(N67:N84)</f>
        <v>28506</v>
      </c>
      <c r="O86" s="10">
        <f>SUM(O67:O84)</f>
        <v>479221.03</v>
      </c>
    </row>
    <row r="87" spans="1:15" x14ac:dyDescent="0.2">
      <c r="C87" s="3" t="s">
        <v>94</v>
      </c>
      <c r="D87" s="3" t="s">
        <v>94</v>
      </c>
      <c r="E87" s="74"/>
      <c r="F87" s="3"/>
      <c r="G87" s="3" t="s">
        <v>94</v>
      </c>
      <c r="H87" s="3"/>
      <c r="I87" s="3" t="s">
        <v>94</v>
      </c>
      <c r="J87" s="3"/>
      <c r="K87" s="3" t="s">
        <v>94</v>
      </c>
      <c r="L87" s="3" t="s">
        <v>94</v>
      </c>
      <c r="M87" s="3" t="s">
        <v>94</v>
      </c>
      <c r="N87" s="3" t="s">
        <v>94</v>
      </c>
      <c r="O87" s="3" t="s">
        <v>94</v>
      </c>
    </row>
    <row r="88" spans="1:15" x14ac:dyDescent="0.2">
      <c r="C88" s="3"/>
      <c r="D88" s="3"/>
      <c r="E88" s="74"/>
      <c r="F88" s="3"/>
      <c r="G88" s="3"/>
      <c r="H88" s="6"/>
      <c r="I88" s="3"/>
      <c r="J88" s="18"/>
      <c r="K88" s="3"/>
      <c r="L88" s="3"/>
      <c r="M88" s="3"/>
      <c r="N88" s="3"/>
      <c r="O88" s="3"/>
    </row>
    <row r="89" spans="1:15" x14ac:dyDescent="0.2">
      <c r="C89" s="3"/>
      <c r="D89" s="3"/>
      <c r="E89" s="74"/>
      <c r="F89" s="3"/>
      <c r="G89" s="3"/>
      <c r="H89" s="6"/>
      <c r="I89" s="3"/>
      <c r="J89" s="18"/>
      <c r="K89" s="3"/>
      <c r="L89" s="3"/>
      <c r="M89" s="3"/>
      <c r="N89" s="3"/>
      <c r="O89" s="3"/>
    </row>
    <row r="90" spans="1:15" x14ac:dyDescent="0.2">
      <c r="A90" t="s">
        <v>46</v>
      </c>
      <c r="C90" s="3"/>
      <c r="D90" s="3"/>
      <c r="E90" s="74"/>
      <c r="F90" s="3"/>
      <c r="G90" s="3"/>
      <c r="H90" s="6"/>
      <c r="I90" s="3"/>
      <c r="J90" s="18"/>
      <c r="K90" s="3"/>
      <c r="L90" s="3"/>
      <c r="M90" s="3"/>
      <c r="N90" s="3"/>
      <c r="O90" s="3"/>
    </row>
    <row r="91" spans="1:15" x14ac:dyDescent="0.2">
      <c r="A91" s="1" t="s">
        <v>258</v>
      </c>
      <c r="C91" s="3"/>
      <c r="D91" s="3"/>
      <c r="E91" s="74"/>
      <c r="F91" s="3"/>
      <c r="G91" s="3"/>
      <c r="H91" s="6"/>
      <c r="I91" s="3"/>
      <c r="J91" s="18"/>
      <c r="K91" s="3"/>
      <c r="L91" s="3"/>
      <c r="M91" s="3"/>
      <c r="N91" s="3"/>
      <c r="O91" s="3"/>
    </row>
    <row r="92" spans="1:15" x14ac:dyDescent="0.2">
      <c r="A92" t="s">
        <v>41</v>
      </c>
      <c r="C92" s="3">
        <v>0</v>
      </c>
      <c r="D92" s="3">
        <v>0</v>
      </c>
      <c r="E92" s="74"/>
      <c r="F92" s="9">
        <v>0</v>
      </c>
      <c r="G92" s="10">
        <v>0</v>
      </c>
      <c r="H92" s="6">
        <v>0</v>
      </c>
      <c r="I92" s="3">
        <v>0</v>
      </c>
      <c r="J92" s="18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</row>
    <row r="93" spans="1:15" x14ac:dyDescent="0.2">
      <c r="A93" t="s">
        <v>48</v>
      </c>
      <c r="C93" s="3">
        <v>0</v>
      </c>
      <c r="D93" s="3">
        <v>0</v>
      </c>
      <c r="E93" s="74"/>
      <c r="F93" s="9">
        <v>0</v>
      </c>
      <c r="G93" s="10">
        <v>0</v>
      </c>
      <c r="H93" s="6">
        <v>0</v>
      </c>
      <c r="I93" s="3">
        <v>0</v>
      </c>
      <c r="J93" s="18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</row>
    <row r="94" spans="1:15" x14ac:dyDescent="0.2">
      <c r="A94" t="s">
        <v>49</v>
      </c>
      <c r="C94" s="3">
        <v>0</v>
      </c>
      <c r="D94" s="3">
        <v>0</v>
      </c>
      <c r="E94" s="74"/>
      <c r="F94" s="9">
        <v>0</v>
      </c>
      <c r="G94" s="10">
        <v>0</v>
      </c>
      <c r="H94" s="6">
        <v>0</v>
      </c>
      <c r="I94" s="3">
        <v>0</v>
      </c>
      <c r="J94" s="18">
        <v>0</v>
      </c>
      <c r="K94" s="10">
        <f>ROUND(I94*J94,0)</f>
        <v>0</v>
      </c>
      <c r="L94" s="10">
        <v>0</v>
      </c>
      <c r="M94" s="10">
        <v>0</v>
      </c>
      <c r="N94" s="10">
        <v>0</v>
      </c>
      <c r="O94" s="10">
        <v>0</v>
      </c>
    </row>
    <row r="95" spans="1:15" x14ac:dyDescent="0.2">
      <c r="A95" t="s">
        <v>50</v>
      </c>
      <c r="C95" s="3">
        <v>0</v>
      </c>
      <c r="D95" s="3">
        <v>0</v>
      </c>
      <c r="E95" s="74"/>
      <c r="F95" s="9">
        <v>0</v>
      </c>
      <c r="G95" s="10">
        <v>0</v>
      </c>
      <c r="H95" s="6">
        <v>0</v>
      </c>
      <c r="I95" s="3">
        <v>0</v>
      </c>
      <c r="J95" s="18">
        <v>0</v>
      </c>
      <c r="K95" s="10">
        <f>ROUND(I95*J95,0)</f>
        <v>0</v>
      </c>
      <c r="L95" s="10">
        <v>0</v>
      </c>
      <c r="M95" s="10">
        <v>0</v>
      </c>
      <c r="N95" s="10">
        <v>0</v>
      </c>
      <c r="O95" s="10">
        <v>0</v>
      </c>
    </row>
    <row r="96" spans="1:15" x14ac:dyDescent="0.2">
      <c r="C96" s="6" t="s">
        <v>201</v>
      </c>
      <c r="D96" s="6" t="s">
        <v>201</v>
      </c>
      <c r="E96" s="74"/>
      <c r="F96" s="6"/>
      <c r="G96" s="6" t="s">
        <v>201</v>
      </c>
      <c r="H96" s="6"/>
      <c r="I96" s="6" t="s">
        <v>201</v>
      </c>
      <c r="J96" s="6"/>
      <c r="K96" s="6" t="s">
        <v>201</v>
      </c>
      <c r="L96" s="6" t="s">
        <v>201</v>
      </c>
      <c r="M96" s="6" t="s">
        <v>201</v>
      </c>
      <c r="N96" s="6" t="s">
        <v>201</v>
      </c>
      <c r="O96" s="6" t="s">
        <v>201</v>
      </c>
    </row>
    <row r="97" spans="1:15" x14ac:dyDescent="0.2">
      <c r="A97" t="s">
        <v>51</v>
      </c>
      <c r="C97" s="3">
        <v>0</v>
      </c>
      <c r="D97" s="3">
        <v>0</v>
      </c>
      <c r="E97" s="74"/>
      <c r="F97" s="3"/>
      <c r="G97" s="10">
        <v>0</v>
      </c>
      <c r="H97" s="6"/>
      <c r="I97" s="3">
        <v>0</v>
      </c>
      <c r="J97" s="18"/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C98" s="3" t="s">
        <v>94</v>
      </c>
      <c r="D98" s="3" t="s">
        <v>94</v>
      </c>
      <c r="E98" s="74"/>
      <c r="F98" s="3"/>
      <c r="G98" s="3" t="s">
        <v>94</v>
      </c>
      <c r="H98" s="3"/>
      <c r="I98" s="3" t="s">
        <v>94</v>
      </c>
      <c r="J98" s="3"/>
      <c r="K98" s="3" t="s">
        <v>94</v>
      </c>
      <c r="L98" s="3" t="s">
        <v>94</v>
      </c>
      <c r="M98" s="3" t="s">
        <v>94</v>
      </c>
      <c r="N98" s="3" t="s">
        <v>94</v>
      </c>
      <c r="O98" s="3" t="s">
        <v>94</v>
      </c>
    </row>
    <row r="99" spans="1:15" x14ac:dyDescent="0.2">
      <c r="A99" t="s">
        <v>52</v>
      </c>
      <c r="C99" s="6">
        <f>+C54+C86+C97</f>
        <v>177268</v>
      </c>
      <c r="D99" s="6">
        <f>+D54+D86+D97</f>
        <v>187547</v>
      </c>
      <c r="E99" s="74"/>
      <c r="F99" s="3"/>
      <c r="G99" s="17">
        <f>G54+G86+G97</f>
        <v>1480126.25</v>
      </c>
      <c r="H99" s="6"/>
      <c r="I99" s="6">
        <f>+I54+I86+I97</f>
        <v>6122334</v>
      </c>
      <c r="J99" s="18"/>
      <c r="K99" s="17">
        <f>+K54+K86+K97</f>
        <v>362135</v>
      </c>
      <c r="L99" s="10">
        <f>+L54+L86+L97</f>
        <v>175837</v>
      </c>
      <c r="M99" s="10">
        <f>+M54+M86+M97</f>
        <v>2204</v>
      </c>
      <c r="N99" s="10">
        <f>+N54+N86+N97</f>
        <v>178041</v>
      </c>
      <c r="O99" s="10">
        <f>+O54+O86+O97</f>
        <v>2020302.25</v>
      </c>
    </row>
    <row r="100" spans="1:15" x14ac:dyDescent="0.2">
      <c r="C100" s="3" t="s">
        <v>94</v>
      </c>
      <c r="D100" s="3" t="s">
        <v>94</v>
      </c>
      <c r="E100" s="74"/>
      <c r="F100" s="3"/>
      <c r="G100" s="3" t="s">
        <v>94</v>
      </c>
      <c r="H100" s="3"/>
      <c r="I100" s="3" t="s">
        <v>94</v>
      </c>
      <c r="J100" s="3"/>
      <c r="K100" s="3" t="s">
        <v>94</v>
      </c>
      <c r="L100" s="3" t="s">
        <v>94</v>
      </c>
      <c r="M100" s="3" t="s">
        <v>94</v>
      </c>
      <c r="N100" s="3" t="s">
        <v>94</v>
      </c>
      <c r="O100" s="3" t="s">
        <v>94</v>
      </c>
    </row>
    <row r="101" spans="1:15" x14ac:dyDescent="0.2">
      <c r="C101" s="28" t="s">
        <v>138</v>
      </c>
    </row>
    <row r="102" spans="1:15" x14ac:dyDescent="0.2">
      <c r="A102" t="s">
        <v>108</v>
      </c>
    </row>
    <row r="103" spans="1:15" x14ac:dyDescent="0.2">
      <c r="A103" t="s">
        <v>422</v>
      </c>
    </row>
  </sheetData>
  <printOptions horizontalCentered="1" verticalCentered="1" gridLines="1"/>
  <pageMargins left="0" right="0" top="0.6" bottom="0" header="0" footer="0"/>
  <pageSetup paperSize="17" fitToHeight="0" orientation="landscape" r:id="rId1"/>
  <headerFooter alignWithMargins="0"/>
  <rowBreaks count="1" manualBreakCount="1">
    <brk id="5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85" zoomScaleNormal="85" workbookViewId="0">
      <pane xSplit="2" ySplit="10" topLeftCell="C76" activePane="bottomRight" state="frozen"/>
      <selection activeCell="N103" sqref="N103"/>
      <selection pane="topRight" activeCell="N103" sqref="N103"/>
      <selection pane="bottomLeft" activeCell="N103" sqref="N103"/>
      <selection pane="bottomRight" activeCell="N103" sqref="N103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8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9" x14ac:dyDescent="0.2">
      <c r="A1" s="16" t="s">
        <v>480</v>
      </c>
      <c r="B1" s="14"/>
      <c r="C1" s="42"/>
      <c r="D1" s="42"/>
      <c r="E1" s="94"/>
      <c r="F1" s="42"/>
      <c r="G1" s="42"/>
      <c r="H1" s="42"/>
      <c r="I1" s="42"/>
      <c r="J1" s="42"/>
    </row>
    <row r="2" spans="1:19" x14ac:dyDescent="0.2">
      <c r="C2" s="42"/>
      <c r="D2" s="42"/>
      <c r="E2" s="94"/>
      <c r="F2" s="42"/>
      <c r="G2" s="42"/>
      <c r="H2" s="42"/>
      <c r="I2" s="42"/>
      <c r="J2" s="42"/>
    </row>
    <row r="3" spans="1:19" x14ac:dyDescent="0.2">
      <c r="A3" s="28" t="s">
        <v>0</v>
      </c>
      <c r="I3" s="15"/>
      <c r="N3" s="37" t="s">
        <v>140</v>
      </c>
    </row>
    <row r="4" spans="1:19" ht="25.5" x14ac:dyDescent="0.2">
      <c r="A4" s="36" t="s">
        <v>128</v>
      </c>
      <c r="N4" s="113" t="s">
        <v>498</v>
      </c>
      <c r="O4" s="1">
        <f>+'Y1'!M7</f>
        <v>24</v>
      </c>
    </row>
    <row r="6" spans="1:19" ht="25.5" x14ac:dyDescent="0.2">
      <c r="A6" s="105" t="s">
        <v>493</v>
      </c>
      <c r="C6" s="208" t="s">
        <v>57</v>
      </c>
      <c r="D6" s="208" t="s">
        <v>58</v>
      </c>
      <c r="F6" s="54" t="s">
        <v>380</v>
      </c>
      <c r="G6" s="55" t="s">
        <v>314</v>
      </c>
      <c r="H6" s="208" t="s">
        <v>61</v>
      </c>
      <c r="I6" s="208" t="s">
        <v>4</v>
      </c>
      <c r="J6" s="8" t="s">
        <v>200</v>
      </c>
      <c r="K6" s="113" t="s">
        <v>541</v>
      </c>
      <c r="L6" s="208" t="s">
        <v>63</v>
      </c>
      <c r="M6" s="208" t="s">
        <v>64</v>
      </c>
      <c r="N6" s="208"/>
      <c r="O6" s="55" t="s">
        <v>521</v>
      </c>
    </row>
    <row r="7" spans="1:19" ht="26.25" x14ac:dyDescent="0.25">
      <c r="C7" s="110" t="s">
        <v>66</v>
      </c>
      <c r="D7" s="110" t="s">
        <v>66</v>
      </c>
      <c r="F7" s="54" t="s">
        <v>67</v>
      </c>
      <c r="G7" s="110" t="s">
        <v>27</v>
      </c>
      <c r="H7" s="110" t="s">
        <v>248</v>
      </c>
      <c r="I7" s="8" t="s">
        <v>69</v>
      </c>
      <c r="J7" s="110" t="s">
        <v>70</v>
      </c>
      <c r="K7" s="110" t="s">
        <v>71</v>
      </c>
      <c r="L7" s="185" t="s">
        <v>72</v>
      </c>
      <c r="M7" s="110" t="s">
        <v>72</v>
      </c>
      <c r="N7" s="110" t="s">
        <v>73</v>
      </c>
      <c r="O7" s="110" t="s">
        <v>74</v>
      </c>
    </row>
    <row r="8" spans="1:19" ht="25.5" x14ac:dyDescent="0.2">
      <c r="A8" t="s">
        <v>28</v>
      </c>
      <c r="C8" s="110" t="s">
        <v>75</v>
      </c>
      <c r="D8" s="8" t="s">
        <v>359</v>
      </c>
      <c r="F8" s="54" t="s">
        <v>76</v>
      </c>
      <c r="G8" s="110" t="s">
        <v>77</v>
      </c>
      <c r="H8" s="8" t="s">
        <v>247</v>
      </c>
      <c r="I8" s="52" t="s">
        <v>364</v>
      </c>
      <c r="J8" s="110" t="s">
        <v>80</v>
      </c>
      <c r="K8" s="110" t="s">
        <v>81</v>
      </c>
      <c r="L8" s="61" t="str">
        <f>+'Y1'!J13</f>
        <v>(EX. C,                            PG.23C)</v>
      </c>
      <c r="M8" s="8" t="s">
        <v>217</v>
      </c>
      <c r="N8" s="110" t="s">
        <v>72</v>
      </c>
      <c r="O8" s="110" t="s">
        <v>83</v>
      </c>
    </row>
    <row r="9" spans="1:19" x14ac:dyDescent="0.2">
      <c r="C9" s="7">
        <v>-1</v>
      </c>
      <c r="D9" s="7">
        <v>-2</v>
      </c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7">
        <v>-9</v>
      </c>
      <c r="M9" s="7">
        <v>-10</v>
      </c>
      <c r="N9" s="7">
        <v>-11</v>
      </c>
      <c r="O9" s="7">
        <v>-12</v>
      </c>
    </row>
    <row r="10" spans="1:19" x14ac:dyDescent="0.2">
      <c r="C10" s="25" t="s">
        <v>138</v>
      </c>
      <c r="D10" s="110"/>
      <c r="F10" s="110" t="s">
        <v>372</v>
      </c>
      <c r="G10" s="110"/>
      <c r="H10" s="110"/>
      <c r="I10" s="110" t="s">
        <v>85</v>
      </c>
      <c r="J10" s="110"/>
      <c r="K10" s="110" t="s">
        <v>86</v>
      </c>
      <c r="L10" s="110"/>
      <c r="M10" s="110" t="s">
        <v>87</v>
      </c>
      <c r="N10" s="110" t="s">
        <v>88</v>
      </c>
      <c r="O10" s="110" t="s">
        <v>89</v>
      </c>
    </row>
    <row r="11" spans="1:19" x14ac:dyDescent="0.2">
      <c r="A11" s="42" t="s">
        <v>29</v>
      </c>
      <c r="B11" s="42"/>
      <c r="C11" s="42"/>
      <c r="D11" s="42"/>
      <c r="E11" s="9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x14ac:dyDescent="0.2">
      <c r="A12" s="123" t="s">
        <v>209</v>
      </c>
      <c r="B12" s="42"/>
      <c r="C12" s="43">
        <v>1412</v>
      </c>
      <c r="D12" s="43">
        <v>3948</v>
      </c>
      <c r="E12" s="116" t="s">
        <v>170</v>
      </c>
      <c r="F12" s="79">
        <f>ROUND(G12/C12,2)</f>
        <v>378.16</v>
      </c>
      <c r="G12" s="80">
        <v>533955.43000000005</v>
      </c>
      <c r="H12" s="43">
        <v>399</v>
      </c>
      <c r="I12" s="81">
        <f>D12*H12</f>
        <v>1575252</v>
      </c>
      <c r="J12" s="95">
        <v>5.7439999999999998E-2</v>
      </c>
      <c r="K12" s="77">
        <f>ROUND(I12*J12,0)</f>
        <v>90482</v>
      </c>
      <c r="L12" s="77">
        <f>'22a&amp;b'!CS32</f>
        <v>22013</v>
      </c>
      <c r="M12" s="77">
        <v>0</v>
      </c>
      <c r="N12" s="77">
        <f t="shared" ref="N12" si="0">+L12+M12</f>
        <v>22013</v>
      </c>
      <c r="O12" s="99">
        <f>+G12+K12+N12</f>
        <v>646450.43000000005</v>
      </c>
      <c r="P12" s="42"/>
      <c r="Q12" s="42"/>
      <c r="R12" s="42"/>
      <c r="S12" s="42"/>
    </row>
    <row r="13" spans="1:19" x14ac:dyDescent="0.2">
      <c r="A13" s="42"/>
      <c r="B13" s="42"/>
      <c r="C13" s="43"/>
      <c r="D13" s="43"/>
      <c r="E13" s="94"/>
      <c r="F13" s="79"/>
      <c r="G13" s="80"/>
      <c r="H13" s="43"/>
      <c r="I13" s="81"/>
      <c r="J13" s="95"/>
      <c r="K13" s="77"/>
      <c r="L13" s="77"/>
      <c r="M13" s="77"/>
      <c r="N13" s="77"/>
      <c r="O13" s="77"/>
      <c r="P13" s="42"/>
      <c r="Q13" s="42"/>
      <c r="R13" s="42"/>
      <c r="S13" s="42"/>
    </row>
    <row r="14" spans="1:19" x14ac:dyDescent="0.2">
      <c r="A14" s="96" t="s">
        <v>261</v>
      </c>
      <c r="B14" s="42"/>
      <c r="C14" s="43"/>
      <c r="D14" s="43"/>
      <c r="E14" s="94"/>
      <c r="F14" s="79"/>
      <c r="G14" s="80"/>
      <c r="H14" s="43"/>
      <c r="I14" s="81"/>
      <c r="J14" s="95"/>
      <c r="K14" s="77"/>
      <c r="L14" s="77"/>
      <c r="M14" s="77"/>
      <c r="N14" s="77"/>
      <c r="O14" s="77"/>
      <c r="P14" s="42"/>
      <c r="Q14" s="42"/>
      <c r="R14" s="42"/>
      <c r="S14" s="42"/>
    </row>
    <row r="15" spans="1:19" x14ac:dyDescent="0.2">
      <c r="A15" s="96" t="s">
        <v>253</v>
      </c>
      <c r="B15" s="42"/>
      <c r="C15" s="43">
        <v>68</v>
      </c>
      <c r="D15" s="43">
        <v>258</v>
      </c>
      <c r="E15" s="94" t="s">
        <v>170</v>
      </c>
      <c r="F15" s="79">
        <f>ROUND(G15/C15,2)</f>
        <v>1748.16</v>
      </c>
      <c r="G15" s="80">
        <f>96475.07+22400</f>
        <v>118875.07</v>
      </c>
      <c r="H15" s="43">
        <v>1131</v>
      </c>
      <c r="I15" s="81">
        <f>D15*H15</f>
        <v>291798</v>
      </c>
      <c r="J15" s="95">
        <v>5.7509999999999999E-2</v>
      </c>
      <c r="K15" s="77">
        <f>ROUND(I15*J15,0)</f>
        <v>16781</v>
      </c>
      <c r="L15" s="77">
        <f>'22a&amp;b'!CS16</f>
        <v>10426</v>
      </c>
      <c r="M15" s="77">
        <f>ROUND(G15*0,0)</f>
        <v>0</v>
      </c>
      <c r="N15" s="77">
        <f>+L15+M15</f>
        <v>10426</v>
      </c>
      <c r="O15" s="77">
        <f>+G15+K15+N15</f>
        <v>146082.07</v>
      </c>
      <c r="P15" s="42"/>
      <c r="Q15" s="42"/>
      <c r="R15" s="42"/>
      <c r="S15" s="42"/>
    </row>
    <row r="16" spans="1:19" x14ac:dyDescent="0.2">
      <c r="A16" s="42" t="s">
        <v>254</v>
      </c>
      <c r="B16" s="42"/>
      <c r="C16" s="43">
        <v>5</v>
      </c>
      <c r="D16" s="43">
        <v>28</v>
      </c>
      <c r="E16" s="94" t="s">
        <v>170</v>
      </c>
      <c r="F16" s="79">
        <f>ROUND(G16/C16,2)</f>
        <v>107.81</v>
      </c>
      <c r="G16" s="80">
        <v>539.05999999999995</v>
      </c>
      <c r="H16" s="43">
        <v>216</v>
      </c>
      <c r="I16" s="81">
        <f>D16*H16</f>
        <v>6048</v>
      </c>
      <c r="J16" s="95">
        <v>5.7369999999999997E-2</v>
      </c>
      <c r="K16" s="77">
        <f>ROUND(I16*J16,0)</f>
        <v>347</v>
      </c>
      <c r="L16" s="77">
        <f>'22a&amp;b'!CS17</f>
        <v>6</v>
      </c>
      <c r="M16" s="77">
        <v>0</v>
      </c>
      <c r="N16" s="77">
        <f>+L16+M16</f>
        <v>6</v>
      </c>
      <c r="O16" s="77">
        <f>+G16+K16+N16</f>
        <v>892.06</v>
      </c>
      <c r="P16" s="42"/>
      <c r="Q16" s="42"/>
      <c r="R16" s="42"/>
      <c r="S16" s="42"/>
    </row>
    <row r="17" spans="1:19" x14ac:dyDescent="0.2">
      <c r="A17" s="42"/>
      <c r="B17" s="42"/>
      <c r="C17" s="43"/>
      <c r="D17" s="43"/>
      <c r="E17" s="94"/>
      <c r="F17" s="79"/>
      <c r="G17" s="80"/>
      <c r="H17" s="43"/>
      <c r="I17" s="81"/>
      <c r="J17" s="95"/>
      <c r="K17" s="77"/>
      <c r="L17" s="77"/>
      <c r="M17" s="77"/>
      <c r="N17" s="77"/>
      <c r="O17" s="77"/>
      <c r="P17" s="42"/>
      <c r="Q17" s="42"/>
      <c r="R17" s="42"/>
      <c r="S17" s="42"/>
    </row>
    <row r="18" spans="1:19" x14ac:dyDescent="0.2">
      <c r="A18" s="123" t="s">
        <v>506</v>
      </c>
      <c r="B18" s="42"/>
      <c r="C18" s="43"/>
      <c r="D18" s="43"/>
      <c r="E18" s="94"/>
      <c r="F18" s="79"/>
      <c r="G18" s="80"/>
      <c r="H18" s="43"/>
      <c r="I18" s="81"/>
      <c r="J18" s="95"/>
      <c r="K18" s="77"/>
      <c r="L18" s="77"/>
      <c r="M18" s="77"/>
      <c r="N18" s="77"/>
      <c r="O18" s="77"/>
      <c r="P18" s="42"/>
      <c r="Q18" s="42"/>
      <c r="R18" s="42"/>
      <c r="S18" s="42"/>
    </row>
    <row r="19" spans="1:19" x14ac:dyDescent="0.2">
      <c r="A19" s="178" t="s">
        <v>479</v>
      </c>
      <c r="B19" s="42"/>
      <c r="C19" s="43">
        <v>125</v>
      </c>
      <c r="D19" s="43">
        <v>655</v>
      </c>
      <c r="E19" s="94" t="s">
        <v>170</v>
      </c>
      <c r="F19" s="79">
        <f>ROUND(G19/C19,2)</f>
        <v>465.83</v>
      </c>
      <c r="G19" s="80">
        <v>58228.59</v>
      </c>
      <c r="H19" s="43">
        <v>834</v>
      </c>
      <c r="I19" s="81">
        <f>D19*H19</f>
        <v>546270</v>
      </c>
      <c r="J19" s="95">
        <v>5.7480000000000003E-2</v>
      </c>
      <c r="K19" s="77">
        <f>ROUND(I19*J19,0)</f>
        <v>31400</v>
      </c>
      <c r="L19" s="77">
        <f>'22a&amp;b'!CS26</f>
        <v>1850</v>
      </c>
      <c r="M19" s="77">
        <v>0</v>
      </c>
      <c r="N19" s="77">
        <f>+L19+M19</f>
        <v>1850</v>
      </c>
      <c r="O19" s="77">
        <f>+G19+K19+N19</f>
        <v>91478.59</v>
      </c>
      <c r="P19" s="42"/>
      <c r="Q19" s="42"/>
      <c r="R19" s="42"/>
      <c r="S19" s="42"/>
    </row>
    <row r="20" spans="1:19" x14ac:dyDescent="0.2">
      <c r="A20" s="42"/>
      <c r="B20" s="42"/>
      <c r="C20" s="43"/>
      <c r="D20" s="43"/>
      <c r="E20" s="94"/>
      <c r="F20" s="79"/>
      <c r="G20" s="80"/>
      <c r="H20" s="43"/>
      <c r="I20" s="81"/>
      <c r="J20" s="95"/>
      <c r="K20" s="77"/>
      <c r="L20" s="77"/>
      <c r="M20" s="77"/>
      <c r="N20" s="77"/>
      <c r="O20" s="77"/>
      <c r="P20" s="42"/>
      <c r="Q20" s="42"/>
      <c r="R20" s="42"/>
      <c r="S20" s="42"/>
    </row>
    <row r="21" spans="1:19" x14ac:dyDescent="0.2">
      <c r="A21" s="42" t="s">
        <v>346</v>
      </c>
      <c r="B21" s="42"/>
      <c r="C21" s="43"/>
      <c r="D21" s="43"/>
      <c r="E21" s="94"/>
      <c r="F21" s="79"/>
      <c r="G21" s="80"/>
      <c r="H21" s="43"/>
      <c r="I21" s="81"/>
      <c r="J21" s="95"/>
      <c r="K21" s="77"/>
      <c r="L21" s="77"/>
      <c r="M21" s="77"/>
      <c r="N21" s="77"/>
      <c r="O21" s="77"/>
      <c r="P21" s="42"/>
      <c r="Q21" s="42"/>
      <c r="R21" s="42"/>
      <c r="S21" s="42"/>
    </row>
    <row r="22" spans="1:19" x14ac:dyDescent="0.2">
      <c r="A22" s="96" t="s">
        <v>207</v>
      </c>
      <c r="B22" s="42"/>
      <c r="C22" s="43">
        <v>93</v>
      </c>
      <c r="D22" s="43">
        <v>462</v>
      </c>
      <c r="E22" s="94" t="s">
        <v>170</v>
      </c>
      <c r="F22" s="79">
        <f>ROUND(G22/C22,2)</f>
        <v>573.23</v>
      </c>
      <c r="G22" s="80">
        <v>53310.52</v>
      </c>
      <c r="H22" s="43">
        <v>719</v>
      </c>
      <c r="I22" s="81">
        <f>D22*H22</f>
        <v>332178</v>
      </c>
      <c r="J22" s="182">
        <v>5.7500000000000002E-2</v>
      </c>
      <c r="K22" s="77">
        <f>ROUND(I22*J22,0)</f>
        <v>19100</v>
      </c>
      <c r="L22" s="77">
        <f>'22a&amp;b'!CS29</f>
        <v>8237</v>
      </c>
      <c r="M22" s="77">
        <v>0</v>
      </c>
      <c r="N22" s="77">
        <f>+L22+M22</f>
        <v>8237</v>
      </c>
      <c r="O22" s="77">
        <f>+G22+K22+N22</f>
        <v>80647.51999999999</v>
      </c>
      <c r="P22" s="42"/>
      <c r="Q22" s="42"/>
      <c r="R22" s="42"/>
      <c r="S22" s="42"/>
    </row>
    <row r="23" spans="1:19" x14ac:dyDescent="0.2">
      <c r="A23" s="96" t="s">
        <v>208</v>
      </c>
      <c r="B23" s="42"/>
      <c r="C23" s="43">
        <v>0</v>
      </c>
      <c r="D23" s="43">
        <v>0</v>
      </c>
      <c r="E23" s="116" t="s">
        <v>170</v>
      </c>
      <c r="F23" s="79">
        <v>0</v>
      </c>
      <c r="G23" s="80">
        <v>0</v>
      </c>
      <c r="H23" s="43">
        <v>0</v>
      </c>
      <c r="I23" s="81">
        <f>D23*H23</f>
        <v>0</v>
      </c>
      <c r="J23" s="95"/>
      <c r="K23" s="77">
        <f>ROUND(I23*J23,0)</f>
        <v>0</v>
      </c>
      <c r="L23" s="77">
        <f>+'22a&amp;b'!CS30</f>
        <v>0</v>
      </c>
      <c r="M23" s="77">
        <v>0</v>
      </c>
      <c r="N23" s="77">
        <f>+L23+M23</f>
        <v>0</v>
      </c>
      <c r="O23" s="77">
        <f>+G23+K23+N23</f>
        <v>0</v>
      </c>
      <c r="P23" s="42"/>
      <c r="Q23" s="42"/>
      <c r="R23" s="42"/>
      <c r="S23" s="42"/>
    </row>
    <row r="24" spans="1:19" x14ac:dyDescent="0.2">
      <c r="A24" s="96"/>
      <c r="B24" s="42"/>
      <c r="C24" s="43"/>
      <c r="D24" s="43"/>
      <c r="E24" s="94"/>
      <c r="F24" s="79"/>
      <c r="G24" s="80"/>
      <c r="H24" s="43"/>
      <c r="I24" s="81"/>
      <c r="J24" s="95"/>
      <c r="K24" s="77"/>
      <c r="L24" s="77"/>
      <c r="M24" s="77"/>
      <c r="N24" s="77"/>
      <c r="O24" s="77"/>
      <c r="P24" s="42"/>
      <c r="Q24" s="42"/>
      <c r="R24" s="42"/>
      <c r="S24" s="42"/>
    </row>
    <row r="25" spans="1:19" x14ac:dyDescent="0.2">
      <c r="A25" s="42" t="s">
        <v>348</v>
      </c>
      <c r="B25" s="42"/>
      <c r="C25" s="43"/>
      <c r="D25" s="43"/>
      <c r="E25" s="94"/>
      <c r="F25" s="79"/>
      <c r="G25" s="80"/>
      <c r="H25" s="78"/>
      <c r="I25" s="81"/>
      <c r="J25" s="95"/>
      <c r="K25" s="77"/>
      <c r="L25" s="77"/>
      <c r="M25" s="77"/>
      <c r="N25" s="77"/>
      <c r="O25" s="77"/>
      <c r="P25" s="42"/>
      <c r="Q25" s="42"/>
      <c r="R25" s="42"/>
      <c r="S25" s="42"/>
    </row>
    <row r="26" spans="1:19" s="42" customFormat="1" x14ac:dyDescent="0.2">
      <c r="A26" s="42" t="s">
        <v>353</v>
      </c>
      <c r="C26" s="43">
        <v>116</v>
      </c>
      <c r="D26" s="43">
        <v>581</v>
      </c>
      <c r="E26" s="94" t="s">
        <v>170</v>
      </c>
      <c r="F26" s="79">
        <f>ROUND(G26/C26,2)</f>
        <v>513.34</v>
      </c>
      <c r="G26" s="80">
        <v>59547.28</v>
      </c>
      <c r="H26" s="78">
        <v>639</v>
      </c>
      <c r="I26" s="81">
        <f>D26*H26</f>
        <v>371259</v>
      </c>
      <c r="J26" s="95">
        <v>5.7459999999999997E-2</v>
      </c>
      <c r="K26" s="77">
        <f>ROUND(I26*J26,0)</f>
        <v>21333</v>
      </c>
      <c r="L26" s="77">
        <f>+'22a&amp;b'!CS35</f>
        <v>3013</v>
      </c>
      <c r="M26" s="77">
        <v>0</v>
      </c>
      <c r="N26" s="77">
        <f>+L26+M26</f>
        <v>3013</v>
      </c>
      <c r="O26" s="77">
        <f>+G26+K26+N26</f>
        <v>83893.28</v>
      </c>
    </row>
    <row r="27" spans="1:19" s="42" customFormat="1" x14ac:dyDescent="0.2">
      <c r="A27" s="42" t="s">
        <v>446</v>
      </c>
      <c r="C27" s="43">
        <v>144</v>
      </c>
      <c r="D27" s="43">
        <v>933</v>
      </c>
      <c r="E27" s="94" t="s">
        <v>170</v>
      </c>
      <c r="F27" s="79">
        <f>ROUND(G27/C27,2)</f>
        <v>589.45000000000005</v>
      </c>
      <c r="G27" s="80">
        <v>84880.14</v>
      </c>
      <c r="H27" s="78">
        <v>387</v>
      </c>
      <c r="I27" s="81">
        <f>D27*H27</f>
        <v>361071</v>
      </c>
      <c r="J27" s="95">
        <v>5.7450000000000001E-2</v>
      </c>
      <c r="K27" s="77">
        <f>ROUND(I27*J27,0)</f>
        <v>20744</v>
      </c>
      <c r="L27" s="77">
        <f>+'22a&amp;b'!CS36</f>
        <v>1570</v>
      </c>
      <c r="M27" s="77">
        <v>0</v>
      </c>
      <c r="N27" s="77">
        <f>+L27+M27</f>
        <v>1570</v>
      </c>
      <c r="O27" s="77">
        <f>+G27+K27+N27</f>
        <v>107194.14</v>
      </c>
    </row>
    <row r="28" spans="1:19" x14ac:dyDescent="0.2">
      <c r="A28" s="96"/>
      <c r="B28" s="42"/>
      <c r="C28" s="43"/>
      <c r="D28" s="43"/>
      <c r="E28" s="94"/>
      <c r="F28" s="79"/>
      <c r="G28" s="80"/>
      <c r="H28" s="78"/>
      <c r="I28" s="81"/>
      <c r="J28" s="95"/>
      <c r="K28" s="77"/>
      <c r="L28" s="77"/>
      <c r="M28" s="77"/>
      <c r="N28" s="77"/>
      <c r="O28" s="77"/>
      <c r="P28" s="42"/>
      <c r="Q28" s="42"/>
      <c r="R28" s="42"/>
      <c r="S28" s="42"/>
    </row>
    <row r="29" spans="1:19" x14ac:dyDescent="0.2">
      <c r="A29" s="177" t="s">
        <v>350</v>
      </c>
      <c r="B29" s="42"/>
      <c r="C29" s="43">
        <v>1572</v>
      </c>
      <c r="D29" s="43">
        <v>3870</v>
      </c>
      <c r="E29" s="116" t="s">
        <v>170</v>
      </c>
      <c r="F29" s="79">
        <f>ROUND(G29/C29,2)</f>
        <v>10.56</v>
      </c>
      <c r="G29" s="80">
        <v>16600.32</v>
      </c>
      <c r="H29" s="78">
        <v>39</v>
      </c>
      <c r="I29" s="81">
        <f>D29*H29</f>
        <v>150930</v>
      </c>
      <c r="J29" s="95">
        <v>5.6919999999999998E-2</v>
      </c>
      <c r="K29" s="77">
        <f>ROUND(I29*J29,0)</f>
        <v>8591</v>
      </c>
      <c r="L29" s="77">
        <f>'22a&amp;b'!CS38</f>
        <v>2217</v>
      </c>
      <c r="M29" s="77">
        <v>0</v>
      </c>
      <c r="N29" s="77">
        <f>+L29+M29</f>
        <v>2217</v>
      </c>
      <c r="O29" s="99">
        <f>+G29+K29+N29</f>
        <v>27408.32</v>
      </c>
      <c r="P29" s="42"/>
      <c r="Q29" s="42"/>
      <c r="R29" s="42"/>
      <c r="S29" s="42"/>
    </row>
    <row r="30" spans="1:19" x14ac:dyDescent="0.2">
      <c r="A30" s="96"/>
      <c r="B30" s="42"/>
      <c r="C30" s="43"/>
      <c r="D30" s="43"/>
      <c r="E30" s="94"/>
      <c r="F30" s="79"/>
      <c r="G30" s="80"/>
      <c r="H30" s="43"/>
      <c r="I30" s="81"/>
      <c r="J30" s="95"/>
      <c r="K30" s="77"/>
      <c r="L30" s="77"/>
      <c r="M30" s="77"/>
      <c r="N30" s="77"/>
      <c r="O30" s="77"/>
      <c r="P30" s="42"/>
      <c r="Q30" s="42"/>
      <c r="R30" s="42"/>
      <c r="S30" s="42"/>
    </row>
    <row r="31" spans="1:19" x14ac:dyDescent="0.2">
      <c r="A31" s="96" t="s">
        <v>351</v>
      </c>
      <c r="B31" s="42"/>
      <c r="C31" s="43">
        <v>3590</v>
      </c>
      <c r="D31" s="43">
        <v>6249</v>
      </c>
      <c r="E31" s="94" t="s">
        <v>170</v>
      </c>
      <c r="F31" s="79">
        <f>ROUND(G31/C31,2)</f>
        <v>5.0999999999999996</v>
      </c>
      <c r="G31" s="80">
        <v>18314.240000000002</v>
      </c>
      <c r="H31" s="78">
        <v>28</v>
      </c>
      <c r="I31" s="81">
        <f>D31*H31</f>
        <v>174972</v>
      </c>
      <c r="J31" s="95">
        <v>5.7860000000000002E-2</v>
      </c>
      <c r="K31" s="77">
        <f>ROUND(I31*J31,0)</f>
        <v>10124</v>
      </c>
      <c r="L31" s="77">
        <f>'22a&amp;b'!CS40</f>
        <v>3123</v>
      </c>
      <c r="M31" s="77">
        <v>0</v>
      </c>
      <c r="N31" s="77">
        <f>+L31+M31</f>
        <v>3123</v>
      </c>
      <c r="O31" s="77">
        <f>+G31+K31+N31</f>
        <v>31561.24</v>
      </c>
      <c r="P31" s="42"/>
      <c r="Q31" s="42"/>
      <c r="R31" s="42"/>
      <c r="S31" s="42"/>
    </row>
    <row r="32" spans="1:19" x14ac:dyDescent="0.2">
      <c r="A32" s="96"/>
      <c r="B32" s="42"/>
      <c r="C32" s="43"/>
      <c r="D32" s="43"/>
      <c r="E32" s="94"/>
      <c r="F32" s="79"/>
      <c r="G32" s="80"/>
      <c r="H32" s="78"/>
      <c r="I32" s="81"/>
      <c r="J32" s="95"/>
      <c r="K32" s="77"/>
      <c r="L32" s="77"/>
      <c r="M32" s="77"/>
      <c r="N32" s="77"/>
      <c r="O32" s="77"/>
      <c r="P32" s="42"/>
      <c r="Q32" s="42"/>
      <c r="R32" s="42"/>
      <c r="S32" s="42"/>
    </row>
    <row r="33" spans="1:19" x14ac:dyDescent="0.2">
      <c r="A33" s="96" t="s">
        <v>386</v>
      </c>
      <c r="B33" s="42"/>
      <c r="C33" s="43"/>
      <c r="D33" s="43"/>
      <c r="E33" s="94"/>
      <c r="F33" s="79"/>
      <c r="G33" s="80"/>
      <c r="H33" s="78"/>
      <c r="I33" s="81"/>
      <c r="J33" s="95"/>
      <c r="K33" s="77"/>
      <c r="L33" s="77"/>
      <c r="M33" s="77"/>
      <c r="N33" s="77"/>
      <c r="O33" s="77"/>
      <c r="P33" s="42"/>
      <c r="Q33" s="42"/>
      <c r="R33" s="42"/>
      <c r="S33" s="42"/>
    </row>
    <row r="34" spans="1:19" x14ac:dyDescent="0.2">
      <c r="A34" s="42" t="s">
        <v>387</v>
      </c>
      <c r="B34" s="42"/>
      <c r="C34" s="43">
        <v>201783</v>
      </c>
      <c r="D34" s="43">
        <v>128381</v>
      </c>
      <c r="E34" s="94" t="s">
        <v>170</v>
      </c>
      <c r="F34" s="79">
        <f>ROUND(G34/C34,2)</f>
        <v>2.1</v>
      </c>
      <c r="G34" s="114">
        <v>424044.89</v>
      </c>
      <c r="H34" s="78">
        <v>13</v>
      </c>
      <c r="I34" s="81">
        <f>D34*H34</f>
        <v>1668953</v>
      </c>
      <c r="J34" s="95">
        <v>5.7669999999999999E-2</v>
      </c>
      <c r="K34" s="77">
        <f>ROUND(I34*J34,0)</f>
        <v>96249</v>
      </c>
      <c r="L34" s="77">
        <f>'22a&amp;b'!CS43</f>
        <v>135195</v>
      </c>
      <c r="M34" s="77">
        <v>0</v>
      </c>
      <c r="N34" s="77">
        <f>+L34+M34</f>
        <v>135195</v>
      </c>
      <c r="O34" s="77">
        <f>+G34+K34+N34</f>
        <v>655488.89</v>
      </c>
      <c r="P34" s="42"/>
      <c r="Q34" s="42"/>
      <c r="R34" s="42"/>
      <c r="S34" s="42"/>
    </row>
    <row r="35" spans="1:19" x14ac:dyDescent="0.2">
      <c r="A35" s="42" t="s">
        <v>458</v>
      </c>
      <c r="B35" s="42"/>
      <c r="C35" s="43">
        <v>7901</v>
      </c>
      <c r="D35" s="43">
        <v>7010</v>
      </c>
      <c r="E35" s="116" t="s">
        <v>170</v>
      </c>
      <c r="F35" s="79">
        <f>ROUND(G35/C35,2)</f>
        <v>4.04</v>
      </c>
      <c r="G35" s="80">
        <v>31906.3</v>
      </c>
      <c r="H35" s="78">
        <v>17</v>
      </c>
      <c r="I35" s="81">
        <f>D35*H35</f>
        <v>119170</v>
      </c>
      <c r="J35" s="95">
        <v>5.611E-2</v>
      </c>
      <c r="K35" s="77">
        <f>ROUND(I35*J35,0)</f>
        <v>6687</v>
      </c>
      <c r="L35" s="77">
        <f>+'22a&amp;b'!CS44</f>
        <v>7111</v>
      </c>
      <c r="M35" s="77">
        <v>0</v>
      </c>
      <c r="N35" s="77">
        <f>+L35+M35</f>
        <v>7111</v>
      </c>
      <c r="O35" s="77">
        <f>+G35+K35+N35</f>
        <v>45704.3</v>
      </c>
      <c r="P35" s="42"/>
      <c r="Q35" s="42"/>
      <c r="R35" s="42"/>
      <c r="S35" s="42"/>
    </row>
    <row r="36" spans="1:19" x14ac:dyDescent="0.2">
      <c r="A36" s="42" t="s">
        <v>398</v>
      </c>
      <c r="B36" s="42"/>
      <c r="C36" s="43">
        <v>6645</v>
      </c>
      <c r="D36" s="43">
        <v>1774</v>
      </c>
      <c r="E36" s="116" t="s">
        <v>170</v>
      </c>
      <c r="F36" s="79">
        <v>0</v>
      </c>
      <c r="G36" s="80">
        <v>54054.31</v>
      </c>
      <c r="H36" s="78">
        <v>16</v>
      </c>
      <c r="I36" s="81">
        <f>D36*H36</f>
        <v>28384</v>
      </c>
      <c r="J36" s="95">
        <v>5.6750000000000002E-2</v>
      </c>
      <c r="K36" s="77">
        <f>ROUND(I36*J36,0)</f>
        <v>1611</v>
      </c>
      <c r="L36" s="77">
        <v>0</v>
      </c>
      <c r="M36" s="77">
        <f>ROUND(G36*0.05,0)</f>
        <v>2703</v>
      </c>
      <c r="N36" s="77">
        <f>+L36+M36</f>
        <v>2703</v>
      </c>
      <c r="O36" s="77">
        <f>+G36+K36+N36</f>
        <v>58368.31</v>
      </c>
      <c r="P36" s="42"/>
      <c r="Q36" s="42"/>
      <c r="R36" s="42"/>
      <c r="S36" s="42"/>
    </row>
    <row r="37" spans="1:19" x14ac:dyDescent="0.2">
      <c r="A37" s="96"/>
      <c r="B37" s="42"/>
      <c r="C37" s="43"/>
      <c r="D37" s="43"/>
      <c r="E37" s="94"/>
      <c r="F37" s="79"/>
      <c r="G37" s="80"/>
      <c r="H37" s="78"/>
      <c r="I37" s="81"/>
      <c r="J37" s="95"/>
      <c r="K37" s="77"/>
      <c r="L37" s="77"/>
      <c r="M37" s="77"/>
      <c r="N37" s="77"/>
      <c r="O37" s="77"/>
      <c r="P37" s="42"/>
      <c r="Q37" s="42"/>
      <c r="R37" s="42"/>
      <c r="S37" s="42"/>
    </row>
    <row r="38" spans="1:19" x14ac:dyDescent="0.2">
      <c r="A38" s="96" t="s">
        <v>388</v>
      </c>
      <c r="B38" s="42"/>
      <c r="C38" s="43"/>
      <c r="D38" s="43"/>
      <c r="E38" s="94"/>
      <c r="F38" s="79"/>
      <c r="G38" s="80"/>
      <c r="H38" s="78"/>
      <c r="I38" s="81"/>
      <c r="J38" s="95"/>
      <c r="K38" s="77"/>
      <c r="L38" s="77"/>
      <c r="M38" s="77"/>
      <c r="N38" s="77"/>
      <c r="O38" s="77"/>
      <c r="P38" s="42"/>
      <c r="Q38" s="42"/>
      <c r="R38" s="42"/>
      <c r="S38" s="42"/>
    </row>
    <row r="39" spans="1:19" x14ac:dyDescent="0.2">
      <c r="A39" s="42" t="s">
        <v>208</v>
      </c>
      <c r="B39" s="42"/>
      <c r="C39" s="43">
        <v>0</v>
      </c>
      <c r="D39" s="43">
        <v>115</v>
      </c>
      <c r="E39" s="94" t="s">
        <v>170</v>
      </c>
      <c r="F39" s="79">
        <v>0</v>
      </c>
      <c r="G39" s="80">
        <v>0</v>
      </c>
      <c r="H39" s="78">
        <v>0</v>
      </c>
      <c r="I39" s="81">
        <f>D39*H39</f>
        <v>0</v>
      </c>
      <c r="J39" s="95">
        <v>0</v>
      </c>
      <c r="K39" s="77">
        <f>ROUND(I39*J39,0)</f>
        <v>0</v>
      </c>
      <c r="L39" s="77">
        <f>'22a&amp;b'!CS56</f>
        <v>0</v>
      </c>
      <c r="M39" s="77">
        <f>ROUND(G39*0.05,0)</f>
        <v>0</v>
      </c>
      <c r="N39" s="77">
        <f>+L39+M39</f>
        <v>0</v>
      </c>
      <c r="O39" s="77">
        <f>+G39+K39+N39</f>
        <v>0</v>
      </c>
      <c r="P39" s="42"/>
      <c r="Q39" s="42"/>
      <c r="R39" s="42"/>
      <c r="S39" s="42"/>
    </row>
    <row r="40" spans="1:19" x14ac:dyDescent="0.2">
      <c r="A40" s="42" t="s">
        <v>207</v>
      </c>
      <c r="B40" s="42"/>
      <c r="C40" s="43">
        <v>162</v>
      </c>
      <c r="D40" s="43">
        <v>502</v>
      </c>
      <c r="E40" s="116" t="s">
        <v>170</v>
      </c>
      <c r="F40" s="79">
        <f>ROUND(G40/C40,2)</f>
        <v>61.85</v>
      </c>
      <c r="G40" s="80">
        <v>10019.469999999999</v>
      </c>
      <c r="H40" s="78">
        <v>142</v>
      </c>
      <c r="I40" s="81">
        <f>D40*H40</f>
        <v>71284</v>
      </c>
      <c r="J40" s="95">
        <v>5.7459999999999997E-2</v>
      </c>
      <c r="K40" s="77">
        <f>ROUND(I40*J40,0)</f>
        <v>4096</v>
      </c>
      <c r="L40" s="77">
        <v>0</v>
      </c>
      <c r="M40" s="77">
        <f>ROUND(G40*0.05,0)</f>
        <v>501</v>
      </c>
      <c r="N40" s="77">
        <f>+L40+M40</f>
        <v>501</v>
      </c>
      <c r="O40" s="99">
        <f>+G40+K40+N40</f>
        <v>14616.47</v>
      </c>
      <c r="P40" s="42"/>
      <c r="Q40" s="42"/>
      <c r="R40" s="42"/>
      <c r="S40" s="42"/>
    </row>
    <row r="41" spans="1:19" x14ac:dyDescent="0.2">
      <c r="A41" s="42"/>
      <c r="B41" s="42"/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  <c r="P41" s="42"/>
      <c r="Q41" s="42"/>
      <c r="R41" s="42"/>
      <c r="S41" s="42"/>
    </row>
    <row r="42" spans="1:19" x14ac:dyDescent="0.2">
      <c r="A42" s="42" t="s">
        <v>441</v>
      </c>
      <c r="B42" s="42"/>
      <c r="C42" s="43"/>
      <c r="D42" s="43"/>
      <c r="E42" s="94"/>
      <c r="F42" s="79"/>
      <c r="G42" s="80"/>
      <c r="H42" s="78"/>
      <c r="I42" s="81"/>
      <c r="J42" s="95"/>
      <c r="K42" s="77"/>
      <c r="L42" s="77"/>
      <c r="M42" s="77"/>
      <c r="N42" s="77"/>
      <c r="O42" s="77"/>
      <c r="P42" s="42"/>
      <c r="Q42" s="42"/>
      <c r="R42" s="42"/>
      <c r="S42" s="42"/>
    </row>
    <row r="43" spans="1:19" x14ac:dyDescent="0.2">
      <c r="A43" s="42" t="s">
        <v>208</v>
      </c>
      <c r="B43" s="42"/>
      <c r="C43" s="43">
        <v>0</v>
      </c>
      <c r="D43" s="43">
        <v>0</v>
      </c>
      <c r="E43" s="116" t="s">
        <v>170</v>
      </c>
      <c r="F43" s="79">
        <v>0</v>
      </c>
      <c r="G43" s="80">
        <v>0</v>
      </c>
      <c r="H43" s="78">
        <v>0</v>
      </c>
      <c r="I43" s="81">
        <f>D43*H43</f>
        <v>0</v>
      </c>
      <c r="J43" s="95">
        <v>0</v>
      </c>
      <c r="K43" s="77">
        <f>ROUND(I43*J43,0)</f>
        <v>0</v>
      </c>
      <c r="L43" s="77">
        <f>+'22a&amp;b'!CR60</f>
        <v>0</v>
      </c>
      <c r="M43" s="77">
        <v>0</v>
      </c>
      <c r="N43" s="77">
        <f>+L43+M43</f>
        <v>0</v>
      </c>
      <c r="O43" s="77">
        <f>+G43+K43+N43</f>
        <v>0</v>
      </c>
      <c r="P43" s="42"/>
      <c r="Q43" s="42"/>
      <c r="R43" s="42"/>
      <c r="S43" s="42"/>
    </row>
    <row r="44" spans="1:19" x14ac:dyDescent="0.2">
      <c r="A44" s="42" t="s">
        <v>397</v>
      </c>
      <c r="B44" s="42"/>
      <c r="C44" s="43">
        <v>0</v>
      </c>
      <c r="D44" s="43">
        <v>0</v>
      </c>
      <c r="E44" s="116" t="s">
        <v>170</v>
      </c>
      <c r="F44" s="79">
        <v>0</v>
      </c>
      <c r="G44" s="80">
        <v>0</v>
      </c>
      <c r="H44" s="78">
        <v>0</v>
      </c>
      <c r="I44" s="81">
        <f>D44*H44</f>
        <v>0</v>
      </c>
      <c r="J44" s="95">
        <v>0</v>
      </c>
      <c r="K44" s="77">
        <f>ROUND(I44*J44,0)</f>
        <v>0</v>
      </c>
      <c r="L44" s="77">
        <f>+'22a&amp;b'!CR61</f>
        <v>0</v>
      </c>
      <c r="M44" s="77">
        <v>0</v>
      </c>
      <c r="N44" s="77">
        <f>+L44+M44</f>
        <v>0</v>
      </c>
      <c r="O44" s="77">
        <f>+G44+K44+N44</f>
        <v>0</v>
      </c>
      <c r="P44" s="42"/>
      <c r="Q44" s="42"/>
      <c r="R44" s="42"/>
      <c r="S44" s="42"/>
    </row>
    <row r="45" spans="1:19" x14ac:dyDescent="0.2">
      <c r="A45" s="42"/>
      <c r="B45" s="42"/>
      <c r="C45" s="42"/>
      <c r="D45" s="42"/>
      <c r="E45" s="94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2"/>
      <c r="R45" s="42"/>
      <c r="S45" s="42"/>
    </row>
    <row r="46" spans="1:19" x14ac:dyDescent="0.2">
      <c r="A46" s="42"/>
      <c r="B46" s="42"/>
      <c r="C46" s="43"/>
      <c r="D46" s="43"/>
      <c r="E46" s="94"/>
      <c r="F46" s="79"/>
      <c r="G46" s="80"/>
      <c r="H46" s="78"/>
      <c r="I46" s="81"/>
      <c r="J46" s="95"/>
      <c r="K46" s="77"/>
      <c r="L46" s="77"/>
      <c r="M46" s="77"/>
      <c r="N46" s="77"/>
      <c r="O46" s="77"/>
      <c r="P46" s="42"/>
      <c r="Q46" s="42"/>
      <c r="R46" s="42"/>
      <c r="S46" s="42"/>
    </row>
    <row r="47" spans="1:19" x14ac:dyDescent="0.2">
      <c r="A47" s="42" t="s">
        <v>505</v>
      </c>
      <c r="B47" s="42"/>
      <c r="C47" s="97">
        <v>0</v>
      </c>
      <c r="D47" s="43">
        <v>0</v>
      </c>
      <c r="E47" s="116" t="s">
        <v>170</v>
      </c>
      <c r="F47" s="79">
        <v>0</v>
      </c>
      <c r="G47" s="77">
        <v>30781.37</v>
      </c>
      <c r="H47" s="43">
        <v>0</v>
      </c>
      <c r="I47" s="81">
        <v>0</v>
      </c>
      <c r="J47" s="95">
        <v>0</v>
      </c>
      <c r="K47" s="77">
        <v>0</v>
      </c>
      <c r="L47" s="77">
        <v>0</v>
      </c>
      <c r="M47" s="77">
        <v>0</v>
      </c>
      <c r="N47" s="77">
        <v>0</v>
      </c>
      <c r="O47" s="77">
        <f>+G47+K47+N47</f>
        <v>30781.37</v>
      </c>
      <c r="P47" s="42"/>
      <c r="Q47" s="42"/>
      <c r="R47" s="42"/>
      <c r="S47" s="249"/>
    </row>
    <row r="48" spans="1:19" x14ac:dyDescent="0.2">
      <c r="A48" s="42"/>
      <c r="B48" s="42"/>
      <c r="C48" s="97"/>
      <c r="D48" s="43"/>
      <c r="E48" s="116"/>
      <c r="F48" s="79"/>
      <c r="G48" s="77"/>
      <c r="H48" s="43"/>
      <c r="I48" s="81"/>
      <c r="J48" s="95"/>
      <c r="K48" s="77"/>
      <c r="L48" s="77"/>
      <c r="M48" s="77"/>
      <c r="N48" s="77"/>
      <c r="O48" s="77"/>
      <c r="P48" s="42"/>
      <c r="Q48" s="42"/>
      <c r="R48" s="42"/>
      <c r="S48" s="249"/>
    </row>
    <row r="49" spans="1:19" x14ac:dyDescent="0.2">
      <c r="A49" s="123" t="s">
        <v>515</v>
      </c>
      <c r="B49" s="42"/>
      <c r="C49" s="97">
        <v>0</v>
      </c>
      <c r="D49" s="43">
        <v>0</v>
      </c>
      <c r="E49" s="116" t="s">
        <v>170</v>
      </c>
      <c r="F49" s="79">
        <v>0</v>
      </c>
      <c r="G49" s="77">
        <v>97000</v>
      </c>
      <c r="H49" s="43">
        <v>0</v>
      </c>
      <c r="I49" s="81">
        <v>0</v>
      </c>
      <c r="J49" s="95">
        <v>0</v>
      </c>
      <c r="K49" s="77">
        <v>0</v>
      </c>
      <c r="L49" s="77">
        <v>0</v>
      </c>
      <c r="M49" s="77">
        <v>0</v>
      </c>
      <c r="N49" s="77">
        <v>0</v>
      </c>
      <c r="O49" s="77">
        <f>+G49+K49+N49</f>
        <v>97000</v>
      </c>
      <c r="P49" s="42"/>
      <c r="Q49" s="42"/>
      <c r="R49" s="42"/>
      <c r="S49" s="249"/>
    </row>
    <row r="50" spans="1:19" x14ac:dyDescent="0.2">
      <c r="A50" s="42"/>
      <c r="B50" s="42"/>
      <c r="C50" s="97"/>
      <c r="D50" s="43"/>
      <c r="E50" s="116"/>
      <c r="F50" s="79"/>
      <c r="G50" s="77"/>
      <c r="H50" s="43"/>
      <c r="I50" s="81"/>
      <c r="J50" s="95"/>
      <c r="K50" s="77"/>
      <c r="L50" s="77"/>
      <c r="M50" s="77"/>
      <c r="N50" s="77"/>
      <c r="O50" s="77"/>
      <c r="P50" s="42"/>
      <c r="Q50" s="42"/>
      <c r="R50" s="42"/>
      <c r="S50" s="249"/>
    </row>
    <row r="51" spans="1:19" x14ac:dyDescent="0.2">
      <c r="A51" s="42"/>
      <c r="B51" s="42"/>
      <c r="C51" s="43" t="s">
        <v>201</v>
      </c>
      <c r="D51" s="43" t="s">
        <v>201</v>
      </c>
      <c r="E51" s="94"/>
      <c r="F51" s="43"/>
      <c r="G51" s="43" t="s">
        <v>201</v>
      </c>
      <c r="H51" s="97"/>
      <c r="I51" s="43" t="s">
        <v>201</v>
      </c>
      <c r="J51" s="95"/>
      <c r="K51" s="43" t="s">
        <v>201</v>
      </c>
      <c r="L51" s="43" t="s">
        <v>201</v>
      </c>
      <c r="M51" s="43" t="s">
        <v>201</v>
      </c>
      <c r="N51" s="43" t="s">
        <v>201</v>
      </c>
      <c r="O51" s="43" t="s">
        <v>201</v>
      </c>
      <c r="P51" s="42"/>
      <c r="Q51" s="42"/>
      <c r="R51" s="42"/>
      <c r="S51" s="42"/>
    </row>
    <row r="52" spans="1:19" x14ac:dyDescent="0.2">
      <c r="A52" s="42" t="s">
        <v>39</v>
      </c>
      <c r="B52" s="42"/>
      <c r="C52" s="43">
        <f>SUM(C12:C51)</f>
        <v>223616</v>
      </c>
      <c r="D52" s="43">
        <f>SUM(D12:D51)</f>
        <v>154766</v>
      </c>
      <c r="E52" s="94"/>
      <c r="F52" s="97"/>
      <c r="G52" s="80">
        <f>SUM(G12:G51)</f>
        <v>1592056.9900000002</v>
      </c>
      <c r="H52" s="43"/>
      <c r="I52" s="43">
        <f>SUM(I12:I51)</f>
        <v>5697569</v>
      </c>
      <c r="J52" s="95"/>
      <c r="K52" s="80">
        <f>SUM(K12:K51)</f>
        <v>327545</v>
      </c>
      <c r="L52" s="80">
        <f>SUM(L12:L51)</f>
        <v>194761</v>
      </c>
      <c r="M52" s="80">
        <f>SUM(M12:M51)</f>
        <v>3204</v>
      </c>
      <c r="N52" s="80">
        <f>SUM(N12:N51)</f>
        <v>197965</v>
      </c>
      <c r="O52" s="80">
        <f>SUM(O12:O51)</f>
        <v>2117566.9900000002</v>
      </c>
      <c r="P52" s="42"/>
      <c r="Q52" s="42"/>
      <c r="R52" s="42"/>
      <c r="S52" s="42"/>
    </row>
    <row r="53" spans="1:19" x14ac:dyDescent="0.2">
      <c r="A53" s="42"/>
      <c r="B53" s="42"/>
      <c r="C53" s="97" t="s">
        <v>94</v>
      </c>
      <c r="D53" s="97" t="s">
        <v>94</v>
      </c>
      <c r="E53" s="94"/>
      <c r="F53" s="97"/>
      <c r="G53" s="97" t="s">
        <v>94</v>
      </c>
      <c r="H53" s="97"/>
      <c r="I53" s="97" t="s">
        <v>94</v>
      </c>
      <c r="J53" s="97"/>
      <c r="K53" s="97" t="s">
        <v>94</v>
      </c>
      <c r="L53" s="97" t="s">
        <v>94</v>
      </c>
      <c r="M53" s="97" t="s">
        <v>94</v>
      </c>
      <c r="N53" s="97" t="s">
        <v>94</v>
      </c>
      <c r="O53" s="97" t="s">
        <v>94</v>
      </c>
      <c r="P53" s="42"/>
      <c r="Q53" s="42"/>
      <c r="R53" s="42"/>
      <c r="S53" s="42"/>
    </row>
    <row r="54" spans="1:19" x14ac:dyDescent="0.2">
      <c r="A54" s="42"/>
      <c r="B54" s="42"/>
      <c r="C54" s="97"/>
      <c r="D54" s="97"/>
      <c r="E54" s="94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42"/>
      <c r="Q54" s="42"/>
      <c r="R54" s="42"/>
      <c r="S54" s="42"/>
    </row>
    <row r="55" spans="1:19" x14ac:dyDescent="0.2">
      <c r="A55" s="250" t="str">
        <f>A1</f>
        <v>Year 2014</v>
      </c>
      <c r="B55" s="251"/>
      <c r="C55" s="42"/>
      <c r="D55" s="42"/>
      <c r="E55" s="94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x14ac:dyDescent="0.2">
      <c r="A56" s="42"/>
      <c r="B56" s="42"/>
      <c r="C56" s="42"/>
      <c r="D56" s="42"/>
      <c r="E56" s="94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x14ac:dyDescent="0.2">
      <c r="A57" s="178" t="s">
        <v>0</v>
      </c>
      <c r="B57" s="42"/>
      <c r="C57" s="42"/>
      <c r="D57" s="42"/>
      <c r="E57" s="94"/>
      <c r="F57" s="42"/>
      <c r="G57" s="42"/>
      <c r="H57" s="42"/>
      <c r="I57" s="252"/>
      <c r="J57" s="42"/>
      <c r="K57" s="42"/>
      <c r="L57" s="42"/>
      <c r="M57" s="42"/>
      <c r="N57" s="253" t="s">
        <v>140</v>
      </c>
      <c r="O57" s="42"/>
      <c r="P57" s="42"/>
      <c r="Q57" s="42"/>
      <c r="R57" s="42"/>
      <c r="S57" s="42"/>
    </row>
    <row r="58" spans="1:19" ht="25.5" x14ac:dyDescent="0.2">
      <c r="A58" s="254" t="s">
        <v>128</v>
      </c>
      <c r="B58" s="42"/>
      <c r="C58" s="42"/>
      <c r="D58" s="42"/>
      <c r="E58" s="94"/>
      <c r="F58" s="42"/>
      <c r="G58" s="42"/>
      <c r="H58" s="42"/>
      <c r="I58" s="42"/>
      <c r="J58" s="42"/>
      <c r="K58" s="42"/>
      <c r="L58" s="42"/>
      <c r="M58" s="42"/>
      <c r="N58" s="181" t="s">
        <v>464</v>
      </c>
      <c r="O58" s="188">
        <f>'Y1'!M7</f>
        <v>24</v>
      </c>
      <c r="P58" s="42"/>
      <c r="Q58" s="42"/>
      <c r="R58" s="42"/>
      <c r="S58" s="42"/>
    </row>
    <row r="59" spans="1:19" x14ac:dyDescent="0.2">
      <c r="A59" s="42"/>
      <c r="B59" s="42"/>
      <c r="C59" s="42"/>
      <c r="D59" s="42"/>
      <c r="E59" s="94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25.5" x14ac:dyDescent="0.2">
      <c r="A60" s="255" t="str">
        <f>A6</f>
        <v>YEAR 19 (2nd HALF)</v>
      </c>
      <c r="B60" s="42"/>
      <c r="C60" s="124" t="s">
        <v>57</v>
      </c>
      <c r="D60" s="124" t="s">
        <v>58</v>
      </c>
      <c r="E60" s="94"/>
      <c r="F60" s="256" t="s">
        <v>380</v>
      </c>
      <c r="G60" s="257" t="s">
        <v>521</v>
      </c>
      <c r="H60" s="124" t="s">
        <v>61</v>
      </c>
      <c r="I60" s="124" t="s">
        <v>4</v>
      </c>
      <c r="J60" s="94" t="s">
        <v>200</v>
      </c>
      <c r="K60" s="116" t="s">
        <v>541</v>
      </c>
      <c r="L60" s="124" t="s">
        <v>63</v>
      </c>
      <c r="M60" s="124" t="s">
        <v>64</v>
      </c>
      <c r="N60" s="124"/>
      <c r="O60" s="257" t="s">
        <v>521</v>
      </c>
      <c r="P60" s="42"/>
      <c r="Q60" s="42"/>
      <c r="R60" s="42"/>
      <c r="S60" s="42"/>
    </row>
    <row r="61" spans="1:19" ht="25.5" x14ac:dyDescent="0.2">
      <c r="A61" s="42"/>
      <c r="B61" s="42"/>
      <c r="C61" s="124" t="s">
        <v>66</v>
      </c>
      <c r="D61" s="124" t="s">
        <v>66</v>
      </c>
      <c r="E61" s="94"/>
      <c r="F61" s="256" t="s">
        <v>67</v>
      </c>
      <c r="G61" s="124" t="s">
        <v>27</v>
      </c>
      <c r="H61" s="124" t="s">
        <v>248</v>
      </c>
      <c r="I61" s="94" t="s">
        <v>69</v>
      </c>
      <c r="J61" s="124" t="s">
        <v>70</v>
      </c>
      <c r="K61" s="124" t="s">
        <v>71</v>
      </c>
      <c r="L61" s="124" t="s">
        <v>72</v>
      </c>
      <c r="M61" s="124" t="s">
        <v>72</v>
      </c>
      <c r="N61" s="124" t="s">
        <v>73</v>
      </c>
      <c r="O61" s="124" t="s">
        <v>74</v>
      </c>
      <c r="P61" s="42"/>
      <c r="Q61" s="42"/>
      <c r="R61" s="42"/>
      <c r="S61" s="42"/>
    </row>
    <row r="62" spans="1:19" ht="25.5" x14ac:dyDescent="0.2">
      <c r="A62" s="42" t="s">
        <v>28</v>
      </c>
      <c r="B62" s="42"/>
      <c r="C62" s="124" t="s">
        <v>75</v>
      </c>
      <c r="D62" s="94" t="s">
        <v>359</v>
      </c>
      <c r="E62" s="94"/>
      <c r="F62" s="256" t="s">
        <v>76</v>
      </c>
      <c r="G62" s="124" t="s">
        <v>77</v>
      </c>
      <c r="H62" s="94" t="s">
        <v>247</v>
      </c>
      <c r="I62" s="258" t="s">
        <v>364</v>
      </c>
      <c r="J62" s="124" t="s">
        <v>80</v>
      </c>
      <c r="K62" s="124" t="s">
        <v>81</v>
      </c>
      <c r="L62" s="125" t="str">
        <f>+'Y1'!J13</f>
        <v>(EX. C,                            PG.23C)</v>
      </c>
      <c r="M62" s="94" t="s">
        <v>217</v>
      </c>
      <c r="N62" s="124" t="s">
        <v>72</v>
      </c>
      <c r="O62" s="124" t="s">
        <v>83</v>
      </c>
      <c r="P62" s="42"/>
      <c r="Q62" s="42"/>
      <c r="R62" s="42"/>
      <c r="S62" s="42"/>
    </row>
    <row r="63" spans="1:19" x14ac:dyDescent="0.2">
      <c r="A63" s="42"/>
      <c r="B63" s="42"/>
      <c r="C63" s="126">
        <v>-1</v>
      </c>
      <c r="D63" s="126">
        <v>-2</v>
      </c>
      <c r="E63" s="94"/>
      <c r="F63" s="126">
        <v>-3</v>
      </c>
      <c r="G63" s="126">
        <v>-4</v>
      </c>
      <c r="H63" s="126">
        <v>-5</v>
      </c>
      <c r="I63" s="126">
        <v>-6</v>
      </c>
      <c r="J63" s="126">
        <v>-7</v>
      </c>
      <c r="K63" s="126">
        <v>-8</v>
      </c>
      <c r="L63" s="126">
        <v>-9</v>
      </c>
      <c r="M63" s="126">
        <v>-10</v>
      </c>
      <c r="N63" s="126">
        <v>-11</v>
      </c>
      <c r="O63" s="126">
        <v>-12</v>
      </c>
      <c r="P63" s="42"/>
      <c r="Q63" s="42"/>
      <c r="R63" s="42"/>
      <c r="S63" s="42"/>
    </row>
    <row r="64" spans="1:19" x14ac:dyDescent="0.2">
      <c r="A64" s="42"/>
      <c r="B64" s="42"/>
      <c r="C64" s="124"/>
      <c r="D64" s="124"/>
      <c r="E64" s="94"/>
      <c r="F64" s="124" t="s">
        <v>372</v>
      </c>
      <c r="G64" s="124"/>
      <c r="H64" s="124"/>
      <c r="I64" s="124" t="s">
        <v>85</v>
      </c>
      <c r="J64" s="124"/>
      <c r="K64" s="124" t="s">
        <v>86</v>
      </c>
      <c r="L64" s="124"/>
      <c r="M64" s="124" t="s">
        <v>87</v>
      </c>
      <c r="N64" s="124" t="s">
        <v>88</v>
      </c>
      <c r="O64" s="124" t="s">
        <v>89</v>
      </c>
      <c r="P64" s="42"/>
      <c r="Q64" s="42"/>
      <c r="R64" s="42"/>
      <c r="S64" s="42"/>
    </row>
    <row r="65" spans="1:19" x14ac:dyDescent="0.2">
      <c r="A65" s="42" t="s">
        <v>40</v>
      </c>
      <c r="B65" s="42"/>
      <c r="C65" s="97"/>
      <c r="D65" s="97"/>
      <c r="E65" s="94"/>
      <c r="F65" s="97"/>
      <c r="G65" s="97"/>
      <c r="H65" s="43"/>
      <c r="I65" s="97"/>
      <c r="J65" s="95"/>
      <c r="K65" s="97"/>
      <c r="L65" s="97"/>
      <c r="M65" s="97"/>
      <c r="N65" s="97"/>
      <c r="O65" s="97"/>
      <c r="P65" s="42"/>
      <c r="Q65" s="42"/>
      <c r="R65" s="42"/>
      <c r="S65" s="42"/>
    </row>
    <row r="66" spans="1:19" x14ac:dyDescent="0.2">
      <c r="A66" s="42" t="s">
        <v>41</v>
      </c>
      <c r="B66" s="42"/>
      <c r="C66" s="97">
        <v>0</v>
      </c>
      <c r="D66" s="43">
        <v>0</v>
      </c>
      <c r="E66" s="116" t="s">
        <v>170</v>
      </c>
      <c r="F66" s="79">
        <v>0</v>
      </c>
      <c r="G66" s="77">
        <v>0</v>
      </c>
      <c r="H66" s="43">
        <v>0</v>
      </c>
      <c r="I66" s="81">
        <f>D66*H66</f>
        <v>0</v>
      </c>
      <c r="J66" s="95" t="s">
        <v>38</v>
      </c>
      <c r="K66" s="77">
        <v>0</v>
      </c>
      <c r="L66" s="77">
        <f>+'22a&amp;b'!CR78</f>
        <v>0</v>
      </c>
      <c r="M66" s="77">
        <f>ROUND(G66*0.05,0)</f>
        <v>0</v>
      </c>
      <c r="N66" s="77">
        <f>+L66+M66</f>
        <v>0</v>
      </c>
      <c r="O66" s="77">
        <f>+G66+K66+N66</f>
        <v>0</v>
      </c>
      <c r="P66" s="42"/>
      <c r="Q66" s="42"/>
      <c r="R66" s="42"/>
      <c r="S66" s="42"/>
    </row>
    <row r="67" spans="1:19" x14ac:dyDescent="0.2">
      <c r="A67" s="42" t="s">
        <v>42</v>
      </c>
      <c r="B67" s="42"/>
      <c r="C67" s="97">
        <v>0</v>
      </c>
      <c r="D67" s="43">
        <v>0</v>
      </c>
      <c r="E67" s="116" t="s">
        <v>170</v>
      </c>
      <c r="F67" s="79">
        <v>0</v>
      </c>
      <c r="G67" s="77">
        <v>0</v>
      </c>
      <c r="H67" s="43">
        <v>0</v>
      </c>
      <c r="I67" s="81">
        <f>D67*H67</f>
        <v>0</v>
      </c>
      <c r="J67" s="95" t="s">
        <v>38</v>
      </c>
      <c r="K67" s="77">
        <v>0</v>
      </c>
      <c r="L67" s="77">
        <f>+'22a&amp;b'!CR79</f>
        <v>0</v>
      </c>
      <c r="M67" s="77">
        <f>ROUND(G67*0.05,0)</f>
        <v>0</v>
      </c>
      <c r="N67" s="77">
        <f>+L67+M67</f>
        <v>0</v>
      </c>
      <c r="O67" s="77">
        <f>+G67+K67+N67</f>
        <v>0</v>
      </c>
      <c r="P67" s="42"/>
      <c r="Q67" s="42"/>
      <c r="R67" s="42"/>
      <c r="S67" s="42"/>
    </row>
    <row r="68" spans="1:19" x14ac:dyDescent="0.2">
      <c r="A68" s="42" t="s">
        <v>43</v>
      </c>
      <c r="B68" s="42"/>
      <c r="C68" s="97">
        <v>0</v>
      </c>
      <c r="D68" s="43">
        <v>0</v>
      </c>
      <c r="E68" s="116" t="s">
        <v>170</v>
      </c>
      <c r="F68" s="79">
        <v>0</v>
      </c>
      <c r="G68" s="77">
        <v>0</v>
      </c>
      <c r="H68" s="43">
        <v>0</v>
      </c>
      <c r="I68" s="81">
        <f>D68*H68</f>
        <v>0</v>
      </c>
      <c r="J68" s="95">
        <v>0</v>
      </c>
      <c r="K68" s="77">
        <f>ROUND(I68*J68,0)</f>
        <v>0</v>
      </c>
      <c r="L68" s="77">
        <f>+'22a&amp;b'!CR80</f>
        <v>0</v>
      </c>
      <c r="M68" s="77">
        <f>ROUND(G68*0.05,0)</f>
        <v>0</v>
      </c>
      <c r="N68" s="77">
        <f>+L68+M68</f>
        <v>0</v>
      </c>
      <c r="O68" s="77">
        <f>+G68+K68+N68</f>
        <v>0</v>
      </c>
      <c r="P68" s="42"/>
      <c r="Q68" s="42"/>
      <c r="R68" s="42"/>
      <c r="S68" s="42"/>
    </row>
    <row r="69" spans="1:19" x14ac:dyDescent="0.2">
      <c r="A69" s="42" t="s">
        <v>44</v>
      </c>
      <c r="B69" s="42"/>
      <c r="C69" s="97">
        <v>0</v>
      </c>
      <c r="D69" s="43">
        <v>0</v>
      </c>
      <c r="E69" s="116" t="s">
        <v>170</v>
      </c>
      <c r="F69" s="79">
        <v>0</v>
      </c>
      <c r="G69" s="77">
        <v>0</v>
      </c>
      <c r="H69" s="43">
        <v>0</v>
      </c>
      <c r="I69" s="81">
        <f>D69*H69</f>
        <v>0</v>
      </c>
      <c r="J69" s="95">
        <v>0</v>
      </c>
      <c r="K69" s="77">
        <f>ROUND(I69*J69,0)</f>
        <v>0</v>
      </c>
      <c r="L69" s="77">
        <f>+'22a&amp;b'!CR81</f>
        <v>0</v>
      </c>
      <c r="M69" s="77">
        <f>ROUND(G69*0.05,0)</f>
        <v>0</v>
      </c>
      <c r="N69" s="77">
        <f>+L69+M69</f>
        <v>0</v>
      </c>
      <c r="O69" s="77">
        <f>+G69+K69+N69</f>
        <v>0</v>
      </c>
      <c r="P69" s="42"/>
      <c r="Q69" s="42"/>
      <c r="R69" s="42"/>
      <c r="S69" s="42"/>
    </row>
    <row r="70" spans="1:19" x14ac:dyDescent="0.2">
      <c r="A70" s="42"/>
      <c r="B70" s="42"/>
      <c r="C70" s="97"/>
      <c r="D70" s="43"/>
      <c r="E70" s="94"/>
      <c r="F70" s="79"/>
      <c r="G70" s="77"/>
      <c r="H70" s="43"/>
      <c r="I70" s="81"/>
      <c r="J70" s="95"/>
      <c r="K70" s="77"/>
      <c r="L70" s="77"/>
      <c r="M70" s="77"/>
      <c r="N70" s="77"/>
      <c r="O70" s="77"/>
      <c r="P70" s="42"/>
      <c r="Q70" s="42"/>
      <c r="R70" s="42"/>
      <c r="S70" s="42"/>
    </row>
    <row r="71" spans="1:19" x14ac:dyDescent="0.2">
      <c r="A71" s="42" t="s">
        <v>389</v>
      </c>
      <c r="B71" s="42"/>
      <c r="C71" s="97"/>
      <c r="D71" s="43"/>
      <c r="E71" s="94"/>
      <c r="F71" s="79"/>
      <c r="G71" s="77"/>
      <c r="H71" s="43"/>
      <c r="I71" s="81"/>
      <c r="J71" s="95"/>
      <c r="K71" s="77"/>
      <c r="L71" s="77"/>
      <c r="M71" s="77"/>
      <c r="N71" s="77"/>
      <c r="O71" s="77"/>
      <c r="P71" s="42"/>
      <c r="Q71" s="42"/>
      <c r="R71" s="42"/>
      <c r="S71" s="42"/>
    </row>
    <row r="72" spans="1:19" x14ac:dyDescent="0.2">
      <c r="A72" s="42" t="s">
        <v>390</v>
      </c>
      <c r="B72" s="42"/>
      <c r="C72" s="97">
        <v>0</v>
      </c>
      <c r="D72" s="43">
        <v>3</v>
      </c>
      <c r="E72" s="116" t="s">
        <v>170</v>
      </c>
      <c r="F72" s="79">
        <v>0</v>
      </c>
      <c r="G72" s="77">
        <v>162.80000000000001</v>
      </c>
      <c r="H72" s="43">
        <v>68</v>
      </c>
      <c r="I72" s="81">
        <f>D72*H72</f>
        <v>204</v>
      </c>
      <c r="J72" s="95">
        <v>8.4760000000000002E-2</v>
      </c>
      <c r="K72" s="77">
        <f>ROUND(I72*J72,0)</f>
        <v>17</v>
      </c>
      <c r="L72" s="77">
        <v>0</v>
      </c>
      <c r="M72" s="77">
        <f>ROUND(G72*0.05,0)</f>
        <v>8</v>
      </c>
      <c r="N72" s="77">
        <f>+L72+M72</f>
        <v>8</v>
      </c>
      <c r="O72" s="77">
        <f>+G72+K72+N72</f>
        <v>187.8</v>
      </c>
      <c r="P72" s="42"/>
      <c r="Q72" s="42"/>
      <c r="R72" s="42"/>
      <c r="S72" s="42"/>
    </row>
    <row r="73" spans="1:19" x14ac:dyDescent="0.2">
      <c r="A73" s="42" t="s">
        <v>349</v>
      </c>
      <c r="B73" s="42"/>
      <c r="C73" s="97">
        <v>1</v>
      </c>
      <c r="D73" s="43">
        <v>7</v>
      </c>
      <c r="E73" s="116" t="s">
        <v>170</v>
      </c>
      <c r="F73" s="79">
        <f>ROUND(G73/C73,2)</f>
        <v>816.04</v>
      </c>
      <c r="G73" s="77">
        <v>816.04</v>
      </c>
      <c r="H73" s="43">
        <v>348</v>
      </c>
      <c r="I73" s="81">
        <f>D73*H73</f>
        <v>2436</v>
      </c>
      <c r="J73" s="95">
        <v>8.4669999999999995E-2</v>
      </c>
      <c r="K73" s="77">
        <f>ROUND(I73*J73,0)</f>
        <v>206</v>
      </c>
      <c r="L73" s="77">
        <v>0</v>
      </c>
      <c r="M73" s="77">
        <f>ROUND(G73*0.05,0)</f>
        <v>41</v>
      </c>
      <c r="N73" s="77">
        <f>+L73+M73</f>
        <v>41</v>
      </c>
      <c r="O73" s="77">
        <f>+G73+K73+N73</f>
        <v>1063.04</v>
      </c>
      <c r="P73" s="42"/>
      <c r="Q73" s="42"/>
      <c r="R73" s="42"/>
      <c r="S73" s="123" t="s">
        <v>138</v>
      </c>
    </row>
    <row r="74" spans="1:19" x14ac:dyDescent="0.2">
      <c r="A74" s="42"/>
      <c r="B74" s="42"/>
      <c r="C74" s="97"/>
      <c r="D74" s="43"/>
      <c r="E74" s="94"/>
      <c r="F74" s="79"/>
      <c r="G74" s="77"/>
      <c r="H74" s="43"/>
      <c r="I74" s="81"/>
      <c r="J74" s="95"/>
      <c r="K74" s="77"/>
      <c r="L74" s="77"/>
      <c r="M74" s="77"/>
      <c r="N74" s="77"/>
      <c r="O74" s="77"/>
      <c r="P74" s="42"/>
      <c r="Q74" s="42"/>
      <c r="R74" s="42"/>
      <c r="S74" s="42"/>
    </row>
    <row r="75" spans="1:19" x14ac:dyDescent="0.2">
      <c r="A75" s="42" t="s">
        <v>388</v>
      </c>
      <c r="B75" s="42"/>
      <c r="C75" s="97"/>
      <c r="D75" s="43"/>
      <c r="E75" s="94"/>
      <c r="F75" s="79"/>
      <c r="G75" s="77"/>
      <c r="H75" s="43"/>
      <c r="I75" s="81"/>
      <c r="J75" s="95"/>
      <c r="K75" s="77"/>
      <c r="L75" s="77"/>
      <c r="M75" s="77"/>
      <c r="N75" s="77"/>
      <c r="O75" s="77"/>
      <c r="P75" s="42"/>
      <c r="Q75" s="42"/>
      <c r="R75" s="42"/>
      <c r="S75" s="42"/>
    </row>
    <row r="76" spans="1:19" x14ac:dyDescent="0.2">
      <c r="A76" s="42" t="s">
        <v>208</v>
      </c>
      <c r="B76" s="42"/>
      <c r="C76" s="97">
        <v>0</v>
      </c>
      <c r="D76" s="43">
        <v>9</v>
      </c>
      <c r="E76" s="94" t="s">
        <v>170</v>
      </c>
      <c r="F76" s="79">
        <v>0</v>
      </c>
      <c r="G76" s="77">
        <v>0</v>
      </c>
      <c r="H76" s="43">
        <v>0</v>
      </c>
      <c r="I76" s="81">
        <f>D76*H76</f>
        <v>0</v>
      </c>
      <c r="J76" s="95">
        <v>0</v>
      </c>
      <c r="K76" s="77">
        <f>ROUND(I76*J76,0)</f>
        <v>0</v>
      </c>
      <c r="L76" s="77">
        <f>'22a&amp;b'!CS88</f>
        <v>0</v>
      </c>
      <c r="M76" s="77">
        <f>ROUND(G76*0.05,0)</f>
        <v>0</v>
      </c>
      <c r="N76" s="77">
        <f>+L76+M76</f>
        <v>0</v>
      </c>
      <c r="O76" s="77">
        <f>+G76+K76+N76</f>
        <v>0</v>
      </c>
      <c r="P76" s="42"/>
      <c r="Q76" s="42"/>
      <c r="R76" s="42"/>
      <c r="S76" s="42"/>
    </row>
    <row r="77" spans="1:19" x14ac:dyDescent="0.2">
      <c r="A77" s="42" t="s">
        <v>207</v>
      </c>
      <c r="B77" s="42"/>
      <c r="C77" s="97">
        <v>16</v>
      </c>
      <c r="D77" s="43">
        <v>31</v>
      </c>
      <c r="E77" s="94"/>
      <c r="F77" s="79">
        <f>ROUND(G77/C77,2)</f>
        <v>84.51</v>
      </c>
      <c r="G77" s="77">
        <v>1352.22</v>
      </c>
      <c r="H77" s="43">
        <v>334</v>
      </c>
      <c r="I77" s="81">
        <f>D77*H77</f>
        <v>10354</v>
      </c>
      <c r="J77" s="95">
        <v>8.4610000000000005E-2</v>
      </c>
      <c r="K77" s="77">
        <f>ROUND(I77*J77,0)</f>
        <v>876</v>
      </c>
      <c r="L77" s="77">
        <v>0</v>
      </c>
      <c r="M77" s="77">
        <f>ROUND(G77*0.05,0)</f>
        <v>68</v>
      </c>
      <c r="N77" s="77">
        <f>+L77+M77</f>
        <v>68</v>
      </c>
      <c r="O77" s="77">
        <f>+G77+K77+N77</f>
        <v>2296.2200000000003</v>
      </c>
      <c r="P77" s="42"/>
      <c r="Q77" s="42"/>
      <c r="R77" s="42"/>
      <c r="S77" s="42"/>
    </row>
    <row r="78" spans="1:19" x14ac:dyDescent="0.2">
      <c r="A78" s="42"/>
      <c r="B78" s="42"/>
      <c r="C78" s="97"/>
      <c r="D78" s="43"/>
      <c r="E78" s="94"/>
      <c r="F78" s="79"/>
      <c r="G78" s="77"/>
      <c r="H78" s="43"/>
      <c r="I78" s="81"/>
      <c r="J78" s="95"/>
      <c r="K78" s="77"/>
      <c r="L78" s="77"/>
      <c r="M78" s="77"/>
      <c r="N78" s="77"/>
      <c r="O78" s="77"/>
      <c r="P78" s="42"/>
      <c r="Q78" s="42"/>
      <c r="R78" s="42"/>
      <c r="S78" s="42"/>
    </row>
    <row r="79" spans="1:19" x14ac:dyDescent="0.2">
      <c r="A79" s="42" t="s">
        <v>396</v>
      </c>
      <c r="B79" s="42"/>
      <c r="C79" s="43">
        <v>140</v>
      </c>
      <c r="D79" s="43">
        <v>208</v>
      </c>
      <c r="E79" s="94" t="s">
        <v>170</v>
      </c>
      <c r="F79" s="79">
        <f>ROUND(G79/C79,2)</f>
        <v>4606.95</v>
      </c>
      <c r="G79" s="80">
        <v>644973.19999999995</v>
      </c>
      <c r="H79" s="78">
        <v>9406</v>
      </c>
      <c r="I79" s="81">
        <f>D79*H79</f>
        <v>1956448</v>
      </c>
      <c r="J79" s="95">
        <v>8.2100000000000006E-2</v>
      </c>
      <c r="K79" s="77">
        <f>ROUND(I79*J79,0)</f>
        <v>160624</v>
      </c>
      <c r="L79" s="77">
        <f>+'22a&amp;b'!CS91</f>
        <v>103540</v>
      </c>
      <c r="M79" s="77">
        <v>0</v>
      </c>
      <c r="N79" s="77">
        <f>+L79+M79</f>
        <v>103540</v>
      </c>
      <c r="O79" s="99">
        <f>+G79+K79+N79</f>
        <v>909137.2</v>
      </c>
      <c r="P79" s="42"/>
      <c r="Q79" s="42"/>
      <c r="R79" s="42"/>
      <c r="S79" s="42"/>
    </row>
    <row r="80" spans="1:19" x14ac:dyDescent="0.2">
      <c r="A80" s="42"/>
      <c r="B80" s="42"/>
      <c r="C80" s="43"/>
      <c r="D80" s="43"/>
      <c r="E80" s="94"/>
      <c r="F80" s="79"/>
      <c r="G80" s="80"/>
      <c r="H80" s="78"/>
      <c r="I80" s="81"/>
      <c r="J80" s="95"/>
      <c r="K80" s="77"/>
      <c r="L80" s="77"/>
      <c r="M80" s="77"/>
      <c r="N80" s="77"/>
      <c r="O80" s="77"/>
      <c r="P80" s="42"/>
      <c r="Q80" s="42"/>
      <c r="R80" s="42"/>
      <c r="S80" s="42"/>
    </row>
    <row r="81" spans="1:19" x14ac:dyDescent="0.2">
      <c r="A81" s="42" t="s">
        <v>442</v>
      </c>
      <c r="B81" s="42"/>
      <c r="C81" s="97"/>
      <c r="D81" s="43"/>
      <c r="E81" s="94"/>
      <c r="F81" s="79"/>
      <c r="G81" s="77"/>
      <c r="H81" s="43"/>
      <c r="I81" s="81"/>
      <c r="J81" s="95"/>
      <c r="K81" s="77"/>
      <c r="L81" s="77"/>
      <c r="M81" s="77"/>
      <c r="N81" s="77"/>
      <c r="O81" s="77"/>
      <c r="P81" s="42"/>
      <c r="Q81" s="42"/>
      <c r="R81" s="42"/>
      <c r="S81" s="42"/>
    </row>
    <row r="82" spans="1:19" x14ac:dyDescent="0.2">
      <c r="A82" s="42" t="s">
        <v>208</v>
      </c>
      <c r="B82" s="42"/>
      <c r="C82" s="43">
        <v>0</v>
      </c>
      <c r="D82" s="43">
        <v>0</v>
      </c>
      <c r="E82" s="116" t="s">
        <v>170</v>
      </c>
      <c r="F82" s="79">
        <v>0</v>
      </c>
      <c r="G82" s="80">
        <v>0</v>
      </c>
      <c r="H82" s="78">
        <v>0</v>
      </c>
      <c r="I82" s="81">
        <v>0</v>
      </c>
      <c r="J82" s="95">
        <v>0</v>
      </c>
      <c r="K82" s="77">
        <f>ROUND(I82*J82,0)</f>
        <v>0</v>
      </c>
      <c r="L82" s="77">
        <v>0</v>
      </c>
      <c r="M82" s="77">
        <f>ROUND(G82*0.05,0)</f>
        <v>0</v>
      </c>
      <c r="N82" s="77">
        <v>0</v>
      </c>
      <c r="O82" s="77">
        <f>+G82+K82+N82</f>
        <v>0</v>
      </c>
      <c r="P82" s="42"/>
      <c r="Q82" s="42"/>
      <c r="R82" s="42"/>
      <c r="S82" s="42"/>
    </row>
    <row r="83" spans="1:19" x14ac:dyDescent="0.2">
      <c r="A83" s="42" t="s">
        <v>397</v>
      </c>
      <c r="B83" s="42"/>
      <c r="C83" s="43">
        <v>0</v>
      </c>
      <c r="D83" s="43">
        <v>0</v>
      </c>
      <c r="E83" s="116" t="s">
        <v>170</v>
      </c>
      <c r="F83" s="79">
        <v>0</v>
      </c>
      <c r="G83" s="80">
        <v>0</v>
      </c>
      <c r="H83" s="78">
        <v>0</v>
      </c>
      <c r="I83" s="81">
        <v>0</v>
      </c>
      <c r="J83" s="95">
        <v>0</v>
      </c>
      <c r="K83" s="77">
        <f>ROUND(I83*J83,0)</f>
        <v>0</v>
      </c>
      <c r="L83" s="77">
        <v>0</v>
      </c>
      <c r="M83" s="77">
        <f>ROUND(G83*0.05,0)</f>
        <v>0</v>
      </c>
      <c r="N83" s="77">
        <v>0</v>
      </c>
      <c r="O83" s="77">
        <f>+G83+K83+N83</f>
        <v>0</v>
      </c>
      <c r="P83" s="42"/>
      <c r="Q83" s="42"/>
      <c r="R83" s="42"/>
      <c r="S83" s="42"/>
    </row>
    <row r="84" spans="1:19" x14ac:dyDescent="0.2">
      <c r="A84" s="42"/>
      <c r="B84" s="42"/>
      <c r="C84" s="43"/>
      <c r="D84" s="43"/>
      <c r="E84" s="94"/>
      <c r="F84" s="79"/>
      <c r="G84" s="80"/>
      <c r="H84" s="78"/>
      <c r="I84" s="81"/>
      <c r="J84" s="95"/>
      <c r="K84" s="77"/>
      <c r="L84" s="77"/>
      <c r="M84" s="77"/>
      <c r="N84" s="77"/>
      <c r="O84" s="77"/>
      <c r="P84" s="42"/>
      <c r="Q84" s="42"/>
      <c r="R84" s="42"/>
      <c r="S84" s="42"/>
    </row>
    <row r="85" spans="1:19" x14ac:dyDescent="0.2">
      <c r="A85" s="42" t="s">
        <v>561</v>
      </c>
      <c r="B85" s="42"/>
      <c r="C85" s="97">
        <v>0</v>
      </c>
      <c r="D85" s="43">
        <v>0</v>
      </c>
      <c r="E85" s="116" t="s">
        <v>170</v>
      </c>
      <c r="F85" s="79">
        <v>0</v>
      </c>
      <c r="G85" s="77">
        <v>0</v>
      </c>
      <c r="H85" s="43">
        <v>0</v>
      </c>
      <c r="I85" s="81">
        <v>0</v>
      </c>
      <c r="J85" s="95">
        <v>0</v>
      </c>
      <c r="K85" s="77">
        <f>ROUND(I85*J85,0)</f>
        <v>0</v>
      </c>
      <c r="L85" s="77">
        <v>0</v>
      </c>
      <c r="M85" s="77">
        <f>ROUND(G85*0.05,0)</f>
        <v>0</v>
      </c>
      <c r="N85" s="77">
        <v>0</v>
      </c>
      <c r="O85" s="77">
        <f>+G85+K85+N85</f>
        <v>0</v>
      </c>
      <c r="P85" s="42"/>
      <c r="Q85" s="42"/>
      <c r="R85" s="42"/>
      <c r="S85" s="42"/>
    </row>
    <row r="86" spans="1:19" x14ac:dyDescent="0.2">
      <c r="A86" s="42"/>
      <c r="B86" s="42"/>
      <c r="C86" s="43"/>
      <c r="D86" s="43"/>
      <c r="E86" s="94"/>
      <c r="F86" s="79"/>
      <c r="G86" s="80"/>
      <c r="H86" s="78"/>
      <c r="I86" s="81"/>
      <c r="J86" s="95"/>
      <c r="K86" s="77"/>
      <c r="L86" s="77"/>
      <c r="M86" s="77"/>
      <c r="N86" s="77"/>
      <c r="O86" s="77"/>
      <c r="P86" s="42"/>
      <c r="Q86" s="42"/>
      <c r="R86" s="42"/>
      <c r="S86" s="42"/>
    </row>
    <row r="87" spans="1:19" x14ac:dyDescent="0.2">
      <c r="A87" s="42" t="s">
        <v>505</v>
      </c>
      <c r="B87" s="42"/>
      <c r="C87" s="97">
        <v>0</v>
      </c>
      <c r="D87" s="43">
        <v>0</v>
      </c>
      <c r="E87" s="116" t="s">
        <v>170</v>
      </c>
      <c r="F87" s="79">
        <v>0</v>
      </c>
      <c r="G87" s="77">
        <v>17061.47</v>
      </c>
      <c r="H87" s="43">
        <v>0</v>
      </c>
      <c r="I87" s="81">
        <v>0</v>
      </c>
      <c r="J87" s="95">
        <v>0</v>
      </c>
      <c r="K87" s="77">
        <f>ROUND(I87*J87,0)</f>
        <v>0</v>
      </c>
      <c r="L87" s="77">
        <v>0</v>
      </c>
      <c r="M87" s="77">
        <v>0</v>
      </c>
      <c r="N87" s="77">
        <v>0</v>
      </c>
      <c r="O87" s="77">
        <f>+G87+K87+N87</f>
        <v>17061.47</v>
      </c>
      <c r="P87" s="42"/>
      <c r="Q87" s="42"/>
      <c r="R87" s="42"/>
      <c r="S87" s="42"/>
    </row>
    <row r="88" spans="1:19" x14ac:dyDescent="0.2">
      <c r="A88" s="42"/>
      <c r="B88" s="42"/>
      <c r="C88" s="43" t="s">
        <v>201</v>
      </c>
      <c r="D88" s="43" t="s">
        <v>201</v>
      </c>
      <c r="E88" s="94"/>
      <c r="F88" s="43"/>
      <c r="G88" s="43" t="s">
        <v>201</v>
      </c>
      <c r="H88" s="43"/>
      <c r="I88" s="43" t="s">
        <v>201</v>
      </c>
      <c r="J88" s="43"/>
      <c r="K88" s="43" t="s">
        <v>201</v>
      </c>
      <c r="L88" s="43" t="s">
        <v>201</v>
      </c>
      <c r="M88" s="43" t="s">
        <v>201</v>
      </c>
      <c r="N88" s="43" t="s">
        <v>201</v>
      </c>
      <c r="O88" s="43" t="s">
        <v>201</v>
      </c>
      <c r="P88" s="42"/>
      <c r="Q88" s="42"/>
      <c r="R88" s="42"/>
      <c r="S88" s="42"/>
    </row>
    <row r="89" spans="1:19" x14ac:dyDescent="0.2">
      <c r="A89" s="42" t="s">
        <v>45</v>
      </c>
      <c r="B89" s="42"/>
      <c r="C89" s="259">
        <f>SUM(C66:C87)</f>
        <v>157</v>
      </c>
      <c r="D89" s="259">
        <f>SUM(D66:D87)</f>
        <v>258</v>
      </c>
      <c r="E89" s="94"/>
      <c r="F89" s="97"/>
      <c r="G89" s="77">
        <f>SUM(G66:G87)</f>
        <v>664365.73</v>
      </c>
      <c r="H89" s="43"/>
      <c r="I89" s="259">
        <f>SUM(I66:I87)</f>
        <v>1969442</v>
      </c>
      <c r="J89" s="95"/>
      <c r="K89" s="77">
        <f>SUM(K66:K87)</f>
        <v>161723</v>
      </c>
      <c r="L89" s="77">
        <f>SUM(L66:L87)</f>
        <v>103540</v>
      </c>
      <c r="M89" s="77">
        <f>SUM(M66:M87)</f>
        <v>117</v>
      </c>
      <c r="N89" s="77">
        <f>SUM(N66:N87)</f>
        <v>103657</v>
      </c>
      <c r="O89" s="77">
        <f>SUM(O66:O87)</f>
        <v>929745.73</v>
      </c>
      <c r="P89" s="42"/>
      <c r="Q89" s="42"/>
      <c r="R89" s="42"/>
      <c r="S89" s="42"/>
    </row>
    <row r="90" spans="1:19" x14ac:dyDescent="0.2">
      <c r="A90" s="42"/>
      <c r="B90" s="42"/>
      <c r="C90" s="97" t="s">
        <v>94</v>
      </c>
      <c r="D90" s="97" t="s">
        <v>94</v>
      </c>
      <c r="E90" s="94"/>
      <c r="F90" s="97"/>
      <c r="G90" s="97" t="s">
        <v>94</v>
      </c>
      <c r="H90" s="97"/>
      <c r="I90" s="97" t="s">
        <v>94</v>
      </c>
      <c r="J90" s="97"/>
      <c r="K90" s="97" t="s">
        <v>94</v>
      </c>
      <c r="L90" s="97" t="s">
        <v>94</v>
      </c>
      <c r="M90" s="97" t="s">
        <v>94</v>
      </c>
      <c r="N90" s="97" t="s">
        <v>94</v>
      </c>
      <c r="O90" s="97" t="s">
        <v>94</v>
      </c>
      <c r="P90" s="42"/>
      <c r="Q90" s="42"/>
      <c r="R90" s="42"/>
      <c r="S90" s="42"/>
    </row>
    <row r="91" spans="1:19" x14ac:dyDescent="0.2">
      <c r="A91" s="42"/>
      <c r="B91" s="42"/>
      <c r="C91" s="97"/>
      <c r="D91" s="97"/>
      <c r="E91" s="94"/>
      <c r="F91" s="97"/>
      <c r="G91" s="97"/>
      <c r="H91" s="43"/>
      <c r="I91" s="97"/>
      <c r="J91" s="95"/>
      <c r="K91" s="97"/>
      <c r="L91" s="97"/>
      <c r="M91" s="97"/>
      <c r="N91" s="97"/>
      <c r="O91" s="97"/>
      <c r="P91" s="42"/>
      <c r="Q91" s="42"/>
      <c r="R91" s="42"/>
      <c r="S91" s="42"/>
    </row>
    <row r="92" spans="1:19" x14ac:dyDescent="0.2">
      <c r="A92" s="42"/>
      <c r="B92" s="42"/>
      <c r="C92" s="97"/>
      <c r="D92" s="97"/>
      <c r="E92" s="94"/>
      <c r="F92" s="97"/>
      <c r="G92" s="97"/>
      <c r="H92" s="43"/>
      <c r="I92" s="97"/>
      <c r="J92" s="95"/>
      <c r="K92" s="97"/>
      <c r="L92" s="97"/>
      <c r="M92" s="97"/>
      <c r="N92" s="97"/>
      <c r="O92" s="97"/>
      <c r="P92" s="42"/>
      <c r="Q92" s="42"/>
      <c r="R92" s="42"/>
      <c r="S92" s="42"/>
    </row>
    <row r="93" spans="1:19" x14ac:dyDescent="0.2">
      <c r="A93" s="42" t="s">
        <v>46</v>
      </c>
      <c r="B93" s="42"/>
      <c r="C93" s="97"/>
      <c r="D93" s="97"/>
      <c r="E93" s="94"/>
      <c r="F93" s="97"/>
      <c r="G93" s="97"/>
      <c r="H93" s="43"/>
      <c r="I93" s="97"/>
      <c r="J93" s="95"/>
      <c r="K93" s="97"/>
      <c r="L93" s="97"/>
      <c r="M93" s="97"/>
      <c r="N93" s="97"/>
      <c r="O93" s="97"/>
      <c r="P93" s="42"/>
      <c r="Q93" s="42"/>
      <c r="R93" s="42"/>
      <c r="S93" s="42"/>
    </row>
    <row r="94" spans="1:19" x14ac:dyDescent="0.2">
      <c r="A94" s="188" t="s">
        <v>258</v>
      </c>
      <c r="B94" s="42"/>
      <c r="C94" s="97"/>
      <c r="D94" s="97"/>
      <c r="E94" s="94"/>
      <c r="F94" s="97"/>
      <c r="G94" s="97"/>
      <c r="H94" s="43"/>
      <c r="I94" s="97"/>
      <c r="J94" s="95"/>
      <c r="K94" s="97"/>
      <c r="L94" s="97"/>
      <c r="M94" s="97"/>
      <c r="N94" s="97"/>
      <c r="O94" s="97"/>
      <c r="P94" s="42"/>
      <c r="Q94" s="42"/>
      <c r="R94" s="42"/>
      <c r="S94" s="42"/>
    </row>
    <row r="95" spans="1:19" x14ac:dyDescent="0.2">
      <c r="A95" s="42" t="s">
        <v>41</v>
      </c>
      <c r="B95" s="42"/>
      <c r="C95" s="97">
        <v>0</v>
      </c>
      <c r="D95" s="97">
        <v>0</v>
      </c>
      <c r="E95" s="94"/>
      <c r="F95" s="99">
        <v>0</v>
      </c>
      <c r="G95" s="77">
        <v>0</v>
      </c>
      <c r="H95" s="43">
        <v>0</v>
      </c>
      <c r="I95" s="97">
        <v>0</v>
      </c>
      <c r="J95" s="95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42"/>
      <c r="Q95" s="42"/>
      <c r="R95" s="42"/>
      <c r="S95" s="42"/>
    </row>
    <row r="96" spans="1:19" x14ac:dyDescent="0.2">
      <c r="A96" s="42" t="s">
        <v>48</v>
      </c>
      <c r="B96" s="42"/>
      <c r="C96" s="97">
        <v>0</v>
      </c>
      <c r="D96" s="97">
        <v>0</v>
      </c>
      <c r="E96" s="94"/>
      <c r="F96" s="99">
        <v>0</v>
      </c>
      <c r="G96" s="77">
        <v>0</v>
      </c>
      <c r="H96" s="43">
        <v>0</v>
      </c>
      <c r="I96" s="97">
        <v>0</v>
      </c>
      <c r="J96" s="95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42"/>
      <c r="Q96" s="42"/>
      <c r="R96" s="42"/>
      <c r="S96" s="42"/>
    </row>
    <row r="97" spans="1:19" x14ac:dyDescent="0.2">
      <c r="A97" s="42" t="s">
        <v>49</v>
      </c>
      <c r="B97" s="42"/>
      <c r="C97" s="97">
        <v>0</v>
      </c>
      <c r="D97" s="97">
        <v>0</v>
      </c>
      <c r="E97" s="94"/>
      <c r="F97" s="99">
        <v>0</v>
      </c>
      <c r="G97" s="77">
        <v>0</v>
      </c>
      <c r="H97" s="43">
        <v>0</v>
      </c>
      <c r="I97" s="97">
        <v>0</v>
      </c>
      <c r="J97" s="95">
        <v>0</v>
      </c>
      <c r="K97" s="77">
        <f>ROUND(I97*J97,0)</f>
        <v>0</v>
      </c>
      <c r="L97" s="77">
        <v>0</v>
      </c>
      <c r="M97" s="77">
        <v>0</v>
      </c>
      <c r="N97" s="77">
        <v>0</v>
      </c>
      <c r="O97" s="77">
        <v>0</v>
      </c>
      <c r="P97" s="42"/>
      <c r="Q97" s="42"/>
      <c r="R97" s="42"/>
      <c r="S97" s="42"/>
    </row>
    <row r="98" spans="1:19" x14ac:dyDescent="0.2">
      <c r="A98" s="42" t="s">
        <v>50</v>
      </c>
      <c r="B98" s="42"/>
      <c r="C98" s="97">
        <v>0</v>
      </c>
      <c r="D98" s="97">
        <v>0</v>
      </c>
      <c r="E98" s="94"/>
      <c r="F98" s="99">
        <v>0</v>
      </c>
      <c r="G98" s="77">
        <v>0</v>
      </c>
      <c r="H98" s="43">
        <v>0</v>
      </c>
      <c r="I98" s="97">
        <v>0</v>
      </c>
      <c r="J98" s="95">
        <v>0</v>
      </c>
      <c r="K98" s="77">
        <f>ROUND(I98*J98,0)</f>
        <v>0</v>
      </c>
      <c r="L98" s="77">
        <v>0</v>
      </c>
      <c r="M98" s="77">
        <v>0</v>
      </c>
      <c r="N98" s="77">
        <v>0</v>
      </c>
      <c r="O98" s="77">
        <v>0</v>
      </c>
      <c r="P98" s="42"/>
      <c r="Q98" s="42"/>
      <c r="R98" s="42"/>
      <c r="S98" s="42"/>
    </row>
    <row r="99" spans="1:19" x14ac:dyDescent="0.2">
      <c r="A99" s="42"/>
      <c r="B99" s="42"/>
      <c r="C99" s="43" t="s">
        <v>201</v>
      </c>
      <c r="D99" s="43" t="s">
        <v>201</v>
      </c>
      <c r="E99" s="94"/>
      <c r="F99" s="43"/>
      <c r="G99" s="43" t="s">
        <v>201</v>
      </c>
      <c r="H99" s="43"/>
      <c r="I99" s="43" t="s">
        <v>201</v>
      </c>
      <c r="J99" s="43"/>
      <c r="K99" s="43" t="s">
        <v>201</v>
      </c>
      <c r="L99" s="43" t="s">
        <v>201</v>
      </c>
      <c r="M99" s="43" t="s">
        <v>201</v>
      </c>
      <c r="N99" s="43" t="s">
        <v>201</v>
      </c>
      <c r="O99" s="43" t="s">
        <v>201</v>
      </c>
      <c r="P99" s="42"/>
      <c r="Q99" s="42"/>
      <c r="R99" s="42"/>
      <c r="S99" s="42"/>
    </row>
    <row r="100" spans="1:19" x14ac:dyDescent="0.2">
      <c r="A100" s="42" t="s">
        <v>51</v>
      </c>
      <c r="B100" s="42"/>
      <c r="C100" s="97">
        <v>0</v>
      </c>
      <c r="D100" s="97">
        <v>0</v>
      </c>
      <c r="E100" s="94"/>
      <c r="F100" s="97"/>
      <c r="G100" s="77">
        <v>0</v>
      </c>
      <c r="H100" s="43"/>
      <c r="I100" s="97">
        <v>0</v>
      </c>
      <c r="J100" s="95"/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42"/>
      <c r="Q100" s="42"/>
      <c r="R100" s="42"/>
      <c r="S100" s="42"/>
    </row>
    <row r="101" spans="1:19" x14ac:dyDescent="0.2">
      <c r="A101" s="42"/>
      <c r="B101" s="42"/>
      <c r="C101" s="97" t="s">
        <v>94</v>
      </c>
      <c r="D101" s="97" t="s">
        <v>94</v>
      </c>
      <c r="E101" s="94"/>
      <c r="F101" s="97"/>
      <c r="G101" s="97" t="s">
        <v>94</v>
      </c>
      <c r="H101" s="97"/>
      <c r="I101" s="97" t="s">
        <v>94</v>
      </c>
      <c r="J101" s="97"/>
      <c r="K101" s="97" t="s">
        <v>94</v>
      </c>
      <c r="L101" s="97" t="s">
        <v>94</v>
      </c>
      <c r="M101" s="97" t="s">
        <v>94</v>
      </c>
      <c r="N101" s="97" t="s">
        <v>94</v>
      </c>
      <c r="O101" s="97" t="s">
        <v>94</v>
      </c>
      <c r="P101" s="42"/>
      <c r="Q101" s="42"/>
      <c r="R101" s="42"/>
      <c r="S101" s="42"/>
    </row>
    <row r="102" spans="1:19" x14ac:dyDescent="0.2">
      <c r="A102" s="42" t="s">
        <v>52</v>
      </c>
      <c r="B102" s="42"/>
      <c r="C102" s="43">
        <f>+C52+C89+C100</f>
        <v>223773</v>
      </c>
      <c r="D102" s="43">
        <f>+D52+D89+D100</f>
        <v>155024</v>
      </c>
      <c r="E102" s="94"/>
      <c r="F102" s="97"/>
      <c r="G102" s="80">
        <f>G52+G89+G100</f>
        <v>2256422.7200000002</v>
      </c>
      <c r="H102" s="43"/>
      <c r="I102" s="43">
        <f>+I52+I89+I100</f>
        <v>7667011</v>
      </c>
      <c r="J102" s="95"/>
      <c r="K102" s="80">
        <f>+K52+K89+K100</f>
        <v>489268</v>
      </c>
      <c r="L102" s="77">
        <f>+L52+L89+L100</f>
        <v>298301</v>
      </c>
      <c r="M102" s="77">
        <f>+M52+M89+M100</f>
        <v>3321</v>
      </c>
      <c r="N102" s="77">
        <f>+N52+N89+N100</f>
        <v>301622</v>
      </c>
      <c r="O102" s="77">
        <f>+O52+O89+O100</f>
        <v>3047312.72</v>
      </c>
      <c r="P102" s="42"/>
      <c r="Q102" s="42"/>
      <c r="R102" s="42"/>
      <c r="S102" s="42"/>
    </row>
    <row r="103" spans="1:19" x14ac:dyDescent="0.2">
      <c r="A103" s="42"/>
      <c r="B103" s="42"/>
      <c r="C103" s="97" t="s">
        <v>94</v>
      </c>
      <c r="D103" s="97" t="s">
        <v>94</v>
      </c>
      <c r="E103" s="94"/>
      <c r="F103" s="97"/>
      <c r="G103" s="97" t="s">
        <v>94</v>
      </c>
      <c r="H103" s="97"/>
      <c r="I103" s="97" t="s">
        <v>94</v>
      </c>
      <c r="J103" s="97"/>
      <c r="K103" s="97" t="s">
        <v>94</v>
      </c>
      <c r="L103" s="97" t="s">
        <v>94</v>
      </c>
      <c r="M103" s="97" t="s">
        <v>94</v>
      </c>
      <c r="N103" s="97"/>
      <c r="O103" s="97" t="s">
        <v>94</v>
      </c>
      <c r="P103" s="42"/>
      <c r="Q103" s="42"/>
      <c r="R103" s="42"/>
      <c r="S103" s="42"/>
    </row>
    <row r="104" spans="1:19" x14ac:dyDescent="0.2">
      <c r="A104" s="42"/>
      <c r="B104" s="42"/>
      <c r="C104" s="178" t="s">
        <v>138</v>
      </c>
      <c r="D104" s="42"/>
      <c r="E104" s="94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1:19" x14ac:dyDescent="0.2">
      <c r="A105" s="42" t="s">
        <v>108</v>
      </c>
      <c r="B105" s="42"/>
      <c r="C105" s="42"/>
      <c r="D105" s="42"/>
      <c r="E105" s="94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1:19" x14ac:dyDescent="0.2">
      <c r="A106" t="s">
        <v>422</v>
      </c>
    </row>
  </sheetData>
  <printOptions horizontalCentered="1" verticalCentered="1" gridLines="1"/>
  <pageMargins left="0.7" right="0.7" top="0.75" bottom="0.75" header="0.3" footer="0.3"/>
  <pageSetup scale="56" orientation="landscape" r:id="rId1"/>
  <rowBreaks count="1" manualBreakCount="1">
    <brk id="54" max="14" man="1"/>
  </rowBreaks>
  <colBreaks count="1" manualBreakCount="1">
    <brk id="15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="75" zoomScaleNormal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4" sqref="F44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8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20" x14ac:dyDescent="0.2">
      <c r="A1" s="16" t="s">
        <v>495</v>
      </c>
      <c r="B1" s="14"/>
      <c r="C1" s="42"/>
      <c r="D1" s="42"/>
      <c r="E1" s="94"/>
      <c r="F1" s="42"/>
      <c r="G1" s="42"/>
      <c r="H1" s="42"/>
      <c r="I1" s="42"/>
      <c r="J1" s="42"/>
      <c r="K1" s="42"/>
    </row>
    <row r="2" spans="1:20" x14ac:dyDescent="0.2">
      <c r="C2" s="42"/>
      <c r="D2" s="42"/>
      <c r="E2" s="94"/>
      <c r="F2" s="42"/>
      <c r="G2" s="42"/>
      <c r="H2" s="42"/>
      <c r="I2" s="42"/>
      <c r="J2" s="42"/>
      <c r="K2" s="42"/>
    </row>
    <row r="3" spans="1:20" x14ac:dyDescent="0.2">
      <c r="A3" s="28" t="s">
        <v>0</v>
      </c>
      <c r="H3" s="233"/>
      <c r="I3" s="15"/>
      <c r="N3" s="37" t="s">
        <v>140</v>
      </c>
    </row>
    <row r="4" spans="1:20" ht="25.5" x14ac:dyDescent="0.2">
      <c r="A4" s="36" t="s">
        <v>128</v>
      </c>
      <c r="N4" s="116" t="s">
        <v>537</v>
      </c>
      <c r="O4" s="1">
        <f>+'Y1'!M7</f>
        <v>24</v>
      </c>
    </row>
    <row r="6" spans="1:20" ht="25.5" x14ac:dyDescent="0.2">
      <c r="A6" s="105" t="s">
        <v>494</v>
      </c>
      <c r="C6" s="112" t="s">
        <v>57</v>
      </c>
      <c r="D6" s="112" t="s">
        <v>58</v>
      </c>
      <c r="F6" s="54" t="s">
        <v>380</v>
      </c>
      <c r="G6" s="55" t="s">
        <v>521</v>
      </c>
      <c r="H6" s="112" t="s">
        <v>61</v>
      </c>
      <c r="I6" s="112" t="s">
        <v>4</v>
      </c>
      <c r="J6" s="8" t="s">
        <v>529</v>
      </c>
      <c r="K6" s="8" t="s">
        <v>522</v>
      </c>
      <c r="L6" s="124" t="s">
        <v>63</v>
      </c>
      <c r="M6" s="112" t="s">
        <v>64</v>
      </c>
      <c r="N6" s="112"/>
      <c r="O6" s="55" t="s">
        <v>521</v>
      </c>
    </row>
    <row r="7" spans="1:20" ht="25.5" x14ac:dyDescent="0.2">
      <c r="C7" s="112" t="s">
        <v>66</v>
      </c>
      <c r="D7" s="112" t="s">
        <v>66</v>
      </c>
      <c r="F7" s="54" t="s">
        <v>67</v>
      </c>
      <c r="G7" s="112" t="s">
        <v>27</v>
      </c>
      <c r="H7" s="261" t="s">
        <v>568</v>
      </c>
      <c r="I7" s="8" t="s">
        <v>69</v>
      </c>
      <c r="J7" s="112" t="s">
        <v>70</v>
      </c>
      <c r="K7" s="112" t="s">
        <v>71</v>
      </c>
      <c r="L7" s="124" t="s">
        <v>72</v>
      </c>
      <c r="M7" s="112" t="s">
        <v>72</v>
      </c>
      <c r="N7" s="112" t="s">
        <v>73</v>
      </c>
      <c r="O7" s="112" t="s">
        <v>74</v>
      </c>
    </row>
    <row r="8" spans="1:20" ht="25.5" x14ac:dyDescent="0.2">
      <c r="A8" t="s">
        <v>28</v>
      </c>
      <c r="C8" s="112" t="s">
        <v>75</v>
      </c>
      <c r="D8" s="8" t="s">
        <v>359</v>
      </c>
      <c r="F8" s="54" t="s">
        <v>76</v>
      </c>
      <c r="G8" s="112" t="s">
        <v>77</v>
      </c>
      <c r="H8" s="116" t="s">
        <v>569</v>
      </c>
      <c r="I8" s="52" t="s">
        <v>364</v>
      </c>
      <c r="J8" s="112" t="s">
        <v>80</v>
      </c>
      <c r="K8" s="112" t="s">
        <v>81</v>
      </c>
      <c r="L8" s="125" t="str">
        <f>+'Y1'!J13</f>
        <v>(EX. C,                            PG.23C)</v>
      </c>
      <c r="M8" s="8" t="s">
        <v>217</v>
      </c>
      <c r="N8" s="112" t="s">
        <v>72</v>
      </c>
      <c r="O8" s="112" t="s">
        <v>83</v>
      </c>
    </row>
    <row r="9" spans="1:20" x14ac:dyDescent="0.2">
      <c r="C9" s="7">
        <v>-1</v>
      </c>
      <c r="D9" s="7">
        <v>-2</v>
      </c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126">
        <v>-9</v>
      </c>
      <c r="M9" s="7">
        <v>-10</v>
      </c>
      <c r="N9" s="7">
        <v>-11</v>
      </c>
      <c r="O9" s="7">
        <v>-12</v>
      </c>
    </row>
    <row r="10" spans="1:20" x14ac:dyDescent="0.2">
      <c r="C10" s="25" t="s">
        <v>138</v>
      </c>
      <c r="D10" s="112"/>
      <c r="F10" s="112" t="s">
        <v>372</v>
      </c>
      <c r="G10" s="112"/>
      <c r="H10" s="112"/>
      <c r="I10" s="112" t="s">
        <v>85</v>
      </c>
      <c r="J10" s="112"/>
      <c r="K10" s="112" t="s">
        <v>86</v>
      </c>
      <c r="L10" s="124"/>
      <c r="M10" s="112" t="s">
        <v>87</v>
      </c>
      <c r="N10" s="112" t="s">
        <v>88</v>
      </c>
      <c r="O10" s="112" t="s">
        <v>89</v>
      </c>
    </row>
    <row r="11" spans="1:20" x14ac:dyDescent="0.2">
      <c r="A11" s="42" t="s">
        <v>29</v>
      </c>
      <c r="B11" s="42"/>
      <c r="C11" s="42"/>
      <c r="D11" s="42"/>
      <c r="E11" s="9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x14ac:dyDescent="0.2">
      <c r="A12" s="123" t="s">
        <v>209</v>
      </c>
      <c r="B12" s="42"/>
      <c r="C12" s="43">
        <v>937</v>
      </c>
      <c r="D12" s="43">
        <v>4550</v>
      </c>
      <c r="E12" s="94"/>
      <c r="F12" s="79">
        <f>ROUND(G12/C12,2)</f>
        <v>354.59</v>
      </c>
      <c r="G12" s="80">
        <v>332249.13</v>
      </c>
      <c r="H12" s="43">
        <v>399</v>
      </c>
      <c r="I12" s="81">
        <f>D12*H12</f>
        <v>1815450</v>
      </c>
      <c r="J12" s="95">
        <v>5.7439999999999998E-2</v>
      </c>
      <c r="K12" s="77">
        <f>ROUND(I12*J12,0)</f>
        <v>104279</v>
      </c>
      <c r="L12" s="77">
        <f>'22a&amp;b'!CT32</f>
        <v>14608</v>
      </c>
      <c r="M12" s="77">
        <f>ROUND(G12*0,0)</f>
        <v>0</v>
      </c>
      <c r="N12" s="77">
        <f>+L12+M12</f>
        <v>14608</v>
      </c>
      <c r="O12" s="99">
        <f>+G12+K12+N12</f>
        <v>451136.13</v>
      </c>
      <c r="P12" s="42"/>
      <c r="Q12" s="42"/>
      <c r="R12" s="42"/>
      <c r="S12" s="42"/>
      <c r="T12" s="42"/>
    </row>
    <row r="13" spans="1:20" x14ac:dyDescent="0.2">
      <c r="A13" s="42"/>
      <c r="B13" s="42"/>
      <c r="C13" s="43"/>
      <c r="D13" s="43"/>
      <c r="E13" s="94"/>
      <c r="F13" s="79"/>
      <c r="G13" s="80"/>
      <c r="H13" s="43"/>
      <c r="I13" s="81"/>
      <c r="J13" s="95"/>
      <c r="K13" s="77"/>
      <c r="L13" s="77"/>
      <c r="M13" s="77"/>
      <c r="N13" s="77"/>
      <c r="O13" s="77"/>
      <c r="P13" s="42"/>
      <c r="Q13" s="42"/>
      <c r="R13" s="42"/>
      <c r="S13" s="42"/>
      <c r="T13" s="42"/>
    </row>
    <row r="14" spans="1:20" x14ac:dyDescent="0.2">
      <c r="A14" s="96" t="s">
        <v>261</v>
      </c>
      <c r="B14" s="42"/>
      <c r="C14" s="43"/>
      <c r="D14" s="43"/>
      <c r="E14" s="94"/>
      <c r="F14" s="79"/>
      <c r="G14" s="80"/>
      <c r="H14" s="43"/>
      <c r="I14" s="81"/>
      <c r="J14" s="95"/>
      <c r="K14" s="77"/>
      <c r="L14" s="77"/>
      <c r="M14" s="77"/>
      <c r="N14" s="77"/>
      <c r="O14" s="77"/>
      <c r="P14" s="42"/>
      <c r="Q14" s="42"/>
      <c r="R14" s="42"/>
      <c r="S14" s="42"/>
      <c r="T14" s="42"/>
    </row>
    <row r="15" spans="1:20" x14ac:dyDescent="0.2">
      <c r="A15" s="96" t="s">
        <v>253</v>
      </c>
      <c r="B15" s="42"/>
      <c r="C15" s="43">
        <v>69</v>
      </c>
      <c r="D15" s="43">
        <v>311</v>
      </c>
      <c r="E15" s="94" t="s">
        <v>170</v>
      </c>
      <c r="F15" s="79">
        <f>ROUND(G15/C15,2)</f>
        <v>1984.6</v>
      </c>
      <c r="G15" s="114">
        <v>136937.41</v>
      </c>
      <c r="H15" s="43">
        <v>1131</v>
      </c>
      <c r="I15" s="81">
        <f>D15*H15</f>
        <v>351741</v>
      </c>
      <c r="J15" s="95">
        <v>5.7509999999999999E-2</v>
      </c>
      <c r="K15" s="77">
        <f>ROUND(I15*J15,0)</f>
        <v>20229</v>
      </c>
      <c r="L15" s="77">
        <f>'22a&amp;b'!CT16</f>
        <v>10579</v>
      </c>
      <c r="M15" s="77">
        <f>ROUND(G15*0,0)</f>
        <v>0</v>
      </c>
      <c r="N15" s="77">
        <f>+L15+M15</f>
        <v>10579</v>
      </c>
      <c r="O15" s="77">
        <f>+G15+K15+N15</f>
        <v>167745.41</v>
      </c>
      <c r="P15" s="42"/>
      <c r="Q15" s="42"/>
      <c r="R15" s="42"/>
      <c r="S15" s="42"/>
      <c r="T15" s="42"/>
    </row>
    <row r="16" spans="1:20" x14ac:dyDescent="0.2">
      <c r="A16" s="42" t="s">
        <v>254</v>
      </c>
      <c r="B16" s="42"/>
      <c r="C16" s="43">
        <v>4</v>
      </c>
      <c r="D16" s="43">
        <v>23</v>
      </c>
      <c r="E16" s="94" t="s">
        <v>170</v>
      </c>
      <c r="F16" s="79">
        <f>ROUND(G16/C16,2)</f>
        <v>161.78</v>
      </c>
      <c r="G16" s="80">
        <v>647.13</v>
      </c>
      <c r="H16" s="43">
        <v>217</v>
      </c>
      <c r="I16" s="81">
        <f>D16*H16</f>
        <v>4991</v>
      </c>
      <c r="J16" s="95">
        <v>5.7369999999999997E-2</v>
      </c>
      <c r="K16" s="77">
        <f>ROUND(I16*J16,0)</f>
        <v>286</v>
      </c>
      <c r="L16" s="77">
        <f>'22a&amp;b'!CT17</f>
        <v>5</v>
      </c>
      <c r="M16" s="77">
        <v>0</v>
      </c>
      <c r="N16" s="77">
        <f>+L16+M16</f>
        <v>5</v>
      </c>
      <c r="O16" s="77">
        <f>+G16+K16+N16</f>
        <v>938.13</v>
      </c>
      <c r="P16" s="42"/>
      <c r="Q16" s="42"/>
      <c r="R16" s="42"/>
      <c r="S16" s="42"/>
      <c r="T16" s="42"/>
    </row>
    <row r="17" spans="1:20" x14ac:dyDescent="0.2">
      <c r="A17" s="42"/>
      <c r="B17" s="42"/>
      <c r="C17" s="43"/>
      <c r="D17" s="43"/>
      <c r="E17" s="94"/>
      <c r="F17" s="79"/>
      <c r="G17" s="80"/>
      <c r="H17" s="43"/>
      <c r="I17" s="81"/>
      <c r="J17" s="95"/>
      <c r="K17" s="77"/>
      <c r="L17" s="77"/>
      <c r="M17" s="77"/>
      <c r="N17" s="77"/>
      <c r="O17" s="77"/>
      <c r="P17" s="42"/>
      <c r="Q17" s="42"/>
      <c r="R17" s="42"/>
      <c r="S17" s="42"/>
      <c r="T17" s="42"/>
    </row>
    <row r="18" spans="1:20" x14ac:dyDescent="0.2">
      <c r="A18" s="123" t="s">
        <v>506</v>
      </c>
      <c r="B18" s="42"/>
      <c r="C18" s="43">
        <v>113</v>
      </c>
      <c r="D18" s="43">
        <v>372</v>
      </c>
      <c r="E18" s="94"/>
      <c r="F18" s="79">
        <f t="shared" ref="F18" si="0">ROUND(G18/C18,2)</f>
        <v>385.4</v>
      </c>
      <c r="G18" s="80">
        <v>43550</v>
      </c>
      <c r="H18" s="43">
        <f>1581/2</f>
        <v>790.5</v>
      </c>
      <c r="I18" s="81">
        <f t="shared" ref="I18" si="1">D18*H18</f>
        <v>294066</v>
      </c>
      <c r="J18" s="95">
        <v>5.7480000000000003E-2</v>
      </c>
      <c r="K18" s="77">
        <f t="shared" ref="K18" si="2">ROUND(I18*J18,0)</f>
        <v>16903</v>
      </c>
      <c r="L18" s="77">
        <f>'22a&amp;b'!CT26</f>
        <v>3668</v>
      </c>
      <c r="M18" s="77">
        <v>0</v>
      </c>
      <c r="N18" s="77">
        <f t="shared" ref="N18" si="3">+L18+M18</f>
        <v>3668</v>
      </c>
      <c r="O18" s="77">
        <f t="shared" ref="O18" si="4">+G18+K18+N18</f>
        <v>64121</v>
      </c>
      <c r="P18" s="42"/>
      <c r="Q18" s="42"/>
      <c r="R18" s="42"/>
      <c r="S18" s="42"/>
      <c r="T18" s="42"/>
    </row>
    <row r="19" spans="1:20" x14ac:dyDescent="0.2">
      <c r="A19" s="42"/>
      <c r="B19" s="42"/>
      <c r="C19" s="43"/>
      <c r="D19" s="43"/>
      <c r="E19" s="94"/>
      <c r="F19" s="79"/>
      <c r="G19" s="80"/>
      <c r="H19" s="43"/>
      <c r="I19" s="81"/>
      <c r="J19" s="95"/>
      <c r="K19" s="77"/>
      <c r="L19" s="77"/>
      <c r="M19" s="77"/>
      <c r="N19" s="77"/>
      <c r="O19" s="77"/>
      <c r="P19" s="42"/>
      <c r="Q19" s="42"/>
      <c r="R19" s="42"/>
      <c r="S19" s="42"/>
      <c r="T19" s="42"/>
    </row>
    <row r="20" spans="1:20" x14ac:dyDescent="0.2">
      <c r="A20" s="42" t="s">
        <v>346</v>
      </c>
      <c r="B20" s="42"/>
      <c r="C20" s="43"/>
      <c r="D20" s="43"/>
      <c r="E20" s="94"/>
      <c r="F20" s="79"/>
      <c r="G20" s="80"/>
      <c r="H20" s="43"/>
      <c r="I20" s="81"/>
      <c r="J20" s="95"/>
      <c r="K20" s="77"/>
      <c r="L20" s="77"/>
      <c r="M20" s="77"/>
      <c r="N20" s="77"/>
      <c r="O20" s="77"/>
      <c r="P20" s="42"/>
      <c r="Q20" s="42"/>
      <c r="R20" s="42"/>
      <c r="S20" s="42"/>
      <c r="T20" s="42"/>
    </row>
    <row r="21" spans="1:20" x14ac:dyDescent="0.2">
      <c r="A21" s="96" t="s">
        <v>207</v>
      </c>
      <c r="B21" s="42"/>
      <c r="C21" s="43">
        <v>74</v>
      </c>
      <c r="D21" s="43">
        <v>462</v>
      </c>
      <c r="E21" s="94" t="s">
        <v>170</v>
      </c>
      <c r="F21" s="79">
        <f>ROUND(G21/C21,2)</f>
        <v>524.66</v>
      </c>
      <c r="G21" s="80">
        <v>38825</v>
      </c>
      <c r="H21" s="43">
        <v>719</v>
      </c>
      <c r="I21" s="81">
        <f>D21*H21</f>
        <v>332178</v>
      </c>
      <c r="J21" s="182">
        <v>5.7500000000000002E-2</v>
      </c>
      <c r="K21" s="77">
        <f>ROUND(I21*J21,0)</f>
        <v>19100</v>
      </c>
      <c r="L21" s="77">
        <f>'22a&amp;b'!CT29</f>
        <v>6554</v>
      </c>
      <c r="M21" s="77">
        <v>0</v>
      </c>
      <c r="N21" s="77">
        <f>+L21+M21</f>
        <v>6554</v>
      </c>
      <c r="O21" s="77">
        <f>+G21+K21+N21</f>
        <v>64479</v>
      </c>
      <c r="P21" s="42"/>
      <c r="Q21" s="42"/>
      <c r="R21" s="42"/>
      <c r="S21" s="42"/>
      <c r="T21" s="42"/>
    </row>
    <row r="22" spans="1:20" x14ac:dyDescent="0.2">
      <c r="A22" s="96" t="s">
        <v>208</v>
      </c>
      <c r="B22" s="42"/>
      <c r="C22" s="43">
        <v>0</v>
      </c>
      <c r="D22" s="43">
        <v>0</v>
      </c>
      <c r="E22" s="116" t="s">
        <v>170</v>
      </c>
      <c r="F22" s="79">
        <v>0</v>
      </c>
      <c r="G22" s="80">
        <v>0</v>
      </c>
      <c r="H22" s="43">
        <v>0</v>
      </c>
      <c r="I22" s="81">
        <f>D22*H22</f>
        <v>0</v>
      </c>
      <c r="J22" s="95"/>
      <c r="K22" s="77">
        <f>ROUND(I22*J22,0)</f>
        <v>0</v>
      </c>
      <c r="L22" s="77">
        <f>'22a&amp;b'!CT30</f>
        <v>0</v>
      </c>
      <c r="M22" s="77">
        <v>0</v>
      </c>
      <c r="N22" s="77">
        <f>+L22+M22</f>
        <v>0</v>
      </c>
      <c r="O22" s="77">
        <f>+G22+K22+N22</f>
        <v>0</v>
      </c>
      <c r="P22" s="42"/>
      <c r="Q22" s="42"/>
      <c r="R22" s="42"/>
      <c r="S22" s="42"/>
      <c r="T22" s="42"/>
    </row>
    <row r="23" spans="1:20" x14ac:dyDescent="0.2">
      <c r="A23" s="96"/>
      <c r="B23" s="42"/>
      <c r="C23" s="43"/>
      <c r="D23" s="43"/>
      <c r="E23" s="94"/>
      <c r="F23" s="79"/>
      <c r="G23" s="80"/>
      <c r="H23" s="43"/>
      <c r="I23" s="81"/>
      <c r="J23" s="95"/>
      <c r="K23" s="77"/>
      <c r="L23" s="77"/>
      <c r="M23" s="77"/>
      <c r="N23" s="77"/>
      <c r="O23" s="77"/>
      <c r="P23" s="42"/>
      <c r="Q23" s="42"/>
      <c r="R23" s="42"/>
      <c r="S23" s="42"/>
      <c r="T23" s="42"/>
    </row>
    <row r="24" spans="1:20" s="42" customFormat="1" x14ac:dyDescent="0.2">
      <c r="A24" s="42" t="s">
        <v>348</v>
      </c>
      <c r="C24" s="43">
        <v>335</v>
      </c>
      <c r="D24" s="43">
        <v>791</v>
      </c>
      <c r="E24" s="116" t="s">
        <v>170</v>
      </c>
      <c r="F24" s="79">
        <f>ROUND(G24/C24,2)</f>
        <v>449.31</v>
      </c>
      <c r="G24" s="80">
        <v>150517.5</v>
      </c>
      <c r="H24" s="78">
        <v>521</v>
      </c>
      <c r="I24" s="81">
        <f>D24*H24</f>
        <v>412111</v>
      </c>
      <c r="J24" s="95">
        <v>5.7459999999999997E-2</v>
      </c>
      <c r="K24" s="77">
        <f>ROUND(I24*J24,0)</f>
        <v>23680</v>
      </c>
      <c r="L24" s="77">
        <f>'22a&amp;b'!CT34</f>
        <v>12050</v>
      </c>
      <c r="M24" s="77">
        <v>0</v>
      </c>
      <c r="N24" s="77">
        <f>L24+M24</f>
        <v>12050</v>
      </c>
      <c r="O24" s="77">
        <f>+G24+K24+N24</f>
        <v>186247.5</v>
      </c>
    </row>
    <row r="25" spans="1:20" x14ac:dyDescent="0.2">
      <c r="A25" s="96"/>
      <c r="B25" s="42"/>
      <c r="C25" s="43"/>
      <c r="D25" s="43"/>
      <c r="E25" s="94"/>
      <c r="F25" s="79"/>
      <c r="G25" s="80"/>
      <c r="H25" s="78"/>
      <c r="I25" s="81"/>
      <c r="J25" s="95"/>
      <c r="K25" s="272"/>
      <c r="L25" s="77"/>
      <c r="M25" s="77"/>
      <c r="N25" s="77"/>
      <c r="O25" s="77"/>
      <c r="P25" s="42"/>
      <c r="Q25" s="42"/>
      <c r="R25" s="42"/>
      <c r="S25" s="42"/>
      <c r="T25" s="42"/>
    </row>
    <row r="26" spans="1:20" x14ac:dyDescent="0.2">
      <c r="A26" s="177" t="s">
        <v>350</v>
      </c>
      <c r="B26" s="42"/>
      <c r="C26" s="43">
        <v>583</v>
      </c>
      <c r="D26" s="43">
        <v>517</v>
      </c>
      <c r="E26" s="116" t="s">
        <v>170</v>
      </c>
      <c r="F26" s="79">
        <f>ROUND(G26/C26,2)</f>
        <v>11.88</v>
      </c>
      <c r="G26" s="80">
        <v>6926.4</v>
      </c>
      <c r="H26" s="78">
        <v>34</v>
      </c>
      <c r="I26" s="81">
        <f>D26*H26</f>
        <v>17578</v>
      </c>
      <c r="J26" s="95">
        <v>5.6919999999999998E-2</v>
      </c>
      <c r="K26" s="77">
        <f>ROUND(I26*J26,0)</f>
        <v>1001</v>
      </c>
      <c r="L26" s="77">
        <f>'22a&amp;b'!CT38</f>
        <v>810</v>
      </c>
      <c r="M26" s="77">
        <v>0</v>
      </c>
      <c r="N26" s="77">
        <f>+L26+M26</f>
        <v>810</v>
      </c>
      <c r="O26" s="77">
        <f>+G26+K26+N26</f>
        <v>8737.4</v>
      </c>
      <c r="P26" s="42"/>
      <c r="Q26" s="42"/>
      <c r="R26" s="42"/>
      <c r="S26" s="42"/>
      <c r="T26" s="42"/>
    </row>
    <row r="27" spans="1:20" x14ac:dyDescent="0.2">
      <c r="A27" s="96"/>
      <c r="B27" s="42"/>
      <c r="C27" s="43"/>
      <c r="D27" s="43"/>
      <c r="E27" s="94"/>
      <c r="F27" s="79"/>
      <c r="G27" s="80"/>
      <c r="H27" s="43"/>
      <c r="I27" s="81"/>
      <c r="J27" s="95"/>
      <c r="K27" s="77"/>
      <c r="L27" s="77"/>
      <c r="M27" s="77"/>
      <c r="N27" s="77"/>
      <c r="O27" s="77"/>
      <c r="P27" s="42"/>
      <c r="Q27" s="42"/>
      <c r="R27" s="42"/>
      <c r="S27" s="42"/>
      <c r="T27" s="42"/>
    </row>
    <row r="28" spans="1:20" x14ac:dyDescent="0.2">
      <c r="A28" s="96" t="s">
        <v>351</v>
      </c>
      <c r="B28" s="42"/>
      <c r="C28" s="43">
        <v>2477</v>
      </c>
      <c r="D28" s="43">
        <v>6486</v>
      </c>
      <c r="E28" s="94" t="s">
        <v>170</v>
      </c>
      <c r="F28" s="79">
        <f>ROUND(G28/C28,2)</f>
        <v>10.68</v>
      </c>
      <c r="G28" s="80">
        <v>26455.29</v>
      </c>
      <c r="H28" s="78">
        <v>22</v>
      </c>
      <c r="I28" s="81">
        <f>D28*H28</f>
        <v>142692</v>
      </c>
      <c r="J28" s="95">
        <v>5.7860000000000002E-2</v>
      </c>
      <c r="K28" s="77">
        <f>ROUND(I28*J28,0)</f>
        <v>8256</v>
      </c>
      <c r="L28" s="77">
        <f>'22a&amp;b'!CT40</f>
        <v>1883</v>
      </c>
      <c r="M28" s="77">
        <v>0</v>
      </c>
      <c r="N28" s="77">
        <f>+L28+M28</f>
        <v>1883</v>
      </c>
      <c r="O28" s="77">
        <f>+G28+K28+N28</f>
        <v>36594.29</v>
      </c>
      <c r="P28" s="42"/>
      <c r="Q28" s="42"/>
      <c r="R28" s="42"/>
      <c r="S28" s="42"/>
      <c r="T28" s="42"/>
    </row>
    <row r="29" spans="1:20" x14ac:dyDescent="0.2">
      <c r="A29" s="96"/>
      <c r="B29" s="42"/>
      <c r="C29" s="43"/>
      <c r="D29" s="43"/>
      <c r="E29" s="94"/>
      <c r="F29" s="79"/>
      <c r="G29" s="80"/>
      <c r="H29" s="78"/>
      <c r="I29" s="81"/>
      <c r="J29" s="95"/>
      <c r="K29" s="77"/>
      <c r="L29" s="77"/>
      <c r="M29" s="77"/>
      <c r="N29" s="77"/>
      <c r="O29" s="77"/>
      <c r="P29" s="42"/>
      <c r="Q29" s="42"/>
      <c r="R29" s="42"/>
      <c r="S29" s="42"/>
      <c r="T29" s="42"/>
    </row>
    <row r="30" spans="1:20" x14ac:dyDescent="0.2">
      <c r="A30" s="96" t="s">
        <v>386</v>
      </c>
      <c r="B30" s="42"/>
      <c r="C30" s="43"/>
      <c r="D30" s="43"/>
      <c r="E30" s="94"/>
      <c r="F30" s="79"/>
      <c r="G30" s="80"/>
      <c r="H30" s="78"/>
      <c r="I30" s="81"/>
      <c r="J30" s="95"/>
      <c r="K30" s="77"/>
      <c r="L30" s="77"/>
      <c r="M30" s="77"/>
      <c r="N30" s="77"/>
      <c r="O30" s="77"/>
      <c r="P30" s="42"/>
      <c r="Q30" s="42"/>
      <c r="R30" s="42"/>
      <c r="S30" s="42"/>
      <c r="T30" s="42"/>
    </row>
    <row r="31" spans="1:20" x14ac:dyDescent="0.2">
      <c r="A31" s="42" t="s">
        <v>387</v>
      </c>
      <c r="B31" s="42"/>
      <c r="C31" s="43">
        <v>227199</v>
      </c>
      <c r="D31" s="43">
        <v>135126</v>
      </c>
      <c r="E31" s="94" t="s">
        <v>170</v>
      </c>
      <c r="F31" s="79">
        <f>ROUND(G31/C31,2)</f>
        <v>1.72</v>
      </c>
      <c r="G31" s="114">
        <v>389672.66</v>
      </c>
      <c r="H31" s="78">
        <v>12</v>
      </c>
      <c r="I31" s="81">
        <f>D31*H31</f>
        <v>1621512</v>
      </c>
      <c r="J31" s="95">
        <v>5.7669999999999999E-2</v>
      </c>
      <c r="K31" s="77">
        <f>ROUND(I31*J31,0)</f>
        <v>93513</v>
      </c>
      <c r="L31" s="77">
        <f>'22a&amp;b'!CT43</f>
        <v>152223</v>
      </c>
      <c r="M31" s="77">
        <v>0</v>
      </c>
      <c r="N31" s="77">
        <f>+L31+M31</f>
        <v>152223</v>
      </c>
      <c r="O31" s="99">
        <f>+G31+K31+N31</f>
        <v>635408.65999999992</v>
      </c>
      <c r="P31" s="42"/>
      <c r="Q31" s="42"/>
      <c r="R31" s="42"/>
      <c r="S31" s="42"/>
      <c r="T31" s="42"/>
    </row>
    <row r="32" spans="1:20" x14ac:dyDescent="0.2">
      <c r="A32" s="42" t="s">
        <v>458</v>
      </c>
      <c r="B32" s="42"/>
      <c r="C32" s="43">
        <v>1667</v>
      </c>
      <c r="D32" s="43">
        <v>5682</v>
      </c>
      <c r="E32" s="116" t="s">
        <v>170</v>
      </c>
      <c r="F32" s="79">
        <f>ROUND(G32/C32,2)</f>
        <v>3.51</v>
      </c>
      <c r="G32" s="80">
        <v>5857.58</v>
      </c>
      <c r="H32" s="78">
        <v>17</v>
      </c>
      <c r="I32" s="81">
        <f>D32*H32</f>
        <v>96594</v>
      </c>
      <c r="J32" s="95">
        <v>5.611E-2</v>
      </c>
      <c r="K32" s="77">
        <f>ROUND(I32*J32,0)</f>
        <v>5420</v>
      </c>
      <c r="L32" s="77">
        <f>'22a&amp;b'!CT44</f>
        <v>1500</v>
      </c>
      <c r="M32" s="77">
        <v>0</v>
      </c>
      <c r="N32" s="77">
        <f>+L32+M32</f>
        <v>1500</v>
      </c>
      <c r="O32" s="77">
        <f>+G32+K32+N32</f>
        <v>12777.58</v>
      </c>
      <c r="P32" s="42"/>
      <c r="Q32" s="42"/>
      <c r="R32" s="42"/>
      <c r="S32" s="42"/>
      <c r="T32" s="42"/>
    </row>
    <row r="33" spans="1:20" x14ac:dyDescent="0.2">
      <c r="A33" s="42" t="s">
        <v>398</v>
      </c>
      <c r="B33" s="42"/>
      <c r="C33" s="43">
        <v>7869</v>
      </c>
      <c r="D33" s="43">
        <v>3363</v>
      </c>
      <c r="E33" s="116" t="s">
        <v>170</v>
      </c>
      <c r="F33" s="79">
        <f t="shared" ref="F33:F39" si="5">ROUND(G33/C33,2)</f>
        <v>5.42</v>
      </c>
      <c r="G33" s="80">
        <v>42614.5</v>
      </c>
      <c r="H33" s="78">
        <v>16</v>
      </c>
      <c r="I33" s="81">
        <f>D33*H33</f>
        <v>53808</v>
      </c>
      <c r="J33" s="95">
        <v>5.6750000000000002E-2</v>
      </c>
      <c r="K33" s="77">
        <f>ROUND(I33*J33,0)</f>
        <v>3054</v>
      </c>
      <c r="L33" s="77">
        <v>0</v>
      </c>
      <c r="M33" s="77">
        <f>ROUND(G33*0.05,0)</f>
        <v>2131</v>
      </c>
      <c r="N33" s="77">
        <f>+L33+M33</f>
        <v>2131</v>
      </c>
      <c r="O33" s="77">
        <f>+G33+K33+N33</f>
        <v>47799.5</v>
      </c>
      <c r="P33" s="42"/>
      <c r="Q33" s="42"/>
      <c r="R33" s="42"/>
      <c r="S33" s="42"/>
      <c r="T33" s="42"/>
    </row>
    <row r="34" spans="1:20" x14ac:dyDescent="0.2">
      <c r="A34" s="123" t="s">
        <v>509</v>
      </c>
      <c r="B34" s="42"/>
      <c r="C34" s="43">
        <v>2854</v>
      </c>
      <c r="D34" s="43">
        <v>1124</v>
      </c>
      <c r="E34" s="116" t="s">
        <v>170</v>
      </c>
      <c r="F34" s="79">
        <f t="shared" si="5"/>
        <v>5.47</v>
      </c>
      <c r="G34" s="80">
        <v>15607.97</v>
      </c>
      <c r="H34" s="78">
        <v>16</v>
      </c>
      <c r="I34" s="81">
        <f t="shared" ref="I34:I38" si="6">D34*H34</f>
        <v>17984</v>
      </c>
      <c r="J34" s="95">
        <v>5.806E-2</v>
      </c>
      <c r="K34" s="77">
        <f>ROUND(I34*J34,0)</f>
        <v>1044</v>
      </c>
      <c r="L34" s="77">
        <f>'22a&amp;b'!CT46</f>
        <v>2169</v>
      </c>
      <c r="M34" s="77">
        <v>0</v>
      </c>
      <c r="N34" s="77">
        <f t="shared" ref="N34:N39" si="7">+L34+M34</f>
        <v>2169</v>
      </c>
      <c r="O34" s="77">
        <f t="shared" ref="O34:O39" si="8">+G34+K34+N34</f>
        <v>18820.97</v>
      </c>
      <c r="P34" s="42"/>
      <c r="Q34" s="42"/>
      <c r="R34" s="42"/>
      <c r="S34" s="42"/>
      <c r="T34" s="42"/>
    </row>
    <row r="35" spans="1:20" x14ac:dyDescent="0.2">
      <c r="A35" s="123" t="s">
        <v>510</v>
      </c>
      <c r="B35" s="42"/>
      <c r="C35" s="43">
        <v>67</v>
      </c>
      <c r="D35" s="43">
        <v>16</v>
      </c>
      <c r="E35" s="116" t="s">
        <v>170</v>
      </c>
      <c r="F35" s="79">
        <f t="shared" si="5"/>
        <v>77.42</v>
      </c>
      <c r="G35" s="80">
        <v>5186.88</v>
      </c>
      <c r="H35" s="78">
        <v>30</v>
      </c>
      <c r="I35" s="81">
        <f t="shared" si="6"/>
        <v>480</v>
      </c>
      <c r="J35" s="95">
        <v>5.6950000000000001E-2</v>
      </c>
      <c r="K35" s="77">
        <f t="shared" ref="K35:K38" si="9">ROUND(I35*J35,0)</f>
        <v>27</v>
      </c>
      <c r="L35" s="77">
        <v>0</v>
      </c>
      <c r="M35" s="77">
        <f t="shared" ref="M35:M38" si="10">ROUND(G35*0.05,0)</f>
        <v>259</v>
      </c>
      <c r="N35" s="77">
        <f t="shared" si="7"/>
        <v>259</v>
      </c>
      <c r="O35" s="77">
        <f t="shared" si="8"/>
        <v>5472.88</v>
      </c>
      <c r="P35" s="42"/>
      <c r="Q35" s="42"/>
      <c r="R35" s="42"/>
      <c r="S35" s="42"/>
      <c r="T35" s="42"/>
    </row>
    <row r="36" spans="1:20" x14ac:dyDescent="0.2">
      <c r="A36" s="123" t="s">
        <v>511</v>
      </c>
      <c r="B36" s="42"/>
      <c r="C36" s="43">
        <v>48</v>
      </c>
      <c r="D36" s="43">
        <v>10</v>
      </c>
      <c r="E36" s="116" t="s">
        <v>170</v>
      </c>
      <c r="F36" s="79">
        <f t="shared" si="5"/>
        <v>37.67</v>
      </c>
      <c r="G36" s="80">
        <v>1807.98</v>
      </c>
      <c r="H36" s="78">
        <v>31</v>
      </c>
      <c r="I36" s="81">
        <f t="shared" si="6"/>
        <v>310</v>
      </c>
      <c r="J36" s="95">
        <v>5.7049999999999997E-2</v>
      </c>
      <c r="K36" s="77">
        <f t="shared" si="9"/>
        <v>18</v>
      </c>
      <c r="L36" s="77">
        <f>'22a&amp;b'!CT48</f>
        <v>3</v>
      </c>
      <c r="M36" s="77">
        <v>0</v>
      </c>
      <c r="N36" s="77">
        <f t="shared" si="7"/>
        <v>3</v>
      </c>
      <c r="O36" s="77">
        <f t="shared" si="8"/>
        <v>1828.98</v>
      </c>
      <c r="P36" s="42"/>
      <c r="Q36" s="42"/>
      <c r="R36" s="42"/>
      <c r="S36" s="42"/>
      <c r="T36" s="42"/>
    </row>
    <row r="37" spans="1:20" x14ac:dyDescent="0.2">
      <c r="A37" s="123" t="s">
        <v>512</v>
      </c>
      <c r="B37" s="42"/>
      <c r="C37" s="43">
        <v>52</v>
      </c>
      <c r="D37" s="43">
        <v>9</v>
      </c>
      <c r="E37" s="116" t="s">
        <v>170</v>
      </c>
      <c r="F37" s="79">
        <f t="shared" si="5"/>
        <v>91.26</v>
      </c>
      <c r="G37" s="80">
        <v>4745.5600000000004</v>
      </c>
      <c r="H37" s="78">
        <v>5</v>
      </c>
      <c r="I37" s="81">
        <f t="shared" si="6"/>
        <v>45</v>
      </c>
      <c r="J37" s="95">
        <v>5.3330000000000002E-2</v>
      </c>
      <c r="K37" s="77">
        <f t="shared" si="9"/>
        <v>2</v>
      </c>
      <c r="L37" s="77">
        <v>0</v>
      </c>
      <c r="M37" s="77">
        <f t="shared" si="10"/>
        <v>237</v>
      </c>
      <c r="N37" s="77">
        <f t="shared" si="7"/>
        <v>237</v>
      </c>
      <c r="O37" s="77">
        <f t="shared" si="8"/>
        <v>4984.5600000000004</v>
      </c>
      <c r="P37" s="42"/>
      <c r="Q37" s="42"/>
      <c r="R37" s="42"/>
      <c r="S37" s="42"/>
      <c r="T37" s="42"/>
    </row>
    <row r="38" spans="1:20" x14ac:dyDescent="0.2">
      <c r="A38" s="123" t="s">
        <v>513</v>
      </c>
      <c r="B38" s="42"/>
      <c r="C38" s="43">
        <v>7</v>
      </c>
      <c r="D38" s="43">
        <v>1</v>
      </c>
      <c r="E38" s="116" t="s">
        <v>170</v>
      </c>
      <c r="F38" s="79">
        <f t="shared" si="5"/>
        <v>110.67</v>
      </c>
      <c r="G38" s="80">
        <v>774.66</v>
      </c>
      <c r="H38" s="78">
        <v>7</v>
      </c>
      <c r="I38" s="81">
        <f t="shared" si="6"/>
        <v>7</v>
      </c>
      <c r="J38" s="95">
        <v>0.06</v>
      </c>
      <c r="K38" s="77">
        <f t="shared" si="9"/>
        <v>0</v>
      </c>
      <c r="L38" s="77">
        <v>0</v>
      </c>
      <c r="M38" s="77">
        <f t="shared" si="10"/>
        <v>39</v>
      </c>
      <c r="N38" s="77">
        <f t="shared" si="7"/>
        <v>39</v>
      </c>
      <c r="O38" s="77">
        <f t="shared" si="8"/>
        <v>813.66</v>
      </c>
      <c r="P38" s="42"/>
      <c r="Q38" s="42"/>
      <c r="R38" s="42"/>
      <c r="S38" s="42"/>
      <c r="T38" s="42"/>
    </row>
    <row r="39" spans="1:20" x14ac:dyDescent="0.2">
      <c r="A39" s="123" t="s">
        <v>514</v>
      </c>
      <c r="B39" s="42"/>
      <c r="C39" s="43">
        <v>1</v>
      </c>
      <c r="D39" s="43">
        <v>0</v>
      </c>
      <c r="E39" s="116" t="s">
        <v>170</v>
      </c>
      <c r="F39" s="79">
        <f t="shared" si="5"/>
        <v>802.05</v>
      </c>
      <c r="G39" s="80">
        <v>802.05</v>
      </c>
      <c r="H39" s="78">
        <v>717</v>
      </c>
      <c r="I39" s="81">
        <f>D39*H39</f>
        <v>0</v>
      </c>
      <c r="J39" s="95">
        <v>5.7529999999999998E-2</v>
      </c>
      <c r="K39" s="77">
        <f>ROUND(I39*J39,0)</f>
        <v>0</v>
      </c>
      <c r="L39" s="77">
        <f>'22a&amp;b'!CT51</f>
        <v>4</v>
      </c>
      <c r="M39" s="77">
        <v>0</v>
      </c>
      <c r="N39" s="77">
        <f t="shared" si="7"/>
        <v>4</v>
      </c>
      <c r="O39" s="77">
        <f t="shared" si="8"/>
        <v>806.05</v>
      </c>
      <c r="P39" s="42"/>
      <c r="Q39" s="42"/>
      <c r="R39" s="42"/>
      <c r="S39" s="42"/>
      <c r="T39" s="42"/>
    </row>
    <row r="40" spans="1:20" x14ac:dyDescent="0.2">
      <c r="A40" s="96"/>
      <c r="B40" s="42"/>
      <c r="C40" s="43"/>
      <c r="D40" s="43"/>
      <c r="E40" s="94"/>
      <c r="F40" s="79"/>
      <c r="G40" s="80"/>
      <c r="H40" s="78"/>
      <c r="I40" s="81"/>
      <c r="J40" s="95"/>
      <c r="K40" s="77"/>
      <c r="L40" s="77"/>
      <c r="M40" s="77"/>
      <c r="N40" s="77"/>
      <c r="O40" s="77"/>
      <c r="P40" s="42"/>
      <c r="Q40" s="42"/>
      <c r="R40" s="42"/>
      <c r="S40" s="42"/>
      <c r="T40" s="42"/>
    </row>
    <row r="41" spans="1:20" x14ac:dyDescent="0.2">
      <c r="A41" s="96" t="s">
        <v>388</v>
      </c>
      <c r="B41" s="42"/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  <c r="P41" s="42"/>
      <c r="Q41" s="42"/>
      <c r="R41" s="42"/>
      <c r="S41" s="42"/>
      <c r="T41" s="42"/>
    </row>
    <row r="42" spans="1:20" x14ac:dyDescent="0.2">
      <c r="A42" s="42" t="s">
        <v>208</v>
      </c>
      <c r="B42" s="42"/>
      <c r="C42" s="43">
        <v>0</v>
      </c>
      <c r="D42" s="43">
        <v>96</v>
      </c>
      <c r="E42" s="94" t="s">
        <v>170</v>
      </c>
      <c r="F42" s="79">
        <v>0</v>
      </c>
      <c r="G42" s="80">
        <v>0</v>
      </c>
      <c r="H42" s="78">
        <v>0</v>
      </c>
      <c r="I42" s="81">
        <f>D42*H42</f>
        <v>0</v>
      </c>
      <c r="J42" s="95">
        <v>0</v>
      </c>
      <c r="K42" s="77">
        <f>ROUND(I42*J42,0)</f>
        <v>0</v>
      </c>
      <c r="L42" s="77">
        <v>0</v>
      </c>
      <c r="M42" s="77">
        <f>ROUND(G42*0.05,0)</f>
        <v>0</v>
      </c>
      <c r="N42" s="77">
        <f>+L42+M42</f>
        <v>0</v>
      </c>
      <c r="O42" s="77">
        <f>+G42+K42+N42</f>
        <v>0</v>
      </c>
      <c r="P42" s="42"/>
      <c r="Q42" s="42"/>
      <c r="R42" s="42"/>
      <c r="S42" s="42"/>
      <c r="T42" s="42"/>
    </row>
    <row r="43" spans="1:20" x14ac:dyDescent="0.2">
      <c r="A43" s="42" t="s">
        <v>207</v>
      </c>
      <c r="B43" s="42"/>
      <c r="C43" s="43">
        <v>0</v>
      </c>
      <c r="D43" s="43">
        <v>256</v>
      </c>
      <c r="E43" s="116" t="s">
        <v>170</v>
      </c>
      <c r="F43" s="79">
        <v>0</v>
      </c>
      <c r="G43" s="80">
        <v>0</v>
      </c>
      <c r="H43" s="78">
        <v>142</v>
      </c>
      <c r="I43" s="81">
        <f>D43*H43</f>
        <v>36352</v>
      </c>
      <c r="J43" s="95">
        <v>5.7459999999999997E-2</v>
      </c>
      <c r="K43" s="77">
        <f>ROUND(I43*J43,0)</f>
        <v>2089</v>
      </c>
      <c r="L43" s="77">
        <v>0</v>
      </c>
      <c r="M43" s="77">
        <f>ROUND(G43*0.05,0)</f>
        <v>0</v>
      </c>
      <c r="N43" s="77">
        <f>+L43+M43</f>
        <v>0</v>
      </c>
      <c r="O43" s="77">
        <f>+G43+K43+N43</f>
        <v>2089</v>
      </c>
      <c r="P43" s="42"/>
      <c r="Q43" s="42"/>
      <c r="R43" s="42"/>
      <c r="S43" s="42"/>
      <c r="T43" s="42"/>
    </row>
    <row r="44" spans="1:20" x14ac:dyDescent="0.2">
      <c r="A44" s="42"/>
      <c r="B44" s="42"/>
      <c r="C44" s="43"/>
      <c r="D44" s="43"/>
      <c r="E44" s="94"/>
      <c r="F44" s="79"/>
      <c r="G44" s="80"/>
      <c r="H44" s="78"/>
      <c r="I44" s="81"/>
      <c r="J44" s="95"/>
      <c r="K44" s="77"/>
      <c r="L44" s="77"/>
      <c r="M44" s="77"/>
      <c r="N44" s="77"/>
      <c r="O44" s="77"/>
      <c r="P44" s="42"/>
      <c r="Q44" s="42"/>
      <c r="R44" s="42"/>
      <c r="S44" s="42"/>
      <c r="T44" s="42"/>
    </row>
    <row r="45" spans="1:20" x14ac:dyDescent="0.2">
      <c r="A45" s="42" t="s">
        <v>441</v>
      </c>
      <c r="B45" s="42"/>
      <c r="C45" s="43"/>
      <c r="D45" s="43"/>
      <c r="E45" s="94"/>
      <c r="F45" s="79"/>
      <c r="G45" s="80"/>
      <c r="H45" s="78"/>
      <c r="I45" s="81"/>
      <c r="J45" s="95"/>
      <c r="K45" s="77"/>
      <c r="L45" s="77"/>
      <c r="M45" s="77"/>
      <c r="N45" s="77"/>
      <c r="O45" s="77"/>
      <c r="P45" s="42"/>
      <c r="Q45" s="42"/>
      <c r="R45" s="42"/>
      <c r="S45" s="42"/>
      <c r="T45" s="42"/>
    </row>
    <row r="46" spans="1:20" x14ac:dyDescent="0.2">
      <c r="A46" s="42" t="s">
        <v>208</v>
      </c>
      <c r="B46" s="42"/>
      <c r="C46" s="43">
        <v>0</v>
      </c>
      <c r="D46" s="43">
        <v>0</v>
      </c>
      <c r="E46" s="116" t="s">
        <v>170</v>
      </c>
      <c r="F46" s="79">
        <v>0</v>
      </c>
      <c r="G46" s="80">
        <v>0</v>
      </c>
      <c r="H46" s="78">
        <v>0</v>
      </c>
      <c r="I46" s="81">
        <f>D46*H46</f>
        <v>0</v>
      </c>
      <c r="J46" s="95">
        <v>0</v>
      </c>
      <c r="K46" s="77">
        <f>ROUND(I46*J46,0)</f>
        <v>0</v>
      </c>
      <c r="L46" s="77">
        <f>+'22a&amp;b'!CR60</f>
        <v>0</v>
      </c>
      <c r="M46" s="77">
        <v>0</v>
      </c>
      <c r="N46" s="77">
        <f>+L46+M46</f>
        <v>0</v>
      </c>
      <c r="O46" s="77">
        <f>+G46+K46+N46</f>
        <v>0</v>
      </c>
      <c r="P46" s="42"/>
      <c r="Q46" s="42"/>
      <c r="R46" s="42"/>
      <c r="S46" s="42"/>
      <c r="T46" s="42"/>
    </row>
    <row r="47" spans="1:20" x14ac:dyDescent="0.2">
      <c r="A47" s="42" t="s">
        <v>397</v>
      </c>
      <c r="B47" s="42"/>
      <c r="C47" s="43">
        <v>0</v>
      </c>
      <c r="D47" s="43">
        <v>0</v>
      </c>
      <c r="E47" s="116" t="s">
        <v>170</v>
      </c>
      <c r="F47" s="79">
        <v>0</v>
      </c>
      <c r="G47" s="80">
        <v>0</v>
      </c>
      <c r="H47" s="78">
        <v>0</v>
      </c>
      <c r="I47" s="81">
        <f>D47*H47</f>
        <v>0</v>
      </c>
      <c r="J47" s="95">
        <v>0</v>
      </c>
      <c r="K47" s="77">
        <f>ROUND(I47*J47,0)</f>
        <v>0</v>
      </c>
      <c r="L47" s="77">
        <f>+'22a&amp;b'!CR61</f>
        <v>0</v>
      </c>
      <c r="M47" s="77">
        <v>0</v>
      </c>
      <c r="N47" s="77">
        <f>+L47+M47</f>
        <v>0</v>
      </c>
      <c r="O47" s="77">
        <f>+G47+K47+N47</f>
        <v>0</v>
      </c>
      <c r="P47" s="42"/>
      <c r="Q47" s="42"/>
      <c r="R47" s="42"/>
      <c r="S47" s="42"/>
      <c r="T47" s="42"/>
    </row>
    <row r="48" spans="1:20" x14ac:dyDescent="0.2">
      <c r="A48" s="42"/>
      <c r="B48" s="42"/>
      <c r="C48" s="42"/>
      <c r="D48" s="42"/>
      <c r="E48" s="9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2"/>
      <c r="R48" s="42"/>
      <c r="S48" s="42"/>
      <c r="T48" s="42"/>
    </row>
    <row r="49" spans="1:20" x14ac:dyDescent="0.2">
      <c r="A49" s="42"/>
      <c r="B49" s="42"/>
      <c r="C49" s="43"/>
      <c r="D49" s="43"/>
      <c r="E49" s="94"/>
      <c r="F49" s="79"/>
      <c r="G49" s="80"/>
      <c r="H49" s="78"/>
      <c r="I49" s="81"/>
      <c r="J49" s="95"/>
      <c r="K49" s="77"/>
      <c r="L49" s="77"/>
      <c r="M49" s="77"/>
      <c r="N49" s="77"/>
      <c r="O49" s="77"/>
      <c r="P49" s="42"/>
      <c r="Q49" s="42"/>
      <c r="R49" s="42"/>
      <c r="S49" s="42"/>
      <c r="T49" s="42"/>
    </row>
    <row r="50" spans="1:20" x14ac:dyDescent="0.2">
      <c r="A50" s="42" t="s">
        <v>505</v>
      </c>
      <c r="B50" s="42"/>
      <c r="C50" s="97">
        <v>0</v>
      </c>
      <c r="D50" s="43">
        <v>0</v>
      </c>
      <c r="E50" s="116" t="s">
        <v>170</v>
      </c>
      <c r="F50" s="79">
        <v>0</v>
      </c>
      <c r="G50" s="77">
        <v>125142.69</v>
      </c>
      <c r="H50" s="43">
        <v>0</v>
      </c>
      <c r="I50" s="81">
        <v>0</v>
      </c>
      <c r="J50" s="95">
        <v>0</v>
      </c>
      <c r="K50" s="77">
        <v>0</v>
      </c>
      <c r="L50" s="77">
        <v>0</v>
      </c>
      <c r="M50" s="77">
        <v>0</v>
      </c>
      <c r="N50" s="77">
        <v>0</v>
      </c>
      <c r="O50" s="99">
        <f>+G50+K50+N50</f>
        <v>125142.69</v>
      </c>
      <c r="P50" s="42"/>
      <c r="Q50" s="42"/>
      <c r="R50" s="42"/>
      <c r="S50" s="249"/>
      <c r="T50" s="42"/>
    </row>
    <row r="51" spans="1:20" x14ac:dyDescent="0.2">
      <c r="A51" s="42"/>
      <c r="B51" s="42"/>
      <c r="C51" s="97"/>
      <c r="D51" s="43"/>
      <c r="E51" s="116"/>
      <c r="F51" s="79"/>
      <c r="G51" s="77"/>
      <c r="H51" s="43"/>
      <c r="I51" s="81"/>
      <c r="J51" s="95"/>
      <c r="K51" s="77"/>
      <c r="L51" s="77"/>
      <c r="M51" s="77"/>
      <c r="N51" s="77"/>
      <c r="O51" s="77"/>
      <c r="P51" s="42"/>
      <c r="Q51" s="42"/>
      <c r="R51" s="42"/>
      <c r="S51" s="249"/>
      <c r="T51" s="42"/>
    </row>
    <row r="52" spans="1:20" x14ac:dyDescent="0.2">
      <c r="A52" s="123" t="s">
        <v>515</v>
      </c>
      <c r="B52" s="42"/>
      <c r="C52" s="43"/>
      <c r="D52" s="43"/>
      <c r="E52" s="94"/>
      <c r="F52" s="79"/>
      <c r="G52" s="80"/>
      <c r="H52" s="78"/>
      <c r="I52" s="81"/>
      <c r="J52" s="95"/>
      <c r="K52" s="77"/>
      <c r="L52" s="77"/>
      <c r="M52" s="77"/>
      <c r="N52" s="77"/>
      <c r="O52" s="77"/>
      <c r="P52" s="42"/>
      <c r="Q52" s="42"/>
      <c r="R52" s="42"/>
      <c r="S52" s="42"/>
      <c r="T52" s="42"/>
    </row>
    <row r="53" spans="1:20" x14ac:dyDescent="0.2">
      <c r="A53" s="123" t="s">
        <v>516</v>
      </c>
      <c r="B53" s="42"/>
      <c r="C53" s="43">
        <v>30000</v>
      </c>
      <c r="D53" s="43">
        <v>0</v>
      </c>
      <c r="E53" s="116" t="s">
        <v>170</v>
      </c>
      <c r="F53" s="79">
        <f t="shared" ref="F53" si="11">ROUND(G53/C53,2)</f>
        <v>9.1</v>
      </c>
      <c r="G53" s="80">
        <v>273000</v>
      </c>
      <c r="H53" s="78">
        <v>103</v>
      </c>
      <c r="I53" s="81">
        <f>D53*H53</f>
        <v>0</v>
      </c>
      <c r="J53" s="95">
        <v>5.7369999999999997E-2</v>
      </c>
      <c r="K53" s="77">
        <f>ROUND(I53*J53,0)</f>
        <v>0</v>
      </c>
      <c r="L53" s="77">
        <f>'22a&amp;b'!CT63</f>
        <v>16200</v>
      </c>
      <c r="M53" s="77">
        <v>0</v>
      </c>
      <c r="N53" s="77">
        <f>+L53+M53</f>
        <v>16200</v>
      </c>
      <c r="O53" s="77">
        <f>+G53+K53+N53</f>
        <v>289200</v>
      </c>
      <c r="P53" s="42"/>
      <c r="Q53" s="42"/>
      <c r="R53" s="42"/>
      <c r="S53" s="42"/>
      <c r="T53" s="42"/>
    </row>
    <row r="54" spans="1:20" x14ac:dyDescent="0.2">
      <c r="A54" s="42"/>
      <c r="B54" s="42"/>
      <c r="C54" s="43"/>
      <c r="D54" s="43"/>
      <c r="E54" s="94"/>
      <c r="F54" s="43"/>
      <c r="G54" s="43"/>
      <c r="H54" s="97"/>
      <c r="I54" s="43"/>
      <c r="J54" s="95"/>
      <c r="K54" s="43"/>
      <c r="L54" s="43"/>
      <c r="M54" s="43"/>
      <c r="N54" s="43"/>
      <c r="O54" s="43"/>
      <c r="P54" s="42"/>
      <c r="Q54" s="42"/>
      <c r="R54" s="42"/>
      <c r="S54" s="42"/>
      <c r="T54" s="42"/>
    </row>
    <row r="55" spans="1:20" x14ac:dyDescent="0.2">
      <c r="A55" s="123" t="s">
        <v>517</v>
      </c>
      <c r="B55" s="42"/>
      <c r="C55" s="43"/>
      <c r="D55" s="43"/>
      <c r="E55" s="94"/>
      <c r="F55" s="79"/>
      <c r="G55" s="80"/>
      <c r="H55" s="78"/>
      <c r="I55" s="81"/>
      <c r="J55" s="95"/>
      <c r="K55" s="77"/>
      <c r="L55" s="77"/>
      <c r="M55" s="77"/>
      <c r="N55" s="77"/>
      <c r="O55" s="77"/>
      <c r="P55" s="42"/>
      <c r="Q55" s="42"/>
      <c r="R55" s="42"/>
      <c r="S55" s="42"/>
      <c r="T55" s="42"/>
    </row>
    <row r="56" spans="1:20" x14ac:dyDescent="0.2">
      <c r="A56" s="123" t="s">
        <v>518</v>
      </c>
      <c r="B56" s="42"/>
      <c r="C56" s="43">
        <v>136</v>
      </c>
      <c r="D56" s="43">
        <v>0</v>
      </c>
      <c r="E56" s="116" t="s">
        <v>170</v>
      </c>
      <c r="F56" s="79">
        <f t="shared" ref="F56" si="12">ROUND(G56/C56,2)</f>
        <v>92.17</v>
      </c>
      <c r="G56" s="80">
        <v>12535.76</v>
      </c>
      <c r="H56" s="78">
        <v>363</v>
      </c>
      <c r="I56" s="81">
        <f>D56*H56</f>
        <v>0</v>
      </c>
      <c r="J56" s="95">
        <v>5.7430000000000002E-2</v>
      </c>
      <c r="K56" s="77">
        <f>ROUND(I56*J56,0)</f>
        <v>0</v>
      </c>
      <c r="L56" s="77">
        <f>'22a&amp;b'!CT65</f>
        <v>1005</v>
      </c>
      <c r="M56" s="77">
        <v>0</v>
      </c>
      <c r="N56" s="77">
        <f>+L56+M56</f>
        <v>1005</v>
      </c>
      <c r="O56" s="99">
        <f>+G56+K56+N56</f>
        <v>13540.76</v>
      </c>
      <c r="P56" s="42"/>
      <c r="Q56" s="42"/>
      <c r="R56" s="42"/>
      <c r="S56" s="42"/>
      <c r="T56" s="42"/>
    </row>
    <row r="57" spans="1:20" x14ac:dyDescent="0.2">
      <c r="A57" s="42"/>
      <c r="B57" s="42"/>
      <c r="C57" s="43" t="s">
        <v>201</v>
      </c>
      <c r="D57" s="43" t="s">
        <v>201</v>
      </c>
      <c r="E57" s="94"/>
      <c r="F57" s="43"/>
      <c r="G57" s="43" t="s">
        <v>201</v>
      </c>
      <c r="H57" s="97"/>
      <c r="I57" s="43" t="s">
        <v>201</v>
      </c>
      <c r="J57" s="95"/>
      <c r="K57" s="43" t="s">
        <v>201</v>
      </c>
      <c r="L57" s="43" t="s">
        <v>201</v>
      </c>
      <c r="M57" s="43" t="s">
        <v>201</v>
      </c>
      <c r="N57" s="43" t="s">
        <v>201</v>
      </c>
      <c r="O57" s="43" t="s">
        <v>201</v>
      </c>
      <c r="P57" s="42"/>
      <c r="Q57" s="42"/>
      <c r="R57" s="42"/>
      <c r="S57" s="42"/>
      <c r="T57" s="42"/>
    </row>
    <row r="58" spans="1:20" x14ac:dyDescent="0.2">
      <c r="A58" s="42" t="s">
        <v>39</v>
      </c>
      <c r="B58" s="42"/>
      <c r="C58" s="43">
        <f>SUM(C12:C57)</f>
        <v>274492</v>
      </c>
      <c r="D58" s="43">
        <f>SUM(D12:D57)</f>
        <v>159195</v>
      </c>
      <c r="E58" s="94"/>
      <c r="F58" s="97"/>
      <c r="G58" s="80">
        <f>SUM(G12:G57)</f>
        <v>1613856.15</v>
      </c>
      <c r="H58" s="43"/>
      <c r="I58" s="43">
        <f>SUM(I12:I57)</f>
        <v>5197899</v>
      </c>
      <c r="J58" s="95"/>
      <c r="K58" s="80">
        <f>SUM(K12:K57)</f>
        <v>298901</v>
      </c>
      <c r="L58" s="80">
        <f>SUM(L12:L57)</f>
        <v>223261</v>
      </c>
      <c r="M58" s="80">
        <f>SUM(M12:M57)</f>
        <v>2666</v>
      </c>
      <c r="N58" s="80">
        <f>SUM(N12:N57)</f>
        <v>225927</v>
      </c>
      <c r="O58" s="80">
        <f>SUM(O12:O57)</f>
        <v>2138684.1499999994</v>
      </c>
      <c r="P58" s="42"/>
      <c r="Q58" s="42"/>
      <c r="R58" s="42"/>
      <c r="S58" s="42"/>
      <c r="T58" s="42"/>
    </row>
    <row r="59" spans="1:20" x14ac:dyDescent="0.2">
      <c r="A59" s="42"/>
      <c r="B59" s="42"/>
      <c r="C59" s="97" t="s">
        <v>94</v>
      </c>
      <c r="D59" s="97" t="s">
        <v>94</v>
      </c>
      <c r="E59" s="94"/>
      <c r="F59" s="97"/>
      <c r="G59" s="97" t="s">
        <v>94</v>
      </c>
      <c r="H59" s="97"/>
      <c r="I59" s="97" t="s">
        <v>94</v>
      </c>
      <c r="J59" s="97"/>
      <c r="K59" s="97" t="s">
        <v>94</v>
      </c>
      <c r="L59" s="97" t="s">
        <v>94</v>
      </c>
      <c r="M59" s="97" t="s">
        <v>94</v>
      </c>
      <c r="N59" s="97" t="s">
        <v>94</v>
      </c>
      <c r="O59" s="97" t="s">
        <v>94</v>
      </c>
      <c r="P59" s="42"/>
      <c r="Q59" s="42"/>
      <c r="R59" s="42"/>
      <c r="S59" s="42"/>
      <c r="T59" s="42"/>
    </row>
    <row r="60" spans="1:20" x14ac:dyDescent="0.2">
      <c r="A60" s="42"/>
      <c r="B60" s="42"/>
      <c r="C60" s="97"/>
      <c r="D60" s="97"/>
      <c r="E60" s="94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42"/>
      <c r="Q60" s="42"/>
      <c r="R60" s="42"/>
      <c r="S60" s="42"/>
      <c r="T60" s="42"/>
    </row>
    <row r="61" spans="1:20" x14ac:dyDescent="0.2">
      <c r="A61" s="250" t="str">
        <f>A1</f>
        <v>Year 2015</v>
      </c>
      <c r="B61" s="251"/>
      <c r="C61" s="42"/>
      <c r="D61" s="42"/>
      <c r="E61" s="94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x14ac:dyDescent="0.2">
      <c r="A62" s="42"/>
      <c r="B62" s="42"/>
      <c r="C62" s="42"/>
      <c r="D62" s="42"/>
      <c r="E62" s="9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x14ac:dyDescent="0.2">
      <c r="A63" s="178" t="s">
        <v>0</v>
      </c>
      <c r="B63" s="42"/>
      <c r="C63" s="42"/>
      <c r="D63" s="42"/>
      <c r="E63" s="94"/>
      <c r="F63" s="42"/>
      <c r="G63" s="42"/>
      <c r="H63" s="42"/>
      <c r="I63" s="252"/>
      <c r="J63" s="42"/>
      <c r="K63" s="42"/>
      <c r="L63" s="42"/>
      <c r="M63" s="42"/>
      <c r="N63" s="253" t="s">
        <v>140</v>
      </c>
      <c r="O63" s="42"/>
      <c r="P63" s="42"/>
      <c r="Q63" s="42"/>
      <c r="R63" s="42"/>
      <c r="S63" s="42"/>
      <c r="T63" s="42"/>
    </row>
    <row r="64" spans="1:20" ht="25.5" x14ac:dyDescent="0.2">
      <c r="A64" s="254" t="s">
        <v>128</v>
      </c>
      <c r="B64" s="42"/>
      <c r="C64" s="42"/>
      <c r="D64" s="42"/>
      <c r="E64" s="94"/>
      <c r="F64" s="42"/>
      <c r="G64" s="42"/>
      <c r="H64" s="42"/>
      <c r="I64" s="42"/>
      <c r="J64" s="42"/>
      <c r="K64" s="42"/>
      <c r="L64" s="42"/>
      <c r="M64" s="42"/>
      <c r="N64" s="181" t="s">
        <v>524</v>
      </c>
      <c r="O64" s="188">
        <f>'Y1'!M7</f>
        <v>24</v>
      </c>
      <c r="P64" s="42"/>
      <c r="Q64" s="42"/>
      <c r="R64" s="42"/>
      <c r="S64" s="42"/>
      <c r="T64" s="42"/>
    </row>
    <row r="65" spans="1:20" x14ac:dyDescent="0.2">
      <c r="A65" s="42"/>
      <c r="B65" s="42"/>
      <c r="C65" s="42"/>
      <c r="D65" s="42"/>
      <c r="E65" s="94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5.5" x14ac:dyDescent="0.2">
      <c r="A66" s="255" t="str">
        <f>A6</f>
        <v>YEAR 20 (1st HALF)</v>
      </c>
      <c r="B66" s="42"/>
      <c r="C66" s="124" t="s">
        <v>57</v>
      </c>
      <c r="D66" s="124" t="s">
        <v>58</v>
      </c>
      <c r="E66" s="94"/>
      <c r="F66" s="256" t="s">
        <v>380</v>
      </c>
      <c r="G66" s="257" t="s">
        <v>521</v>
      </c>
      <c r="H66" s="124" t="s">
        <v>61</v>
      </c>
      <c r="I66" s="124" t="s">
        <v>4</v>
      </c>
      <c r="J66" s="94" t="s">
        <v>529</v>
      </c>
      <c r="K66" s="94" t="s">
        <v>522</v>
      </c>
      <c r="L66" s="124" t="s">
        <v>63</v>
      </c>
      <c r="M66" s="124" t="s">
        <v>64</v>
      </c>
      <c r="N66" s="124"/>
      <c r="O66" s="257" t="s">
        <v>521</v>
      </c>
      <c r="P66" s="42"/>
      <c r="Q66" s="42"/>
      <c r="R66" s="42"/>
      <c r="S66" s="42"/>
      <c r="T66" s="42"/>
    </row>
    <row r="67" spans="1:20" ht="25.5" x14ac:dyDescent="0.2">
      <c r="A67" s="42"/>
      <c r="B67" s="42"/>
      <c r="C67" s="124" t="s">
        <v>66</v>
      </c>
      <c r="D67" s="124" t="s">
        <v>66</v>
      </c>
      <c r="E67" s="94"/>
      <c r="F67" s="256" t="s">
        <v>67</v>
      </c>
      <c r="G67" s="124" t="s">
        <v>27</v>
      </c>
      <c r="H67" s="124" t="s">
        <v>248</v>
      </c>
      <c r="I67" s="94" t="s">
        <v>69</v>
      </c>
      <c r="J67" s="124" t="s">
        <v>70</v>
      </c>
      <c r="K67" s="124" t="s">
        <v>71</v>
      </c>
      <c r="L67" s="124" t="s">
        <v>72</v>
      </c>
      <c r="M67" s="124" t="s">
        <v>72</v>
      </c>
      <c r="N67" s="124" t="s">
        <v>73</v>
      </c>
      <c r="O67" s="124" t="s">
        <v>74</v>
      </c>
      <c r="P67" s="42"/>
      <c r="Q67" s="42"/>
      <c r="R67" s="42"/>
      <c r="S67" s="42"/>
      <c r="T67" s="42"/>
    </row>
    <row r="68" spans="1:20" ht="25.5" x14ac:dyDescent="0.2">
      <c r="A68" s="42" t="s">
        <v>28</v>
      </c>
      <c r="B68" s="42"/>
      <c r="C68" s="124" t="s">
        <v>75</v>
      </c>
      <c r="D68" s="94" t="s">
        <v>359</v>
      </c>
      <c r="E68" s="94"/>
      <c r="F68" s="256" t="s">
        <v>76</v>
      </c>
      <c r="G68" s="124" t="s">
        <v>77</v>
      </c>
      <c r="H68" s="94" t="s">
        <v>247</v>
      </c>
      <c r="I68" s="258" t="s">
        <v>364</v>
      </c>
      <c r="J68" s="124" t="s">
        <v>80</v>
      </c>
      <c r="K68" s="124" t="s">
        <v>81</v>
      </c>
      <c r="L68" s="125" t="s">
        <v>482</v>
      </c>
      <c r="M68" s="94" t="s">
        <v>217</v>
      </c>
      <c r="N68" s="124" t="s">
        <v>72</v>
      </c>
      <c r="O68" s="124" t="s">
        <v>83</v>
      </c>
      <c r="P68" s="42"/>
      <c r="Q68" s="42"/>
      <c r="R68" s="42"/>
      <c r="S68" s="42"/>
      <c r="T68" s="42"/>
    </row>
    <row r="69" spans="1:20" x14ac:dyDescent="0.2">
      <c r="A69" s="42"/>
      <c r="B69" s="42"/>
      <c r="C69" s="126">
        <v>-1</v>
      </c>
      <c r="D69" s="126">
        <v>-2</v>
      </c>
      <c r="E69" s="94"/>
      <c r="F69" s="126">
        <v>-3</v>
      </c>
      <c r="G69" s="126">
        <v>-4</v>
      </c>
      <c r="H69" s="126">
        <v>-5</v>
      </c>
      <c r="I69" s="126">
        <v>-6</v>
      </c>
      <c r="J69" s="126">
        <v>-7</v>
      </c>
      <c r="K69" s="126">
        <v>-8</v>
      </c>
      <c r="L69" s="126">
        <v>-9</v>
      </c>
      <c r="M69" s="126">
        <v>-10</v>
      </c>
      <c r="N69" s="126">
        <v>-11</v>
      </c>
      <c r="O69" s="126">
        <v>-12</v>
      </c>
      <c r="P69" s="42"/>
      <c r="Q69" s="42"/>
      <c r="R69" s="42"/>
      <c r="S69" s="42"/>
      <c r="T69" s="42"/>
    </row>
    <row r="70" spans="1:20" x14ac:dyDescent="0.2">
      <c r="A70" s="42"/>
      <c r="B70" s="42"/>
      <c r="C70" s="124"/>
      <c r="D70" s="124"/>
      <c r="E70" s="94"/>
      <c r="F70" s="124" t="s">
        <v>372</v>
      </c>
      <c r="G70" s="124"/>
      <c r="H70" s="124"/>
      <c r="I70" s="124" t="s">
        <v>85</v>
      </c>
      <c r="J70" s="124"/>
      <c r="K70" s="124" t="s">
        <v>86</v>
      </c>
      <c r="L70" s="124"/>
      <c r="M70" s="124" t="s">
        <v>87</v>
      </c>
      <c r="N70" s="124" t="s">
        <v>88</v>
      </c>
      <c r="O70" s="124" t="s">
        <v>89</v>
      </c>
      <c r="P70" s="42"/>
      <c r="Q70" s="42"/>
      <c r="R70" s="42"/>
      <c r="S70" s="42"/>
      <c r="T70" s="42"/>
    </row>
    <row r="71" spans="1:20" x14ac:dyDescent="0.2">
      <c r="A71" s="42" t="s">
        <v>40</v>
      </c>
      <c r="B71" s="42"/>
      <c r="C71" s="97"/>
      <c r="D71" s="97"/>
      <c r="E71" s="94"/>
      <c r="F71" s="97"/>
      <c r="G71" s="97"/>
      <c r="H71" s="43"/>
      <c r="I71" s="97"/>
      <c r="J71" s="95"/>
      <c r="K71" s="97"/>
      <c r="L71" s="97"/>
      <c r="M71" s="97"/>
      <c r="N71" s="97"/>
      <c r="O71" s="97"/>
      <c r="P71" s="42"/>
      <c r="Q71" s="42"/>
      <c r="R71" s="42"/>
      <c r="S71" s="42"/>
      <c r="T71" s="42"/>
    </row>
    <row r="72" spans="1:20" x14ac:dyDescent="0.2">
      <c r="A72" s="42" t="s">
        <v>41</v>
      </c>
      <c r="B72" s="42"/>
      <c r="C72" s="97">
        <v>0</v>
      </c>
      <c r="D72" s="43">
        <v>0</v>
      </c>
      <c r="E72" s="116" t="s">
        <v>170</v>
      </c>
      <c r="F72" s="79">
        <v>0</v>
      </c>
      <c r="G72" s="77">
        <v>0</v>
      </c>
      <c r="H72" s="43">
        <v>0</v>
      </c>
      <c r="I72" s="81">
        <f>D72*H72</f>
        <v>0</v>
      </c>
      <c r="J72" s="95" t="s">
        <v>38</v>
      </c>
      <c r="K72" s="77">
        <v>0</v>
      </c>
      <c r="L72" s="77">
        <f>+'22a&amp;b'!CR78</f>
        <v>0</v>
      </c>
      <c r="M72" s="77">
        <f>G72*0.05</f>
        <v>0</v>
      </c>
      <c r="N72" s="77">
        <f>+L72+M72</f>
        <v>0</v>
      </c>
      <c r="O72" s="77">
        <f>+G72+K72+N72</f>
        <v>0</v>
      </c>
      <c r="P72" s="42"/>
      <c r="Q72" s="42"/>
      <c r="R72" s="42"/>
      <c r="S72" s="42"/>
      <c r="T72" s="42"/>
    </row>
    <row r="73" spans="1:20" x14ac:dyDescent="0.2">
      <c r="A73" s="42" t="s">
        <v>42</v>
      </c>
      <c r="B73" s="42"/>
      <c r="C73" s="97">
        <v>0</v>
      </c>
      <c r="D73" s="43">
        <v>0</v>
      </c>
      <c r="E73" s="116" t="s">
        <v>170</v>
      </c>
      <c r="F73" s="79">
        <v>0</v>
      </c>
      <c r="G73" s="77">
        <v>0</v>
      </c>
      <c r="H73" s="43">
        <v>0</v>
      </c>
      <c r="I73" s="81">
        <f>D73*H73</f>
        <v>0</v>
      </c>
      <c r="J73" s="95" t="s">
        <v>38</v>
      </c>
      <c r="K73" s="77">
        <v>0</v>
      </c>
      <c r="L73" s="77">
        <f>+'22a&amp;b'!CR79</f>
        <v>0</v>
      </c>
      <c r="M73" s="77">
        <f>G73*0.05</f>
        <v>0</v>
      </c>
      <c r="N73" s="77">
        <f>+L73+M73</f>
        <v>0</v>
      </c>
      <c r="O73" s="77">
        <f>+G73+K73+N73</f>
        <v>0</v>
      </c>
      <c r="P73" s="42"/>
      <c r="Q73" s="42"/>
      <c r="R73" s="42"/>
      <c r="S73" s="42"/>
      <c r="T73" s="42"/>
    </row>
    <row r="74" spans="1:20" x14ac:dyDescent="0.2">
      <c r="A74" s="42" t="s">
        <v>43</v>
      </c>
      <c r="B74" s="42"/>
      <c r="C74" s="97">
        <v>0</v>
      </c>
      <c r="D74" s="43">
        <v>0</v>
      </c>
      <c r="E74" s="116" t="s">
        <v>170</v>
      </c>
      <c r="F74" s="79">
        <v>0</v>
      </c>
      <c r="G74" s="77">
        <v>0</v>
      </c>
      <c r="H74" s="43">
        <v>0</v>
      </c>
      <c r="I74" s="81">
        <f>D74*H74</f>
        <v>0</v>
      </c>
      <c r="J74" s="95">
        <v>0</v>
      </c>
      <c r="K74" s="77">
        <f>ROUND(I74*J74,0)</f>
        <v>0</v>
      </c>
      <c r="L74" s="77">
        <f>+'22a&amp;b'!CR80</f>
        <v>0</v>
      </c>
      <c r="M74" s="77">
        <v>0</v>
      </c>
      <c r="N74" s="77">
        <f>+L74+M74</f>
        <v>0</v>
      </c>
      <c r="O74" s="77">
        <f>+G74+K74+N74</f>
        <v>0</v>
      </c>
      <c r="P74" s="42"/>
      <c r="Q74" s="42"/>
      <c r="R74" s="42"/>
      <c r="S74" s="42"/>
      <c r="T74" s="42"/>
    </row>
    <row r="75" spans="1:20" x14ac:dyDescent="0.2">
      <c r="A75" s="42" t="s">
        <v>44</v>
      </c>
      <c r="B75" s="42"/>
      <c r="C75" s="97">
        <v>0</v>
      </c>
      <c r="D75" s="43">
        <v>0</v>
      </c>
      <c r="E75" s="116" t="s">
        <v>170</v>
      </c>
      <c r="F75" s="79">
        <v>0</v>
      </c>
      <c r="G75" s="77">
        <v>0</v>
      </c>
      <c r="H75" s="43">
        <v>0</v>
      </c>
      <c r="I75" s="81">
        <f>D75*H75</f>
        <v>0</v>
      </c>
      <c r="J75" s="95">
        <v>0</v>
      </c>
      <c r="K75" s="77">
        <f>ROUND(I75*J75,0)</f>
        <v>0</v>
      </c>
      <c r="L75" s="77">
        <f>+'22a&amp;b'!CR81</f>
        <v>0</v>
      </c>
      <c r="M75" s="77">
        <v>0</v>
      </c>
      <c r="N75" s="77">
        <f>+L75+M75</f>
        <v>0</v>
      </c>
      <c r="O75" s="77">
        <f>+G75+K75+N75</f>
        <v>0</v>
      </c>
      <c r="P75" s="42"/>
      <c r="Q75" s="42"/>
      <c r="R75" s="42"/>
      <c r="S75" s="42"/>
      <c r="T75" s="42"/>
    </row>
    <row r="76" spans="1:20" x14ac:dyDescent="0.2">
      <c r="A76" s="42"/>
      <c r="B76" s="42"/>
      <c r="C76" s="97"/>
      <c r="D76" s="43"/>
      <c r="E76" s="94"/>
      <c r="F76" s="79"/>
      <c r="G76" s="77"/>
      <c r="H76" s="43"/>
      <c r="I76" s="81"/>
      <c r="J76" s="95"/>
      <c r="K76" s="77"/>
      <c r="L76" s="77"/>
      <c r="M76" s="77"/>
      <c r="N76" s="77"/>
      <c r="O76" s="77"/>
      <c r="P76" s="42"/>
      <c r="Q76" s="42"/>
      <c r="R76" s="42"/>
      <c r="S76" s="42"/>
      <c r="T76" s="42"/>
    </row>
    <row r="77" spans="1:20" x14ac:dyDescent="0.2">
      <c r="A77" s="42" t="s">
        <v>389</v>
      </c>
      <c r="B77" s="42"/>
      <c r="C77" s="97"/>
      <c r="D77" s="43"/>
      <c r="E77" s="94"/>
      <c r="F77" s="79"/>
      <c r="G77" s="77"/>
      <c r="H77" s="43"/>
      <c r="I77" s="81"/>
      <c r="J77" s="95"/>
      <c r="K77" s="77"/>
      <c r="L77" s="77"/>
      <c r="M77" s="77"/>
      <c r="N77" s="77"/>
      <c r="O77" s="77"/>
      <c r="P77" s="42"/>
      <c r="Q77" s="42"/>
      <c r="R77" s="42"/>
      <c r="S77" s="42"/>
      <c r="T77" s="42"/>
    </row>
    <row r="78" spans="1:20" x14ac:dyDescent="0.2">
      <c r="A78" s="42" t="s">
        <v>390</v>
      </c>
      <c r="B78" s="42"/>
      <c r="C78" s="97">
        <v>0</v>
      </c>
      <c r="D78" s="43">
        <v>0</v>
      </c>
      <c r="E78" s="116" t="s">
        <v>170</v>
      </c>
      <c r="F78" s="79">
        <v>0</v>
      </c>
      <c r="G78" s="77">
        <v>0</v>
      </c>
      <c r="H78" s="43">
        <v>67</v>
      </c>
      <c r="I78" s="81">
        <f>D78*H78</f>
        <v>0</v>
      </c>
      <c r="J78" s="95">
        <v>8.4760000000000002E-2</v>
      </c>
      <c r="K78" s="77">
        <f>ROUND(I78*J78,0)</f>
        <v>0</v>
      </c>
      <c r="L78" s="77">
        <v>0</v>
      </c>
      <c r="M78" s="77">
        <f>ROUND(G78*0.05,0)</f>
        <v>0</v>
      </c>
      <c r="N78" s="77">
        <f>+L78+M78</f>
        <v>0</v>
      </c>
      <c r="O78" s="77">
        <f>+G78+K78+N78</f>
        <v>0</v>
      </c>
      <c r="P78" s="42"/>
      <c r="Q78" s="42"/>
      <c r="R78" s="42"/>
      <c r="S78" s="42"/>
      <c r="T78" s="42"/>
    </row>
    <row r="79" spans="1:20" x14ac:dyDescent="0.2">
      <c r="A79" s="42" t="s">
        <v>349</v>
      </c>
      <c r="B79" s="42"/>
      <c r="C79" s="97">
        <v>7</v>
      </c>
      <c r="D79" s="43">
        <v>9</v>
      </c>
      <c r="E79" s="116" t="s">
        <v>170</v>
      </c>
      <c r="F79" s="79">
        <f>ROUND(G79/C79,2)</f>
        <v>435.71</v>
      </c>
      <c r="G79" s="77">
        <v>3050</v>
      </c>
      <c r="H79" s="43">
        <v>347</v>
      </c>
      <c r="I79" s="81">
        <f>D79*H79</f>
        <v>3123</v>
      </c>
      <c r="J79" s="95">
        <v>8.4669999999999995E-2</v>
      </c>
      <c r="K79" s="77">
        <f>ROUND(I79*J79,0)</f>
        <v>264</v>
      </c>
      <c r="L79" s="77">
        <v>0</v>
      </c>
      <c r="M79" s="77">
        <f>ROUND(G79*0.05,0)</f>
        <v>153</v>
      </c>
      <c r="N79" s="77">
        <f>+L79+M79</f>
        <v>153</v>
      </c>
      <c r="O79" s="77">
        <f>+G79+K79+N79</f>
        <v>3467</v>
      </c>
      <c r="P79" s="42"/>
      <c r="Q79" s="42"/>
      <c r="R79" s="42"/>
      <c r="S79" s="123" t="s">
        <v>138</v>
      </c>
      <c r="T79" s="42"/>
    </row>
    <row r="80" spans="1:20" x14ac:dyDescent="0.2">
      <c r="A80" s="42"/>
      <c r="B80" s="42"/>
      <c r="C80" s="97"/>
      <c r="D80" s="43"/>
      <c r="E80" s="94"/>
      <c r="F80" s="79"/>
      <c r="G80" s="77"/>
      <c r="H80" s="43"/>
      <c r="I80" s="81"/>
      <c r="J80" s="95"/>
      <c r="K80" s="77"/>
      <c r="L80" s="77"/>
      <c r="M80" s="77"/>
      <c r="N80" s="77"/>
      <c r="O80" s="77"/>
      <c r="P80" s="42"/>
      <c r="Q80" s="42"/>
      <c r="R80" s="42"/>
      <c r="S80" s="42"/>
      <c r="T80" s="42"/>
    </row>
    <row r="81" spans="1:20" x14ac:dyDescent="0.2">
      <c r="A81" s="42" t="s">
        <v>388</v>
      </c>
      <c r="B81" s="42"/>
      <c r="C81" s="97"/>
      <c r="D81" s="43"/>
      <c r="E81" s="94"/>
      <c r="F81" s="79"/>
      <c r="G81" s="77"/>
      <c r="H81" s="43"/>
      <c r="I81" s="81"/>
      <c r="J81" s="95"/>
      <c r="K81" s="77"/>
      <c r="L81" s="77"/>
      <c r="M81" s="77"/>
      <c r="N81" s="77"/>
      <c r="O81" s="77"/>
      <c r="P81" s="42"/>
      <c r="Q81" s="42"/>
      <c r="R81" s="42"/>
      <c r="S81" s="42"/>
      <c r="T81" s="42"/>
    </row>
    <row r="82" spans="1:20" x14ac:dyDescent="0.2">
      <c r="A82" s="42" t="s">
        <v>208</v>
      </c>
      <c r="B82" s="42"/>
      <c r="C82" s="97">
        <v>0</v>
      </c>
      <c r="D82" s="43">
        <v>0</v>
      </c>
      <c r="E82" s="94" t="s">
        <v>170</v>
      </c>
      <c r="F82" s="79">
        <v>0</v>
      </c>
      <c r="G82" s="77">
        <v>0</v>
      </c>
      <c r="H82" s="43">
        <v>0</v>
      </c>
      <c r="I82" s="81">
        <f>D82*H82</f>
        <v>0</v>
      </c>
      <c r="J82" s="95">
        <v>0</v>
      </c>
      <c r="K82" s="77">
        <f>ROUND(I82*J82,0)</f>
        <v>0</v>
      </c>
      <c r="L82" s="77">
        <v>0</v>
      </c>
      <c r="M82" s="77">
        <f>ROUND(G82*0.05,0)</f>
        <v>0</v>
      </c>
      <c r="N82" s="77">
        <f>+L82+M82</f>
        <v>0</v>
      </c>
      <c r="O82" s="77">
        <f>+G82+K82+N82</f>
        <v>0</v>
      </c>
      <c r="P82" s="42"/>
      <c r="Q82" s="42"/>
      <c r="R82" s="42"/>
      <c r="S82" s="42"/>
      <c r="T82" s="42"/>
    </row>
    <row r="83" spans="1:20" x14ac:dyDescent="0.2">
      <c r="A83" s="42" t="s">
        <v>207</v>
      </c>
      <c r="B83" s="42"/>
      <c r="C83" s="97">
        <v>0</v>
      </c>
      <c r="D83" s="43">
        <v>3</v>
      </c>
      <c r="E83" s="94"/>
      <c r="F83" s="79">
        <v>0</v>
      </c>
      <c r="G83" s="77">
        <v>0</v>
      </c>
      <c r="H83" s="43">
        <v>334</v>
      </c>
      <c r="I83" s="81">
        <f>D83*H83</f>
        <v>1002</v>
      </c>
      <c r="J83" s="95">
        <v>8.4610000000000005E-2</v>
      </c>
      <c r="K83" s="77">
        <f>ROUND(I83*J83,0)</f>
        <v>85</v>
      </c>
      <c r="L83" s="77">
        <v>0</v>
      </c>
      <c r="M83" s="77">
        <f>ROUND(G83*0.05,0)</f>
        <v>0</v>
      </c>
      <c r="N83" s="77">
        <f>+L83+M83</f>
        <v>0</v>
      </c>
      <c r="O83" s="77">
        <f>+G83+K83+N83</f>
        <v>85</v>
      </c>
      <c r="P83" s="42"/>
      <c r="Q83" s="42"/>
      <c r="R83" s="42"/>
      <c r="S83" s="42"/>
      <c r="T83" s="42"/>
    </row>
    <row r="84" spans="1:20" x14ac:dyDescent="0.2">
      <c r="A84" s="42"/>
      <c r="B84" s="42"/>
      <c r="C84" s="97"/>
      <c r="D84" s="43"/>
      <c r="E84" s="94"/>
      <c r="F84" s="79"/>
      <c r="G84" s="77"/>
      <c r="H84" s="43"/>
      <c r="I84" s="81"/>
      <c r="J84" s="95"/>
      <c r="K84" s="77"/>
      <c r="L84" s="77"/>
      <c r="M84" s="77"/>
      <c r="N84" s="77"/>
      <c r="O84" s="77"/>
      <c r="P84" s="42"/>
      <c r="Q84" s="42"/>
      <c r="R84" s="42"/>
      <c r="S84" s="42"/>
      <c r="T84" s="42"/>
    </row>
    <row r="85" spans="1:20" x14ac:dyDescent="0.2">
      <c r="A85" s="42" t="s">
        <v>396</v>
      </c>
      <c r="B85" s="42"/>
      <c r="C85" s="43">
        <v>68</v>
      </c>
      <c r="D85" s="43">
        <v>72</v>
      </c>
      <c r="E85" s="94" t="s">
        <v>170</v>
      </c>
      <c r="F85" s="79">
        <f>ROUND(G85/C85,2)</f>
        <v>7622.32</v>
      </c>
      <c r="G85" s="80">
        <v>518317.99</v>
      </c>
      <c r="H85" s="78">
        <v>9407</v>
      </c>
      <c r="I85" s="81">
        <f>D85*H85</f>
        <v>677304</v>
      </c>
      <c r="J85" s="95">
        <v>8.2100000000000006E-2</v>
      </c>
      <c r="K85" s="77">
        <f>ROUND(I85*J85,0)</f>
        <v>55607</v>
      </c>
      <c r="L85" s="77">
        <f>'22a&amp;b'!CT91</f>
        <v>50291</v>
      </c>
      <c r="M85" s="77">
        <v>0</v>
      </c>
      <c r="N85" s="77">
        <f>+L85+M85</f>
        <v>50291</v>
      </c>
      <c r="O85" s="77">
        <f>+G85+K85+N85</f>
        <v>624215.99</v>
      </c>
      <c r="P85" s="42"/>
      <c r="Q85" s="42"/>
      <c r="R85" s="42"/>
      <c r="S85" s="42"/>
      <c r="T85" s="42"/>
    </row>
    <row r="86" spans="1:20" x14ac:dyDescent="0.2">
      <c r="A86" s="42"/>
      <c r="B86" s="42"/>
      <c r="C86" s="43"/>
      <c r="D86" s="43"/>
      <c r="E86" s="94"/>
      <c r="F86" s="79"/>
      <c r="G86" s="80"/>
      <c r="H86" s="78"/>
      <c r="I86" s="81"/>
      <c r="J86" s="95"/>
      <c r="K86" s="77"/>
      <c r="L86" s="77"/>
      <c r="M86" s="77"/>
      <c r="N86" s="77"/>
      <c r="O86" s="77"/>
      <c r="P86" s="42"/>
      <c r="Q86" s="42"/>
      <c r="R86" s="42"/>
      <c r="S86" s="42"/>
      <c r="T86" s="42"/>
    </row>
    <row r="87" spans="1:20" x14ac:dyDescent="0.2">
      <c r="A87" s="42" t="s">
        <v>442</v>
      </c>
      <c r="B87" s="42"/>
      <c r="C87" s="97"/>
      <c r="D87" s="43"/>
      <c r="E87" s="94"/>
      <c r="F87" s="79"/>
      <c r="G87" s="77"/>
      <c r="H87" s="43"/>
      <c r="I87" s="81"/>
      <c r="J87" s="95"/>
      <c r="K87" s="77"/>
      <c r="L87" s="77"/>
      <c r="M87" s="77"/>
      <c r="N87" s="77"/>
      <c r="O87" s="77"/>
      <c r="P87" s="42"/>
      <c r="Q87" s="42"/>
      <c r="R87" s="42"/>
      <c r="S87" s="42"/>
      <c r="T87" s="42"/>
    </row>
    <row r="88" spans="1:20" x14ac:dyDescent="0.2">
      <c r="A88" s="42" t="s">
        <v>208</v>
      </c>
      <c r="B88" s="42"/>
      <c r="C88" s="43">
        <v>0</v>
      </c>
      <c r="D88" s="43">
        <v>0</v>
      </c>
      <c r="E88" s="116" t="s">
        <v>170</v>
      </c>
      <c r="F88" s="79">
        <v>0</v>
      </c>
      <c r="G88" s="80">
        <v>0</v>
      </c>
      <c r="H88" s="78">
        <v>0</v>
      </c>
      <c r="I88" s="81">
        <v>0</v>
      </c>
      <c r="J88" s="95">
        <v>0</v>
      </c>
      <c r="K88" s="77">
        <v>0</v>
      </c>
      <c r="L88" s="77">
        <v>0</v>
      </c>
      <c r="M88" s="77">
        <v>0</v>
      </c>
      <c r="N88" s="77">
        <v>0</v>
      </c>
      <c r="O88" s="77">
        <f>+G88+K88+N88</f>
        <v>0</v>
      </c>
      <c r="P88" s="42"/>
      <c r="Q88" s="42"/>
      <c r="R88" s="42"/>
      <c r="S88" s="42"/>
      <c r="T88" s="42"/>
    </row>
    <row r="89" spans="1:20" x14ac:dyDescent="0.2">
      <c r="A89" s="42" t="s">
        <v>397</v>
      </c>
      <c r="B89" s="42"/>
      <c r="C89" s="43">
        <v>0</v>
      </c>
      <c r="D89" s="43">
        <v>0</v>
      </c>
      <c r="E89" s="116" t="s">
        <v>170</v>
      </c>
      <c r="F89" s="79">
        <v>0</v>
      </c>
      <c r="G89" s="80">
        <v>0</v>
      </c>
      <c r="H89" s="78">
        <v>0</v>
      </c>
      <c r="I89" s="81">
        <v>0</v>
      </c>
      <c r="J89" s="95">
        <v>0</v>
      </c>
      <c r="K89" s="77">
        <v>0</v>
      </c>
      <c r="L89" s="77">
        <v>0</v>
      </c>
      <c r="M89" s="77">
        <v>0</v>
      </c>
      <c r="N89" s="77">
        <v>0</v>
      </c>
      <c r="O89" s="77">
        <f>+G89+K89+N89</f>
        <v>0</v>
      </c>
      <c r="P89" s="42"/>
      <c r="Q89" s="42"/>
      <c r="R89" s="42"/>
      <c r="S89" s="42"/>
      <c r="T89" s="42"/>
    </row>
    <row r="90" spans="1:20" x14ac:dyDescent="0.2">
      <c r="A90" s="42"/>
      <c r="B90" s="42"/>
      <c r="C90" s="43"/>
      <c r="D90" s="43"/>
      <c r="E90" s="94"/>
      <c r="F90" s="79"/>
      <c r="G90" s="80"/>
      <c r="H90" s="78"/>
      <c r="I90" s="81"/>
      <c r="J90" s="95"/>
      <c r="K90" s="77"/>
      <c r="L90" s="77"/>
      <c r="M90" s="77"/>
      <c r="N90" s="77"/>
      <c r="O90" s="77"/>
      <c r="P90" s="42"/>
      <c r="Q90" s="42"/>
      <c r="R90" s="42"/>
      <c r="S90" s="42"/>
      <c r="T90" s="42"/>
    </row>
    <row r="91" spans="1:20" x14ac:dyDescent="0.2">
      <c r="A91" s="42" t="s">
        <v>561</v>
      </c>
      <c r="B91" s="42"/>
      <c r="C91" s="97">
        <v>0</v>
      </c>
      <c r="D91" s="43">
        <v>0</v>
      </c>
      <c r="E91" s="116" t="s">
        <v>170</v>
      </c>
      <c r="F91" s="79">
        <v>0</v>
      </c>
      <c r="G91" s="77">
        <v>0</v>
      </c>
      <c r="H91" s="43">
        <v>0</v>
      </c>
      <c r="I91" s="81">
        <v>0</v>
      </c>
      <c r="J91" s="95">
        <v>0</v>
      </c>
      <c r="K91" s="77">
        <v>0</v>
      </c>
      <c r="L91" s="77">
        <v>0</v>
      </c>
      <c r="M91" s="77">
        <v>0</v>
      </c>
      <c r="N91" s="77">
        <v>0</v>
      </c>
      <c r="O91" s="77">
        <f>+G91+K91+N91</f>
        <v>0</v>
      </c>
      <c r="P91" s="42"/>
      <c r="Q91" s="42"/>
      <c r="R91" s="42"/>
      <c r="S91" s="42"/>
      <c r="T91" s="42"/>
    </row>
    <row r="92" spans="1:20" x14ac:dyDescent="0.2">
      <c r="A92" s="42"/>
      <c r="B92" s="42"/>
      <c r="C92" s="43"/>
      <c r="D92" s="43"/>
      <c r="E92" s="94"/>
      <c r="F92" s="79"/>
      <c r="G92" s="80"/>
      <c r="H92" s="78"/>
      <c r="I92" s="81"/>
      <c r="J92" s="95"/>
      <c r="K92" s="77"/>
      <c r="L92" s="77"/>
      <c r="M92" s="77"/>
      <c r="N92" s="77"/>
      <c r="O92" s="77"/>
      <c r="P92" s="42"/>
      <c r="Q92" s="42"/>
      <c r="R92" s="42"/>
      <c r="S92" s="42"/>
      <c r="T92" s="42"/>
    </row>
    <row r="93" spans="1:20" x14ac:dyDescent="0.2">
      <c r="A93" s="42" t="s">
        <v>505</v>
      </c>
      <c r="B93" s="42"/>
      <c r="C93" s="97">
        <v>0</v>
      </c>
      <c r="D93" s="43">
        <v>0</v>
      </c>
      <c r="E93" s="116" t="s">
        <v>170</v>
      </c>
      <c r="F93" s="79">
        <v>0</v>
      </c>
      <c r="G93" s="77">
        <v>189121.21</v>
      </c>
      <c r="H93" s="43">
        <v>0</v>
      </c>
      <c r="I93" s="81">
        <v>0</v>
      </c>
      <c r="J93" s="95">
        <v>0</v>
      </c>
      <c r="K93" s="77">
        <v>0</v>
      </c>
      <c r="L93" s="77">
        <v>0</v>
      </c>
      <c r="M93" s="77">
        <v>0</v>
      </c>
      <c r="N93" s="77">
        <v>0</v>
      </c>
      <c r="O93" s="77">
        <f>+G93+K93+N93</f>
        <v>189121.21</v>
      </c>
      <c r="P93" s="42"/>
      <c r="Q93" s="42"/>
      <c r="R93" s="42"/>
      <c r="S93" s="42"/>
      <c r="T93" s="42"/>
    </row>
    <row r="94" spans="1:20" x14ac:dyDescent="0.2">
      <c r="A94" s="42"/>
      <c r="B94" s="42"/>
      <c r="C94" s="43" t="s">
        <v>201</v>
      </c>
      <c r="D94" s="43" t="s">
        <v>201</v>
      </c>
      <c r="E94" s="94"/>
      <c r="F94" s="43"/>
      <c r="G94" s="43" t="s">
        <v>201</v>
      </c>
      <c r="H94" s="43"/>
      <c r="I94" s="43" t="s">
        <v>201</v>
      </c>
      <c r="J94" s="43"/>
      <c r="K94" s="43" t="s">
        <v>201</v>
      </c>
      <c r="L94" s="43" t="s">
        <v>201</v>
      </c>
      <c r="M94" s="43" t="s">
        <v>201</v>
      </c>
      <c r="N94" s="43" t="s">
        <v>201</v>
      </c>
      <c r="O94" s="43" t="s">
        <v>201</v>
      </c>
      <c r="P94" s="42"/>
      <c r="Q94" s="42"/>
      <c r="R94" s="42"/>
      <c r="S94" s="42"/>
      <c r="T94" s="42"/>
    </row>
    <row r="95" spans="1:20" x14ac:dyDescent="0.2">
      <c r="A95" s="42" t="s">
        <v>45</v>
      </c>
      <c r="B95" s="42"/>
      <c r="C95" s="259">
        <f>SUM(C72:C93)</f>
        <v>75</v>
      </c>
      <c r="D95" s="259">
        <f>SUM(D72:D93)</f>
        <v>84</v>
      </c>
      <c r="E95" s="94"/>
      <c r="F95" s="97"/>
      <c r="G95" s="77">
        <f>SUM(G72:G93)</f>
        <v>710489.2</v>
      </c>
      <c r="H95" s="43"/>
      <c r="I95" s="259">
        <f>SUM(I72:I93)</f>
        <v>681429</v>
      </c>
      <c r="J95" s="95"/>
      <c r="K95" s="77">
        <f>SUM(K72:K93)</f>
        <v>55956</v>
      </c>
      <c r="L95" s="77">
        <f>SUM(L72:L93)</f>
        <v>50291</v>
      </c>
      <c r="M95" s="77">
        <f>SUM(M72:M93)</f>
        <v>153</v>
      </c>
      <c r="N95" s="77">
        <f>SUM(N72:N93)</f>
        <v>50444</v>
      </c>
      <c r="O95" s="77">
        <f>SUM(O72:O93)</f>
        <v>816889.2</v>
      </c>
      <c r="P95" s="42"/>
      <c r="Q95" s="42"/>
      <c r="R95" s="42"/>
      <c r="S95" s="42"/>
      <c r="T95" s="42"/>
    </row>
    <row r="96" spans="1:20" x14ac:dyDescent="0.2">
      <c r="A96" s="42"/>
      <c r="B96" s="42"/>
      <c r="C96" s="97" t="s">
        <v>94</v>
      </c>
      <c r="D96" s="97" t="s">
        <v>94</v>
      </c>
      <c r="E96" s="94"/>
      <c r="F96" s="97"/>
      <c r="G96" s="97" t="s">
        <v>94</v>
      </c>
      <c r="H96" s="97"/>
      <c r="I96" s="97" t="s">
        <v>94</v>
      </c>
      <c r="J96" s="97"/>
      <c r="K96" s="97" t="s">
        <v>94</v>
      </c>
      <c r="L96" s="97" t="s">
        <v>94</v>
      </c>
      <c r="M96" s="97" t="s">
        <v>94</v>
      </c>
      <c r="N96" s="97" t="s">
        <v>94</v>
      </c>
      <c r="O96" s="97" t="s">
        <v>94</v>
      </c>
      <c r="P96" s="42"/>
      <c r="Q96" s="42"/>
      <c r="R96" s="42"/>
      <c r="S96" s="42"/>
      <c r="T96" s="42"/>
    </row>
    <row r="97" spans="1:20" x14ac:dyDescent="0.2">
      <c r="A97" s="42"/>
      <c r="B97" s="42"/>
      <c r="C97" s="97"/>
      <c r="D97" s="97"/>
      <c r="E97" s="94"/>
      <c r="F97" s="97"/>
      <c r="G97" s="97"/>
      <c r="H97" s="43"/>
      <c r="I97" s="97"/>
      <c r="J97" s="95"/>
      <c r="K97" s="97"/>
      <c r="L97" s="97"/>
      <c r="M97" s="97"/>
      <c r="N97" s="97"/>
      <c r="O97" s="97"/>
      <c r="P97" s="42"/>
      <c r="Q97" s="42"/>
      <c r="R97" s="42"/>
      <c r="S97" s="42"/>
      <c r="T97" s="42"/>
    </row>
    <row r="98" spans="1:20" x14ac:dyDescent="0.2">
      <c r="A98" s="42"/>
      <c r="B98" s="42"/>
      <c r="C98" s="97"/>
      <c r="D98" s="97"/>
      <c r="E98" s="94"/>
      <c r="F98" s="97"/>
      <c r="G98" s="97"/>
      <c r="H98" s="43"/>
      <c r="I98" s="97"/>
      <c r="J98" s="95"/>
      <c r="K98" s="97"/>
      <c r="L98" s="97"/>
      <c r="M98" s="97"/>
      <c r="N98" s="97"/>
      <c r="O98" s="97"/>
      <c r="P98" s="42"/>
      <c r="Q98" s="42"/>
      <c r="R98" s="42"/>
      <c r="S98" s="42"/>
      <c r="T98" s="42"/>
    </row>
    <row r="99" spans="1:20" x14ac:dyDescent="0.2">
      <c r="A99" s="42" t="s">
        <v>46</v>
      </c>
      <c r="B99" s="42"/>
      <c r="C99" s="97"/>
      <c r="D99" s="97"/>
      <c r="E99" s="94"/>
      <c r="F99" s="97"/>
      <c r="G99" s="97"/>
      <c r="H99" s="43"/>
      <c r="I99" s="97"/>
      <c r="J99" s="95"/>
      <c r="K99" s="97"/>
      <c r="L99" s="97"/>
      <c r="M99" s="97"/>
      <c r="N99" s="97"/>
      <c r="O99" s="97"/>
      <c r="P99" s="42"/>
      <c r="Q99" s="42"/>
      <c r="R99" s="42"/>
      <c r="S99" s="42"/>
      <c r="T99" s="42"/>
    </row>
    <row r="100" spans="1:20" x14ac:dyDescent="0.2">
      <c r="A100" s="188" t="s">
        <v>258</v>
      </c>
      <c r="B100" s="42"/>
      <c r="C100" s="97"/>
      <c r="D100" s="97"/>
      <c r="E100" s="94"/>
      <c r="F100" s="97"/>
      <c r="G100" s="97"/>
      <c r="H100" s="43"/>
      <c r="I100" s="97"/>
      <c r="J100" s="95"/>
      <c r="K100" s="97"/>
      <c r="L100" s="97"/>
      <c r="M100" s="97"/>
      <c r="N100" s="97"/>
      <c r="O100" s="97"/>
      <c r="P100" s="42"/>
      <c r="Q100" s="42"/>
      <c r="R100" s="42"/>
      <c r="S100" s="42"/>
      <c r="T100" s="42"/>
    </row>
    <row r="101" spans="1:20" x14ac:dyDescent="0.2">
      <c r="A101" s="42" t="s">
        <v>41</v>
      </c>
      <c r="B101" s="42"/>
      <c r="C101" s="97">
        <v>0</v>
      </c>
      <c r="D101" s="97">
        <v>0</v>
      </c>
      <c r="E101" s="94"/>
      <c r="F101" s="99">
        <v>0</v>
      </c>
      <c r="G101" s="77">
        <v>0</v>
      </c>
      <c r="H101" s="43">
        <v>0</v>
      </c>
      <c r="I101" s="97">
        <v>0</v>
      </c>
      <c r="J101" s="95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42"/>
      <c r="Q101" s="42"/>
      <c r="R101" s="42"/>
      <c r="S101" s="42"/>
      <c r="T101" s="42"/>
    </row>
    <row r="102" spans="1:20" x14ac:dyDescent="0.2">
      <c r="A102" s="42" t="s">
        <v>48</v>
      </c>
      <c r="B102" s="42"/>
      <c r="C102" s="97">
        <v>0</v>
      </c>
      <c r="D102" s="97">
        <v>0</v>
      </c>
      <c r="E102" s="94"/>
      <c r="F102" s="99">
        <v>0</v>
      </c>
      <c r="G102" s="77">
        <v>0</v>
      </c>
      <c r="H102" s="43">
        <v>0</v>
      </c>
      <c r="I102" s="97">
        <v>0</v>
      </c>
      <c r="J102" s="95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42"/>
      <c r="Q102" s="42"/>
      <c r="R102" s="42"/>
      <c r="S102" s="42"/>
      <c r="T102" s="42"/>
    </row>
    <row r="103" spans="1:20" x14ac:dyDescent="0.2">
      <c r="A103" s="42" t="s">
        <v>49</v>
      </c>
      <c r="B103" s="42"/>
      <c r="C103" s="97">
        <v>0</v>
      </c>
      <c r="D103" s="97">
        <v>0</v>
      </c>
      <c r="E103" s="94"/>
      <c r="F103" s="99">
        <v>0</v>
      </c>
      <c r="G103" s="77">
        <v>0</v>
      </c>
      <c r="H103" s="43">
        <v>0</v>
      </c>
      <c r="I103" s="97">
        <v>0</v>
      </c>
      <c r="J103" s="95">
        <v>0</v>
      </c>
      <c r="K103" s="77">
        <f>ROUND(I103*J103,0)</f>
        <v>0</v>
      </c>
      <c r="L103" s="77">
        <v>0</v>
      </c>
      <c r="M103" s="77">
        <v>0</v>
      </c>
      <c r="N103" s="77">
        <v>0</v>
      </c>
      <c r="O103" s="77">
        <v>0</v>
      </c>
      <c r="P103" s="42"/>
      <c r="Q103" s="42"/>
      <c r="R103" s="42"/>
      <c r="S103" s="42"/>
      <c r="T103" s="42"/>
    </row>
    <row r="104" spans="1:20" x14ac:dyDescent="0.2">
      <c r="A104" s="42" t="s">
        <v>50</v>
      </c>
      <c r="B104" s="42"/>
      <c r="C104" s="97">
        <v>0</v>
      </c>
      <c r="D104" s="97">
        <v>0</v>
      </c>
      <c r="E104" s="94"/>
      <c r="F104" s="99">
        <v>0</v>
      </c>
      <c r="G104" s="77">
        <v>0</v>
      </c>
      <c r="H104" s="43">
        <v>0</v>
      </c>
      <c r="I104" s="97">
        <v>0</v>
      </c>
      <c r="J104" s="95">
        <v>0</v>
      </c>
      <c r="K104" s="77">
        <f>ROUND(I104*J104,0)</f>
        <v>0</v>
      </c>
      <c r="L104" s="77">
        <v>0</v>
      </c>
      <c r="M104" s="77">
        <v>0</v>
      </c>
      <c r="N104" s="77">
        <v>0</v>
      </c>
      <c r="O104" s="77">
        <v>0</v>
      </c>
      <c r="P104" s="42"/>
      <c r="Q104" s="42"/>
      <c r="R104" s="42"/>
      <c r="S104" s="42"/>
      <c r="T104" s="42"/>
    </row>
    <row r="105" spans="1:20" x14ac:dyDescent="0.2">
      <c r="A105" s="42"/>
      <c r="B105" s="42"/>
      <c r="C105" s="43" t="s">
        <v>201</v>
      </c>
      <c r="D105" s="43" t="s">
        <v>201</v>
      </c>
      <c r="E105" s="94"/>
      <c r="F105" s="43"/>
      <c r="G105" s="43" t="s">
        <v>201</v>
      </c>
      <c r="H105" s="43"/>
      <c r="I105" s="43" t="s">
        <v>201</v>
      </c>
      <c r="J105" s="43"/>
      <c r="K105" s="43" t="s">
        <v>201</v>
      </c>
      <c r="L105" s="43" t="s">
        <v>201</v>
      </c>
      <c r="M105" s="43" t="s">
        <v>201</v>
      </c>
      <c r="N105" s="43" t="s">
        <v>201</v>
      </c>
      <c r="O105" s="43" t="s">
        <v>201</v>
      </c>
      <c r="P105" s="42"/>
      <c r="Q105" s="42"/>
      <c r="R105" s="42"/>
      <c r="S105" s="42"/>
      <c r="T105" s="42"/>
    </row>
    <row r="106" spans="1:20" x14ac:dyDescent="0.2">
      <c r="A106" s="42" t="s">
        <v>51</v>
      </c>
      <c r="B106" s="42"/>
      <c r="C106" s="97">
        <v>0</v>
      </c>
      <c r="D106" s="97">
        <v>0</v>
      </c>
      <c r="E106" s="94"/>
      <c r="F106" s="97"/>
      <c r="G106" s="77">
        <v>0</v>
      </c>
      <c r="H106" s="43"/>
      <c r="I106" s="97">
        <v>0</v>
      </c>
      <c r="J106" s="95"/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42"/>
      <c r="Q106" s="42"/>
      <c r="R106" s="42"/>
      <c r="S106" s="42"/>
      <c r="T106" s="42"/>
    </row>
    <row r="107" spans="1:20" x14ac:dyDescent="0.2">
      <c r="A107" s="42"/>
      <c r="B107" s="42"/>
      <c r="C107" s="97" t="s">
        <v>94</v>
      </c>
      <c r="D107" s="97" t="s">
        <v>94</v>
      </c>
      <c r="E107" s="94"/>
      <c r="F107" s="97"/>
      <c r="G107" s="97" t="s">
        <v>94</v>
      </c>
      <c r="H107" s="97"/>
      <c r="I107" s="97" t="s">
        <v>94</v>
      </c>
      <c r="J107" s="97"/>
      <c r="K107" s="97" t="s">
        <v>94</v>
      </c>
      <c r="L107" s="97" t="s">
        <v>94</v>
      </c>
      <c r="M107" s="97" t="s">
        <v>94</v>
      </c>
      <c r="N107" s="97" t="s">
        <v>94</v>
      </c>
      <c r="O107" s="97" t="s">
        <v>94</v>
      </c>
      <c r="P107" s="42"/>
      <c r="Q107" s="42"/>
      <c r="R107" s="42"/>
      <c r="S107" s="42"/>
      <c r="T107" s="42"/>
    </row>
    <row r="108" spans="1:20" x14ac:dyDescent="0.2">
      <c r="A108" s="42" t="s">
        <v>52</v>
      </c>
      <c r="B108" s="42"/>
      <c r="C108" s="43">
        <f>+C58+C95+C106</f>
        <v>274567</v>
      </c>
      <c r="D108" s="43">
        <f>+D58+D95+D106</f>
        <v>159279</v>
      </c>
      <c r="E108" s="94"/>
      <c r="F108" s="97"/>
      <c r="G108" s="80">
        <f>G58+G95+G106</f>
        <v>2324345.3499999996</v>
      </c>
      <c r="H108" s="43"/>
      <c r="I108" s="43">
        <f>+I58+I95+I106</f>
        <v>5879328</v>
      </c>
      <c r="J108" s="95"/>
      <c r="K108" s="80">
        <f>+K58+K95+K106</f>
        <v>354857</v>
      </c>
      <c r="L108" s="77">
        <f>+L58+L95+L106</f>
        <v>273552</v>
      </c>
      <c r="M108" s="77">
        <f>+M58+M95+M106</f>
        <v>2819</v>
      </c>
      <c r="N108" s="77">
        <f>+N58+N95+N106</f>
        <v>276371</v>
      </c>
      <c r="O108" s="77">
        <f>+O58+O95+O106</f>
        <v>2955573.3499999996</v>
      </c>
      <c r="P108" s="42"/>
      <c r="Q108" s="42"/>
      <c r="R108" s="42"/>
      <c r="S108" s="42"/>
      <c r="T108" s="42"/>
    </row>
    <row r="109" spans="1:20" x14ac:dyDescent="0.2">
      <c r="A109" s="42"/>
      <c r="B109" s="42"/>
      <c r="C109" s="97" t="s">
        <v>94</v>
      </c>
      <c r="D109" s="97" t="s">
        <v>94</v>
      </c>
      <c r="E109" s="94"/>
      <c r="F109" s="97"/>
      <c r="G109" s="97" t="s">
        <v>94</v>
      </c>
      <c r="H109" s="97"/>
      <c r="I109" s="97" t="s">
        <v>94</v>
      </c>
      <c r="J109" s="97"/>
      <c r="K109" s="97" t="s">
        <v>94</v>
      </c>
      <c r="L109" s="97" t="s">
        <v>94</v>
      </c>
      <c r="M109" s="97" t="s">
        <v>94</v>
      </c>
      <c r="N109" s="97" t="s">
        <v>94</v>
      </c>
      <c r="O109" s="97" t="s">
        <v>94</v>
      </c>
      <c r="P109" s="42"/>
      <c r="Q109" s="42"/>
      <c r="R109" s="42"/>
      <c r="S109" s="42"/>
      <c r="T109" s="42"/>
    </row>
    <row r="110" spans="1:20" x14ac:dyDescent="0.2">
      <c r="A110" s="42"/>
      <c r="B110" s="42"/>
      <c r="C110" s="178" t="s">
        <v>138</v>
      </c>
      <c r="D110" s="42"/>
      <c r="E110" s="94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x14ac:dyDescent="0.2">
      <c r="A111" s="42" t="s">
        <v>108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x14ac:dyDescent="0.2">
      <c r="A112" s="42" t="s">
        <v>422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</sheetData>
  <printOptions gridLines="1"/>
  <pageMargins left="0.7" right="0.7" top="0.75" bottom="0.75" header="0.3" footer="0.3"/>
  <pageSetup scale="58" orientation="landscape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6"/>
  <sheetViews>
    <sheetView workbookViewId="0">
      <selection activeCell="O6" sqref="O6"/>
    </sheetView>
  </sheetViews>
  <sheetFormatPr defaultRowHeight="12.75" x14ac:dyDescent="0.2"/>
  <cols>
    <col min="1" max="1" width="42.570312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22" bestFit="1" customWidth="1"/>
    <col min="8" max="8" width="10" bestFit="1" customWidth="1"/>
    <col min="9" max="13" width="16" bestFit="1" customWidth="1"/>
  </cols>
  <sheetData>
    <row r="1" spans="1:14" x14ac:dyDescent="0.2">
      <c r="A1" s="14">
        <v>1997</v>
      </c>
    </row>
    <row r="6" spans="1:14" x14ac:dyDescent="0.2">
      <c r="A6" t="s">
        <v>0</v>
      </c>
      <c r="L6" t="s">
        <v>1</v>
      </c>
    </row>
    <row r="7" spans="1:14" x14ac:dyDescent="0.2">
      <c r="A7" t="s">
        <v>54</v>
      </c>
      <c r="L7" s="1" t="s">
        <v>109</v>
      </c>
      <c r="M7" s="2">
        <f>+'Y1'!M7</f>
        <v>24</v>
      </c>
    </row>
    <row r="11" spans="1:14" x14ac:dyDescent="0.2">
      <c r="A11" t="s">
        <v>110</v>
      </c>
      <c r="B11" s="7" t="s">
        <v>57</v>
      </c>
      <c r="C11" s="7" t="s">
        <v>58</v>
      </c>
      <c r="D11" s="7" t="s">
        <v>59</v>
      </c>
      <c r="E11" s="7" t="s">
        <v>60</v>
      </c>
      <c r="F11" s="7" t="s">
        <v>61</v>
      </c>
      <c r="G11" s="7" t="s">
        <v>4</v>
      </c>
      <c r="H11" s="7" t="s">
        <v>61</v>
      </c>
      <c r="I11" s="7" t="s">
        <v>62</v>
      </c>
      <c r="J11" s="12" t="s">
        <v>63</v>
      </c>
      <c r="K11" s="7" t="s">
        <v>64</v>
      </c>
      <c r="L11" s="7"/>
      <c r="M11" s="7" t="s">
        <v>65</v>
      </c>
      <c r="N11" s="7"/>
    </row>
    <row r="12" spans="1:14" x14ac:dyDescent="0.2">
      <c r="B12" s="7" t="s">
        <v>66</v>
      </c>
      <c r="C12" s="7" t="s">
        <v>66</v>
      </c>
      <c r="D12" s="7" t="s">
        <v>67</v>
      </c>
      <c r="E12" s="7" t="s">
        <v>27</v>
      </c>
      <c r="F12" s="7" t="s">
        <v>106</v>
      </c>
      <c r="G12" s="7" t="s">
        <v>69</v>
      </c>
      <c r="H12" s="7" t="s">
        <v>70</v>
      </c>
      <c r="I12" s="7" t="s">
        <v>71</v>
      </c>
      <c r="J12" s="12" t="s">
        <v>72</v>
      </c>
      <c r="K12" s="7" t="s">
        <v>72</v>
      </c>
      <c r="L12" s="7" t="s">
        <v>73</v>
      </c>
      <c r="M12" s="7" t="s">
        <v>74</v>
      </c>
      <c r="N12" s="7"/>
    </row>
    <row r="13" spans="1:14" ht="25.5" x14ac:dyDescent="0.2">
      <c r="A13" t="s">
        <v>28</v>
      </c>
      <c r="B13" s="7" t="s">
        <v>75</v>
      </c>
      <c r="C13" s="7" t="s">
        <v>75</v>
      </c>
      <c r="D13" s="7" t="s">
        <v>76</v>
      </c>
      <c r="E13" s="7" t="s">
        <v>77</v>
      </c>
      <c r="F13" s="7" t="s">
        <v>78</v>
      </c>
      <c r="G13" s="7" t="s">
        <v>107</v>
      </c>
      <c r="H13" s="7" t="s">
        <v>80</v>
      </c>
      <c r="I13" s="7" t="s">
        <v>81</v>
      </c>
      <c r="J13" s="8" t="str">
        <f>+'Y1'!J13</f>
        <v>(EX. C,                            PG.23C)</v>
      </c>
      <c r="K13" s="7" t="s">
        <v>82</v>
      </c>
      <c r="L13" s="7" t="s">
        <v>72</v>
      </c>
      <c r="M13" s="7" t="s">
        <v>83</v>
      </c>
      <c r="N13" s="7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7"/>
    </row>
    <row r="15" spans="1:14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</row>
    <row r="16" spans="1:14" x14ac:dyDescent="0.2">
      <c r="A16" t="s">
        <v>29</v>
      </c>
    </row>
    <row r="17" spans="1:15" x14ac:dyDescent="0.2">
      <c r="A17" t="s">
        <v>30</v>
      </c>
      <c r="B17" s="3">
        <v>432</v>
      </c>
      <c r="C17" s="11">
        <v>1287</v>
      </c>
      <c r="D17" s="9">
        <v>259.52999999999997</v>
      </c>
      <c r="E17" s="10">
        <v>112115</v>
      </c>
      <c r="F17" s="3">
        <v>341</v>
      </c>
      <c r="G17" s="11">
        <v>438867</v>
      </c>
      <c r="H17" s="9">
        <v>3.1119999999999998E-2</v>
      </c>
      <c r="I17" s="10">
        <v>13658</v>
      </c>
      <c r="J17" s="10">
        <v>8977</v>
      </c>
      <c r="K17" s="3" t="s">
        <v>38</v>
      </c>
      <c r="L17" s="10">
        <v>8977</v>
      </c>
      <c r="M17" s="10">
        <v>134750</v>
      </c>
      <c r="N17" s="3"/>
      <c r="O17" s="3"/>
    </row>
    <row r="18" spans="1:15" x14ac:dyDescent="0.2">
      <c r="A18" t="s">
        <v>31</v>
      </c>
      <c r="B18" s="3">
        <v>124</v>
      </c>
      <c r="C18" s="3">
        <v>443</v>
      </c>
      <c r="D18" s="9">
        <v>924.15</v>
      </c>
      <c r="E18" s="10">
        <v>114595</v>
      </c>
      <c r="F18" s="11">
        <v>1393</v>
      </c>
      <c r="G18" s="11">
        <v>617099</v>
      </c>
      <c r="H18" s="9">
        <v>3.1109999999999999E-2</v>
      </c>
      <c r="I18" s="10">
        <v>19198</v>
      </c>
      <c r="J18" s="10">
        <v>0</v>
      </c>
      <c r="K18" s="10">
        <v>5730</v>
      </c>
      <c r="L18" s="10">
        <v>5730</v>
      </c>
      <c r="M18" s="10">
        <v>139523</v>
      </c>
      <c r="N18" s="3"/>
      <c r="O18" s="3"/>
    </row>
    <row r="19" spans="1:15" x14ac:dyDescent="0.2">
      <c r="A19" t="s">
        <v>32</v>
      </c>
      <c r="B19" s="3">
        <v>78</v>
      </c>
      <c r="C19" s="3">
        <v>146</v>
      </c>
      <c r="D19" s="9">
        <v>103.55</v>
      </c>
      <c r="E19" s="10">
        <v>8077</v>
      </c>
      <c r="F19" s="3">
        <v>170</v>
      </c>
      <c r="G19" s="11">
        <v>24820</v>
      </c>
      <c r="H19" s="9">
        <v>3.124E-2</v>
      </c>
      <c r="I19" s="10">
        <v>775</v>
      </c>
      <c r="J19" s="10">
        <v>129</v>
      </c>
      <c r="K19" s="3" t="s">
        <v>38</v>
      </c>
      <c r="L19" s="10">
        <v>129</v>
      </c>
      <c r="M19" s="10">
        <v>8981</v>
      </c>
      <c r="N19" s="3"/>
      <c r="O19" s="3"/>
    </row>
    <row r="20" spans="1:15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  <c r="N20" s="3"/>
      <c r="O20" s="3"/>
    </row>
    <row r="21" spans="1:15" x14ac:dyDescent="0.2">
      <c r="A21" t="s">
        <v>33</v>
      </c>
      <c r="B21" s="3">
        <v>0</v>
      </c>
      <c r="C21" s="3">
        <v>269</v>
      </c>
      <c r="D21" s="3" t="s">
        <v>38</v>
      </c>
      <c r="E21" s="10">
        <v>0</v>
      </c>
      <c r="F21" s="3">
        <v>17</v>
      </c>
      <c r="G21" s="11">
        <v>4573</v>
      </c>
      <c r="H21" s="9">
        <v>3.091E-2</v>
      </c>
      <c r="I21" s="10">
        <v>141</v>
      </c>
      <c r="J21" s="10">
        <v>0</v>
      </c>
      <c r="K21" s="10">
        <v>0</v>
      </c>
      <c r="L21" s="10">
        <v>0</v>
      </c>
      <c r="M21" s="10">
        <v>141</v>
      </c>
      <c r="N21" s="3"/>
      <c r="O21" s="3"/>
    </row>
    <row r="22" spans="1:15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  <c r="N22" s="3"/>
      <c r="O22" s="3"/>
    </row>
    <row r="23" spans="1:15" x14ac:dyDescent="0.2">
      <c r="A23" t="s">
        <v>34</v>
      </c>
      <c r="B23" s="3">
        <v>111</v>
      </c>
      <c r="C23" s="3">
        <v>823</v>
      </c>
      <c r="D23" s="9">
        <v>106.9</v>
      </c>
      <c r="E23" s="10">
        <v>11866</v>
      </c>
      <c r="F23" s="3">
        <v>547</v>
      </c>
      <c r="G23" s="11">
        <v>450181</v>
      </c>
      <c r="H23" s="9">
        <v>3.1140000000000001E-2</v>
      </c>
      <c r="I23" s="10">
        <v>14019</v>
      </c>
      <c r="J23" s="10">
        <v>801</v>
      </c>
      <c r="K23" s="3" t="s">
        <v>38</v>
      </c>
      <c r="L23" s="10">
        <v>801</v>
      </c>
      <c r="M23" s="10">
        <v>26686</v>
      </c>
      <c r="N23" s="3"/>
      <c r="O23" s="3"/>
    </row>
    <row r="24" spans="1:15" x14ac:dyDescent="0.2">
      <c r="A24" t="s">
        <v>35</v>
      </c>
      <c r="B24" s="3">
        <v>102</v>
      </c>
      <c r="C24" s="3">
        <v>782</v>
      </c>
      <c r="D24" s="9">
        <v>142.21</v>
      </c>
      <c r="E24" s="10">
        <v>14505</v>
      </c>
      <c r="F24" s="3">
        <v>221</v>
      </c>
      <c r="G24" s="11">
        <v>172822</v>
      </c>
      <c r="H24" s="9">
        <v>3.116E-2</v>
      </c>
      <c r="I24" s="10">
        <v>5385</v>
      </c>
      <c r="J24" s="10">
        <v>2969</v>
      </c>
      <c r="K24" s="3" t="s">
        <v>38</v>
      </c>
      <c r="L24" s="10">
        <v>2969</v>
      </c>
      <c r="M24" s="10">
        <v>22859</v>
      </c>
      <c r="N24" s="3"/>
      <c r="O24" s="3"/>
    </row>
    <row r="25" spans="1:1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  <c r="N25" s="3"/>
      <c r="O25" s="3"/>
    </row>
    <row r="26" spans="1:15" x14ac:dyDescent="0.2">
      <c r="A26" t="s">
        <v>36</v>
      </c>
      <c r="B26" s="3">
        <v>50</v>
      </c>
      <c r="C26" s="3">
        <v>565</v>
      </c>
      <c r="D26" s="9">
        <v>406.7</v>
      </c>
      <c r="E26" s="10">
        <v>20335</v>
      </c>
      <c r="F26" s="3">
        <v>625</v>
      </c>
      <c r="G26" s="11">
        <v>353125</v>
      </c>
      <c r="H26" s="9">
        <v>3.1099999999999999E-2</v>
      </c>
      <c r="I26" s="10">
        <v>10982</v>
      </c>
      <c r="J26" s="10">
        <v>1625</v>
      </c>
      <c r="K26" s="3" t="s">
        <v>38</v>
      </c>
      <c r="L26" s="10">
        <v>1625</v>
      </c>
      <c r="M26" s="10">
        <v>32942</v>
      </c>
      <c r="N26" s="3"/>
      <c r="O26" s="3"/>
    </row>
    <row r="27" spans="1:1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3"/>
      <c r="O27" s="3"/>
    </row>
    <row r="28" spans="1:15" x14ac:dyDescent="0.2">
      <c r="A28" t="s">
        <v>37</v>
      </c>
      <c r="B28" s="3">
        <v>0</v>
      </c>
      <c r="C28" s="3">
        <v>82</v>
      </c>
      <c r="D28" s="3" t="s">
        <v>38</v>
      </c>
      <c r="E28" s="17">
        <v>-749</v>
      </c>
      <c r="F28" s="3">
        <v>0</v>
      </c>
      <c r="G28" s="3">
        <v>0</v>
      </c>
      <c r="H28" s="3"/>
      <c r="I28" s="3"/>
      <c r="J28" s="3"/>
      <c r="K28" s="57">
        <v>-37</v>
      </c>
      <c r="L28" s="57">
        <v>-37</v>
      </c>
      <c r="M28" s="57">
        <v>-786</v>
      </c>
      <c r="N28" s="3"/>
      <c r="O28" s="3"/>
    </row>
    <row r="29" spans="1:15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  <c r="N29" s="3"/>
      <c r="O29" s="3"/>
    </row>
    <row r="30" spans="1:15" x14ac:dyDescent="0.2">
      <c r="A30" t="s">
        <v>39</v>
      </c>
      <c r="B30" s="3">
        <v>897</v>
      </c>
      <c r="C30" s="11">
        <v>4397</v>
      </c>
      <c r="D30" s="3"/>
      <c r="E30" s="10">
        <v>280744</v>
      </c>
      <c r="F30" s="3"/>
      <c r="G30" s="11">
        <v>2061487</v>
      </c>
      <c r="H30" s="3"/>
      <c r="I30" s="10">
        <v>64158</v>
      </c>
      <c r="J30" s="10">
        <v>14501</v>
      </c>
      <c r="K30" s="10">
        <v>5693</v>
      </c>
      <c r="L30" s="10">
        <v>20194</v>
      </c>
      <c r="M30" s="10">
        <v>365096</v>
      </c>
      <c r="N30" s="3"/>
      <c r="O30" s="3"/>
    </row>
    <row r="31" spans="1:15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  <c r="N31" s="3"/>
      <c r="O31" s="3"/>
    </row>
    <row r="32" spans="1:1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t="s">
        <v>41</v>
      </c>
      <c r="B35" s="3">
        <v>71</v>
      </c>
      <c r="C35" s="3">
        <v>473</v>
      </c>
      <c r="D35" s="9">
        <v>230.92</v>
      </c>
      <c r="E35" s="10">
        <v>16395</v>
      </c>
      <c r="F35" s="3">
        <v>0</v>
      </c>
      <c r="G35" s="3">
        <v>0</v>
      </c>
      <c r="H35" s="3"/>
      <c r="I35" s="3"/>
      <c r="J35" s="10">
        <v>0</v>
      </c>
      <c r="K35" s="10">
        <v>820</v>
      </c>
      <c r="L35" s="10">
        <v>820</v>
      </c>
      <c r="M35" s="10">
        <v>17215</v>
      </c>
      <c r="N35" s="3"/>
      <c r="O35" s="3"/>
    </row>
    <row r="36" spans="1:15" x14ac:dyDescent="0.2">
      <c r="A36" t="s">
        <v>42</v>
      </c>
      <c r="B36" s="3">
        <v>21</v>
      </c>
      <c r="C36" s="3">
        <v>33</v>
      </c>
      <c r="D36" s="9">
        <v>2705</v>
      </c>
      <c r="E36" s="10">
        <v>56805</v>
      </c>
      <c r="F36" s="3">
        <v>0</v>
      </c>
      <c r="G36" s="3">
        <v>0</v>
      </c>
      <c r="H36" s="3"/>
      <c r="I36" s="3"/>
      <c r="J36" s="10">
        <v>0</v>
      </c>
      <c r="K36" s="10">
        <v>2840</v>
      </c>
      <c r="L36" s="10">
        <v>2840</v>
      </c>
      <c r="M36" s="10">
        <v>59645</v>
      </c>
      <c r="N36" s="3"/>
      <c r="O36" s="3"/>
    </row>
    <row r="37" spans="1:15" x14ac:dyDescent="0.2">
      <c r="A37" t="s">
        <v>43</v>
      </c>
      <c r="B37" s="3">
        <v>9</v>
      </c>
      <c r="C37" s="3">
        <v>8</v>
      </c>
      <c r="D37" s="9">
        <v>2282.56</v>
      </c>
      <c r="E37" s="10">
        <v>20543</v>
      </c>
      <c r="F37" s="11">
        <v>11100</v>
      </c>
      <c r="G37" s="11">
        <v>88800</v>
      </c>
      <c r="H37" s="9">
        <v>4.2349999999999999E-2</v>
      </c>
      <c r="I37" s="10">
        <v>3761</v>
      </c>
      <c r="J37" s="10">
        <v>7320</v>
      </c>
      <c r="K37" s="3" t="s">
        <v>38</v>
      </c>
      <c r="L37" s="10">
        <v>7320</v>
      </c>
      <c r="M37" s="10">
        <v>31624</v>
      </c>
      <c r="N37" s="3"/>
      <c r="O37" s="3"/>
    </row>
    <row r="38" spans="1:15" x14ac:dyDescent="0.2">
      <c r="A38" t="s">
        <v>44</v>
      </c>
      <c r="B38" s="3">
        <v>0</v>
      </c>
      <c r="C38" s="3">
        <v>1</v>
      </c>
      <c r="D38" s="3" t="s">
        <v>38</v>
      </c>
      <c r="E38" s="10">
        <v>0</v>
      </c>
      <c r="F38" s="11">
        <v>7650</v>
      </c>
      <c r="G38" s="11">
        <v>7650</v>
      </c>
      <c r="H38" s="9">
        <v>4.2770000000000002E-2</v>
      </c>
      <c r="I38" s="10">
        <v>327</v>
      </c>
      <c r="J38" s="10">
        <v>0</v>
      </c>
      <c r="K38" s="3" t="s">
        <v>38</v>
      </c>
      <c r="L38" s="10">
        <v>0</v>
      </c>
      <c r="M38" s="10">
        <v>327</v>
      </c>
      <c r="N38" s="3"/>
      <c r="O38" s="3"/>
    </row>
    <row r="39" spans="1:15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  <c r="N39" s="3"/>
      <c r="O39" s="3"/>
    </row>
    <row r="40" spans="1:15" x14ac:dyDescent="0.2">
      <c r="A40" t="s">
        <v>45</v>
      </c>
      <c r="B40" s="3">
        <v>101</v>
      </c>
      <c r="C40" s="3">
        <v>515</v>
      </c>
      <c r="D40" s="3"/>
      <c r="E40" s="10">
        <v>93743</v>
      </c>
      <c r="F40" s="3"/>
      <c r="G40" s="11">
        <v>96450</v>
      </c>
      <c r="H40" s="3"/>
      <c r="I40" s="10">
        <v>4088</v>
      </c>
      <c r="J40" s="10">
        <v>7320</v>
      </c>
      <c r="K40" s="10">
        <v>3660</v>
      </c>
      <c r="L40" s="10">
        <v>10980</v>
      </c>
      <c r="M40" s="10">
        <v>108811</v>
      </c>
      <c r="N40" s="3"/>
      <c r="O40" s="3"/>
    </row>
    <row r="41" spans="1:15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  <c r="N41" s="3"/>
      <c r="O41" s="3"/>
    </row>
    <row r="42" spans="1: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t="s">
        <v>41</v>
      </c>
      <c r="B46" s="3">
        <v>18</v>
      </c>
      <c r="C46" s="3">
        <v>37</v>
      </c>
      <c r="D46" s="9">
        <v>524.22</v>
      </c>
      <c r="E46" s="10">
        <v>9436</v>
      </c>
      <c r="F46" s="3">
        <v>0</v>
      </c>
      <c r="G46" s="3">
        <v>0</v>
      </c>
      <c r="H46" s="3"/>
      <c r="I46" s="3"/>
      <c r="J46" s="10">
        <v>0</v>
      </c>
      <c r="K46" s="10">
        <v>472</v>
      </c>
      <c r="L46" s="10">
        <v>472</v>
      </c>
      <c r="M46" s="10">
        <v>9908</v>
      </c>
      <c r="N46" s="3"/>
      <c r="O46" s="3"/>
    </row>
    <row r="47" spans="1:15" x14ac:dyDescent="0.2">
      <c r="A47" t="s">
        <v>48</v>
      </c>
      <c r="B47" s="3">
        <v>0</v>
      </c>
      <c r="C47" s="3">
        <v>3</v>
      </c>
      <c r="D47" s="3" t="s">
        <v>38</v>
      </c>
      <c r="E47" s="10">
        <v>1094</v>
      </c>
      <c r="F47" s="3">
        <v>0</v>
      </c>
      <c r="G47" s="3">
        <v>0</v>
      </c>
      <c r="H47" s="3"/>
      <c r="I47" s="3"/>
      <c r="J47" s="10">
        <v>0</v>
      </c>
      <c r="K47" s="10">
        <v>55</v>
      </c>
      <c r="L47" s="10">
        <v>55</v>
      </c>
      <c r="M47" s="10">
        <v>1149</v>
      </c>
      <c r="N47" s="3"/>
      <c r="O47" s="3"/>
    </row>
    <row r="48" spans="1:15" x14ac:dyDescent="0.2">
      <c r="A48" t="s">
        <v>49</v>
      </c>
      <c r="B48" s="3">
        <v>0</v>
      </c>
      <c r="C48" s="3">
        <v>0</v>
      </c>
      <c r="D48" s="3" t="s">
        <v>38</v>
      </c>
      <c r="E48" s="10">
        <v>11802</v>
      </c>
      <c r="F48" s="11">
        <v>14625</v>
      </c>
      <c r="G48" s="3">
        <v>0</v>
      </c>
      <c r="H48" s="9">
        <v>3.653E-2</v>
      </c>
      <c r="I48" s="10">
        <v>0</v>
      </c>
      <c r="J48" s="10">
        <v>0</v>
      </c>
      <c r="K48" s="3" t="s">
        <v>38</v>
      </c>
      <c r="L48" s="10">
        <v>0</v>
      </c>
      <c r="M48" s="10">
        <v>11802</v>
      </c>
      <c r="N48" s="3"/>
      <c r="O48" s="3"/>
    </row>
    <row r="49" spans="1:15" x14ac:dyDescent="0.2">
      <c r="A49" t="s">
        <v>50</v>
      </c>
      <c r="B49" s="3">
        <v>0</v>
      </c>
      <c r="C49" s="3">
        <v>0</v>
      </c>
      <c r="D49" s="3" t="s">
        <v>38</v>
      </c>
      <c r="E49" s="10">
        <v>0</v>
      </c>
      <c r="F49" s="11">
        <v>41200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3"/>
      <c r="O49" s="3"/>
    </row>
    <row r="50" spans="1:15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  <c r="N50" s="3"/>
      <c r="O50" s="3"/>
    </row>
    <row r="51" spans="1:15" x14ac:dyDescent="0.2">
      <c r="A51" t="s">
        <v>51</v>
      </c>
      <c r="B51" s="3">
        <v>18</v>
      </c>
      <c r="C51" s="3">
        <v>40</v>
      </c>
      <c r="D51" s="3"/>
      <c r="E51" s="10">
        <v>22332</v>
      </c>
      <c r="F51" s="3"/>
      <c r="G51" s="3">
        <v>0</v>
      </c>
      <c r="H51" s="3"/>
      <c r="I51" s="10">
        <v>0</v>
      </c>
      <c r="J51" s="10">
        <v>0</v>
      </c>
      <c r="K51" s="10">
        <v>527</v>
      </c>
      <c r="L51" s="10">
        <v>527</v>
      </c>
      <c r="M51" s="10">
        <v>22859</v>
      </c>
      <c r="N51" s="3"/>
      <c r="O51" s="3"/>
    </row>
    <row r="52" spans="1:15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  <c r="N52" s="3"/>
      <c r="O52" s="3"/>
    </row>
    <row r="53" spans="1:15" x14ac:dyDescent="0.2">
      <c r="A53" t="s">
        <v>52</v>
      </c>
      <c r="B53" s="11">
        <v>1016</v>
      </c>
      <c r="C53" s="11">
        <v>4952</v>
      </c>
      <c r="D53" s="3"/>
      <c r="E53" s="10">
        <v>396819</v>
      </c>
      <c r="F53" s="3"/>
      <c r="G53" s="11">
        <v>2157937</v>
      </c>
      <c r="H53" s="3"/>
      <c r="I53" s="10">
        <v>68246</v>
      </c>
      <c r="J53" s="10">
        <v>21821</v>
      </c>
      <c r="K53" s="10">
        <v>9880</v>
      </c>
      <c r="L53" s="10">
        <v>31701</v>
      </c>
      <c r="M53" s="10">
        <v>496766</v>
      </c>
      <c r="N53" s="3"/>
      <c r="O53" s="3"/>
    </row>
    <row r="54" spans="1:15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  <c r="N54" s="3"/>
      <c r="O54" s="3"/>
    </row>
    <row r="56" spans="1:15" x14ac:dyDescent="0.2">
      <c r="A56" t="s">
        <v>108</v>
      </c>
    </row>
  </sheetData>
  <phoneticPr fontId="0" type="noConversion"/>
  <printOptions horizontalCentered="1" verticalCentered="1" gridLines="1"/>
  <pageMargins left="0" right="0" top="0" bottom="0" header="0" footer="0"/>
  <pageSetup scale="6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92" sqref="A92"/>
    </sheetView>
  </sheetViews>
  <sheetFormatPr defaultRowHeight="12.75" x14ac:dyDescent="0.2"/>
  <cols>
    <col min="1" max="1" width="40.7109375" customWidth="1"/>
    <col min="2" max="2" width="1.7109375" customWidth="1"/>
    <col min="3" max="4" width="13.7109375" customWidth="1"/>
    <col min="5" max="5" width="3.7109375" style="8" customWidth="1"/>
    <col min="6" max="6" width="15.140625" customWidth="1"/>
    <col min="7" max="7" width="14.85546875" customWidth="1"/>
    <col min="8" max="8" width="14.7109375" customWidth="1"/>
    <col min="9" max="10" width="11.5703125" customWidth="1"/>
    <col min="11" max="11" width="12.7109375" customWidth="1"/>
    <col min="12" max="13" width="14.7109375" customWidth="1"/>
    <col min="14" max="14" width="13.42578125" customWidth="1"/>
    <col min="15" max="15" width="16.7109375" customWidth="1"/>
  </cols>
  <sheetData>
    <row r="1" spans="1:18" x14ac:dyDescent="0.2">
      <c r="A1" s="16" t="s">
        <v>495</v>
      </c>
      <c r="B1" s="14"/>
      <c r="C1" s="42"/>
      <c r="D1" s="42"/>
      <c r="E1" s="94"/>
      <c r="F1" s="42"/>
      <c r="G1" s="42"/>
      <c r="H1" s="42"/>
      <c r="I1" s="42"/>
      <c r="J1" s="42"/>
      <c r="K1" s="42"/>
    </row>
    <row r="2" spans="1:18" x14ac:dyDescent="0.2">
      <c r="C2" s="42"/>
      <c r="D2" s="42"/>
      <c r="E2" s="94"/>
      <c r="F2" s="42"/>
      <c r="G2" s="42"/>
      <c r="H2" s="42"/>
      <c r="I2" s="42"/>
      <c r="J2" s="42"/>
      <c r="K2" s="42"/>
    </row>
    <row r="3" spans="1:18" x14ac:dyDescent="0.2">
      <c r="A3" s="28" t="s">
        <v>0</v>
      </c>
      <c r="I3" s="15"/>
      <c r="N3" s="37" t="s">
        <v>140</v>
      </c>
    </row>
    <row r="4" spans="1:18" ht="25.5" x14ac:dyDescent="0.2">
      <c r="A4" s="36" t="s">
        <v>128</v>
      </c>
      <c r="N4" s="116" t="s">
        <v>523</v>
      </c>
      <c r="O4" s="1">
        <f>+'Y1'!M7</f>
        <v>24</v>
      </c>
    </row>
    <row r="6" spans="1:18" ht="25.5" x14ac:dyDescent="0.2">
      <c r="A6" s="105" t="s">
        <v>543</v>
      </c>
      <c r="C6" s="208" t="s">
        <v>57</v>
      </c>
      <c r="D6" s="208" t="s">
        <v>58</v>
      </c>
      <c r="F6" s="54" t="s">
        <v>374</v>
      </c>
      <c r="G6" s="55" t="s">
        <v>312</v>
      </c>
      <c r="H6" s="208" t="s">
        <v>61</v>
      </c>
      <c r="I6" s="208" t="s">
        <v>4</v>
      </c>
      <c r="J6" s="8" t="s">
        <v>529</v>
      </c>
      <c r="K6" s="8" t="s">
        <v>522</v>
      </c>
      <c r="L6" s="124" t="s">
        <v>63</v>
      </c>
      <c r="M6" s="208" t="s">
        <v>64</v>
      </c>
      <c r="N6" s="208"/>
      <c r="O6" s="55" t="s">
        <v>312</v>
      </c>
    </row>
    <row r="7" spans="1:18" ht="25.5" x14ac:dyDescent="0.2">
      <c r="C7" s="208" t="s">
        <v>66</v>
      </c>
      <c r="D7" s="208" t="s">
        <v>66</v>
      </c>
      <c r="F7" s="54" t="s">
        <v>67</v>
      </c>
      <c r="G7" s="208" t="s">
        <v>27</v>
      </c>
      <c r="H7" s="208" t="s">
        <v>248</v>
      </c>
      <c r="I7" s="8" t="s">
        <v>69</v>
      </c>
      <c r="J7" s="208" t="s">
        <v>70</v>
      </c>
      <c r="K7" s="208" t="s">
        <v>71</v>
      </c>
      <c r="L7" s="124" t="s">
        <v>72</v>
      </c>
      <c r="M7" s="208" t="s">
        <v>72</v>
      </c>
      <c r="N7" s="208" t="s">
        <v>73</v>
      </c>
      <c r="O7" s="208" t="s">
        <v>74</v>
      </c>
    </row>
    <row r="8" spans="1:18" ht="25.5" x14ac:dyDescent="0.2">
      <c r="A8" t="s">
        <v>28</v>
      </c>
      <c r="C8" s="208" t="s">
        <v>75</v>
      </c>
      <c r="D8" s="8" t="s">
        <v>359</v>
      </c>
      <c r="F8" s="54" t="s">
        <v>76</v>
      </c>
      <c r="G8" s="208" t="s">
        <v>77</v>
      </c>
      <c r="H8" s="8" t="s">
        <v>247</v>
      </c>
      <c r="I8" s="52" t="s">
        <v>364</v>
      </c>
      <c r="J8" s="208" t="s">
        <v>80</v>
      </c>
      <c r="K8" s="208" t="s">
        <v>81</v>
      </c>
      <c r="L8" s="125" t="str">
        <f>+'Y1'!J13</f>
        <v>(EX. C,                            PG.23C)</v>
      </c>
      <c r="M8" s="8" t="s">
        <v>217</v>
      </c>
      <c r="N8" s="208" t="s">
        <v>72</v>
      </c>
      <c r="O8" s="208" t="s">
        <v>83</v>
      </c>
    </row>
    <row r="9" spans="1:18" x14ac:dyDescent="0.2">
      <c r="C9" s="7">
        <v>-1</v>
      </c>
      <c r="D9" s="7">
        <v>-2</v>
      </c>
      <c r="F9" s="7">
        <v>-3</v>
      </c>
      <c r="G9" s="7">
        <v>-4</v>
      </c>
      <c r="H9" s="7">
        <v>-5</v>
      </c>
      <c r="I9" s="7">
        <v>-6</v>
      </c>
      <c r="J9" s="7">
        <v>-7</v>
      </c>
      <c r="K9" s="7">
        <v>-8</v>
      </c>
      <c r="L9" s="126">
        <v>-9</v>
      </c>
      <c r="M9" s="7">
        <v>-10</v>
      </c>
      <c r="N9" s="7">
        <v>-11</v>
      </c>
      <c r="O9" s="7">
        <v>-12</v>
      </c>
    </row>
    <row r="10" spans="1:18" x14ac:dyDescent="0.2">
      <c r="C10" s="25" t="s">
        <v>138</v>
      </c>
      <c r="D10" s="208"/>
      <c r="F10" s="208" t="s">
        <v>372</v>
      </c>
      <c r="G10" s="208"/>
      <c r="H10" s="208"/>
      <c r="I10" s="208" t="s">
        <v>85</v>
      </c>
      <c r="J10" s="208"/>
      <c r="K10" s="208" t="s">
        <v>86</v>
      </c>
      <c r="L10" s="124"/>
      <c r="M10" s="208" t="s">
        <v>87</v>
      </c>
      <c r="N10" s="208" t="s">
        <v>88</v>
      </c>
      <c r="O10" s="208" t="s">
        <v>89</v>
      </c>
    </row>
    <row r="11" spans="1:18" x14ac:dyDescent="0.2">
      <c r="A11" s="42" t="s">
        <v>29</v>
      </c>
      <c r="B11" s="42"/>
      <c r="C11" s="42"/>
      <c r="D11" s="42"/>
      <c r="E11" s="9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x14ac:dyDescent="0.2">
      <c r="A12" s="123" t="s">
        <v>209</v>
      </c>
      <c r="B12" s="42"/>
      <c r="C12" s="43">
        <v>1103</v>
      </c>
      <c r="D12" s="43">
        <v>4984</v>
      </c>
      <c r="E12" s="94"/>
      <c r="F12" s="79">
        <f>ROUND(G12/C12,2)</f>
        <v>593.66999999999996</v>
      </c>
      <c r="G12" s="80">
        <v>654812.64</v>
      </c>
      <c r="H12" s="43">
        <v>399</v>
      </c>
      <c r="I12" s="81">
        <f>D12*H12</f>
        <v>1988616</v>
      </c>
      <c r="J12" s="95">
        <v>6.0749999999999998E-2</v>
      </c>
      <c r="K12" s="77">
        <f>ROUND(I12*J12,0)</f>
        <v>120808</v>
      </c>
      <c r="L12" s="77">
        <f>'22a&amp;b'!CU32</f>
        <v>17196</v>
      </c>
      <c r="M12" s="77">
        <f>ROUND(G12*0,0)</f>
        <v>0</v>
      </c>
      <c r="N12" s="77">
        <f>+L12+M12</f>
        <v>17196</v>
      </c>
      <c r="O12" s="77">
        <f>+G12+K12+N12</f>
        <v>792816.64000000001</v>
      </c>
      <c r="P12" s="42"/>
      <c r="Q12" s="42"/>
      <c r="R12" s="42"/>
    </row>
    <row r="13" spans="1:18" x14ac:dyDescent="0.2">
      <c r="A13" s="42"/>
      <c r="B13" s="42"/>
      <c r="C13" s="43"/>
      <c r="D13" s="43"/>
      <c r="E13" s="94"/>
      <c r="F13" s="79"/>
      <c r="G13" s="80"/>
      <c r="H13" s="43"/>
      <c r="I13" s="81"/>
      <c r="J13" s="95"/>
      <c r="K13" s="77"/>
      <c r="L13" s="77"/>
      <c r="M13" s="77"/>
      <c r="N13" s="77"/>
      <c r="O13" s="77"/>
      <c r="P13" s="42"/>
      <c r="Q13" s="42"/>
      <c r="R13" s="42"/>
    </row>
    <row r="14" spans="1:18" x14ac:dyDescent="0.2">
      <c r="A14" s="96" t="s">
        <v>261</v>
      </c>
      <c r="B14" s="42"/>
      <c r="C14" s="43"/>
      <c r="D14" s="43"/>
      <c r="E14" s="94"/>
      <c r="F14" s="79"/>
      <c r="G14" s="80"/>
      <c r="H14" s="43"/>
      <c r="I14" s="81"/>
      <c r="J14" s="95"/>
      <c r="K14" s="77"/>
      <c r="L14" s="77"/>
      <c r="M14" s="77"/>
      <c r="N14" s="77"/>
      <c r="O14" s="77"/>
      <c r="P14" s="42"/>
      <c r="Q14" s="42"/>
      <c r="R14" s="42"/>
    </row>
    <row r="15" spans="1:18" x14ac:dyDescent="0.2">
      <c r="A15" s="96" t="s">
        <v>253</v>
      </c>
      <c r="B15" s="42"/>
      <c r="C15" s="43">
        <v>72</v>
      </c>
      <c r="D15" s="43">
        <v>151</v>
      </c>
      <c r="E15" s="94" t="s">
        <v>170</v>
      </c>
      <c r="F15" s="79">
        <f>ROUND(G15/C15,2)</f>
        <v>2143.23</v>
      </c>
      <c r="G15" s="114">
        <v>154312.59</v>
      </c>
      <c r="H15" s="43">
        <v>1131</v>
      </c>
      <c r="I15" s="81">
        <f>D15*H15</f>
        <v>170781</v>
      </c>
      <c r="J15" s="95">
        <v>6.0690000000000001E-2</v>
      </c>
      <c r="K15" s="77">
        <f>ROUND(I15*J15,0)</f>
        <v>10365</v>
      </c>
      <c r="L15" s="77">
        <f>'22a&amp;b'!CU16</f>
        <v>11039</v>
      </c>
      <c r="M15" s="77">
        <f>ROUND(G15*0,0)</f>
        <v>0</v>
      </c>
      <c r="N15" s="77">
        <f>+L15+M15</f>
        <v>11039</v>
      </c>
      <c r="O15" s="77">
        <f>+G15+K15+N15</f>
        <v>175716.59</v>
      </c>
      <c r="P15" s="42"/>
      <c r="Q15" s="42"/>
      <c r="R15" s="42"/>
    </row>
    <row r="16" spans="1:18" x14ac:dyDescent="0.2">
      <c r="A16" s="42" t="s">
        <v>254</v>
      </c>
      <c r="B16" s="42"/>
      <c r="C16" s="43">
        <v>14</v>
      </c>
      <c r="D16" s="43">
        <v>12</v>
      </c>
      <c r="E16" s="94" t="s">
        <v>170</v>
      </c>
      <c r="F16" s="79">
        <f>ROUND(G16/C16,2)</f>
        <v>168.06</v>
      </c>
      <c r="G16" s="80">
        <v>2352.87</v>
      </c>
      <c r="H16" s="43">
        <v>216</v>
      </c>
      <c r="I16" s="81">
        <f>D16*H16</f>
        <v>2592</v>
      </c>
      <c r="J16" s="95">
        <v>6.0690000000000001E-2</v>
      </c>
      <c r="K16" s="77">
        <f>ROUND(I16*J16,0)</f>
        <v>157</v>
      </c>
      <c r="L16" s="77">
        <f>'22a&amp;b'!CU17</f>
        <v>16</v>
      </c>
      <c r="M16" s="77">
        <v>0</v>
      </c>
      <c r="N16" s="77">
        <f>+L16+M16</f>
        <v>16</v>
      </c>
      <c r="O16" s="77">
        <f>+G16+K16+N16</f>
        <v>2525.87</v>
      </c>
      <c r="P16" s="42"/>
      <c r="Q16" s="42"/>
      <c r="R16" s="42"/>
    </row>
    <row r="17" spans="1:18" x14ac:dyDescent="0.2">
      <c r="A17" s="42"/>
      <c r="B17" s="42"/>
      <c r="C17" s="43"/>
      <c r="D17" s="43"/>
      <c r="E17" s="94"/>
      <c r="F17" s="79"/>
      <c r="G17" s="80"/>
      <c r="H17" s="43"/>
      <c r="I17" s="81"/>
      <c r="J17" s="95"/>
      <c r="K17" s="77"/>
      <c r="L17" s="77"/>
      <c r="M17" s="77"/>
      <c r="N17" s="77"/>
      <c r="O17" s="77"/>
      <c r="P17" s="42"/>
      <c r="Q17" s="42"/>
      <c r="R17" s="42"/>
    </row>
    <row r="18" spans="1:18" x14ac:dyDescent="0.2">
      <c r="A18" s="123" t="s">
        <v>506</v>
      </c>
      <c r="B18" s="42"/>
      <c r="C18" s="43">
        <v>123</v>
      </c>
      <c r="D18" s="43">
        <v>467</v>
      </c>
      <c r="E18" s="94"/>
      <c r="F18" s="79">
        <f t="shared" ref="F18" si="0">ROUND(G18/C18,2)</f>
        <v>419.92</v>
      </c>
      <c r="G18" s="80">
        <v>51650</v>
      </c>
      <c r="H18" s="43">
        <v>790</v>
      </c>
      <c r="I18" s="81">
        <f t="shared" ref="I18" si="1">D18*H18</f>
        <v>368930</v>
      </c>
      <c r="J18" s="95">
        <v>6.0720000000000003E-2</v>
      </c>
      <c r="K18" s="77">
        <f t="shared" ref="K18" si="2">ROUND(I18*J18,0)</f>
        <v>22401</v>
      </c>
      <c r="L18" s="77">
        <f>'22a&amp;b'!CU26</f>
        <v>3993</v>
      </c>
      <c r="M18" s="77">
        <v>0</v>
      </c>
      <c r="N18" s="77">
        <f t="shared" ref="N18" si="3">+L18+M18</f>
        <v>3993</v>
      </c>
      <c r="O18" s="77">
        <f t="shared" ref="O18" si="4">+G18+K18+N18</f>
        <v>78044</v>
      </c>
      <c r="P18" s="42"/>
      <c r="Q18" s="42"/>
      <c r="R18" s="42"/>
    </row>
    <row r="19" spans="1:18" x14ac:dyDescent="0.2">
      <c r="A19" s="42"/>
      <c r="B19" s="42"/>
      <c r="C19" s="43"/>
      <c r="D19" s="43"/>
      <c r="E19" s="94"/>
      <c r="F19" s="79"/>
      <c r="G19" s="80"/>
      <c r="H19" s="43"/>
      <c r="I19" s="81"/>
      <c r="J19" s="95"/>
      <c r="K19" s="77"/>
      <c r="L19" s="77"/>
      <c r="M19" s="77"/>
      <c r="N19" s="77"/>
      <c r="O19" s="77"/>
      <c r="P19" s="42"/>
      <c r="Q19" s="42"/>
      <c r="R19" s="42"/>
    </row>
    <row r="20" spans="1:18" x14ac:dyDescent="0.2">
      <c r="A20" s="42" t="s">
        <v>346</v>
      </c>
      <c r="B20" s="42"/>
      <c r="C20" s="43"/>
      <c r="D20" s="43"/>
      <c r="E20" s="94"/>
      <c r="F20" s="79"/>
      <c r="G20" s="80"/>
      <c r="H20" s="43"/>
      <c r="I20" s="81"/>
      <c r="J20" s="95"/>
      <c r="K20" s="77"/>
      <c r="L20" s="77"/>
      <c r="M20" s="77"/>
      <c r="N20" s="77"/>
      <c r="O20" s="77"/>
      <c r="P20" s="42"/>
      <c r="Q20" s="42"/>
      <c r="R20" s="42"/>
    </row>
    <row r="21" spans="1:18" x14ac:dyDescent="0.2">
      <c r="A21" s="96" t="s">
        <v>207</v>
      </c>
      <c r="B21" s="42"/>
      <c r="C21" s="43">
        <v>81</v>
      </c>
      <c r="D21" s="43">
        <v>462</v>
      </c>
      <c r="E21" s="94" t="s">
        <v>170</v>
      </c>
      <c r="F21" s="79">
        <f>ROUND(G21/C21,2)</f>
        <v>586.26</v>
      </c>
      <c r="G21" s="80">
        <v>47487.09</v>
      </c>
      <c r="H21" s="43">
        <v>719</v>
      </c>
      <c r="I21" s="81">
        <f>D21*H21</f>
        <v>332178</v>
      </c>
      <c r="J21" s="182">
        <v>6.0670000000000002E-2</v>
      </c>
      <c r="K21" s="77">
        <f>ROUND(I21*J21,0)</f>
        <v>20153</v>
      </c>
      <c r="L21" s="77">
        <f>'22a&amp;b'!CU29</f>
        <v>7174</v>
      </c>
      <c r="M21" s="77">
        <v>0</v>
      </c>
      <c r="N21" s="77">
        <f>+L21+M21</f>
        <v>7174</v>
      </c>
      <c r="O21" s="77">
        <f>+G21+K21+N21</f>
        <v>74814.09</v>
      </c>
      <c r="P21" s="42"/>
      <c r="Q21" s="42"/>
      <c r="R21" s="42"/>
    </row>
    <row r="22" spans="1:18" x14ac:dyDescent="0.2">
      <c r="A22" s="96" t="s">
        <v>208</v>
      </c>
      <c r="B22" s="42"/>
      <c r="C22" s="43">
        <v>0</v>
      </c>
      <c r="D22" s="43">
        <v>0</v>
      </c>
      <c r="E22" s="116" t="s">
        <v>170</v>
      </c>
      <c r="F22" s="79">
        <v>0</v>
      </c>
      <c r="G22" s="80">
        <v>0</v>
      </c>
      <c r="H22" s="43">
        <v>0</v>
      </c>
      <c r="I22" s="81">
        <f>D22*H22</f>
        <v>0</v>
      </c>
      <c r="J22" s="95">
        <v>0</v>
      </c>
      <c r="K22" s="77">
        <f>ROUND(I22*J22,0)</f>
        <v>0</v>
      </c>
      <c r="L22" s="77">
        <f>'22a&amp;b'!CU30</f>
        <v>0</v>
      </c>
      <c r="M22" s="77">
        <v>0</v>
      </c>
      <c r="N22" s="77">
        <f>+L22+M22</f>
        <v>0</v>
      </c>
      <c r="O22" s="77">
        <f>+G22+K22+N22</f>
        <v>0</v>
      </c>
      <c r="P22" s="42"/>
      <c r="Q22" s="42"/>
      <c r="R22" s="42"/>
    </row>
    <row r="23" spans="1:18" x14ac:dyDescent="0.2">
      <c r="A23" s="96"/>
      <c r="B23" s="42"/>
      <c r="C23" s="43"/>
      <c r="D23" s="43"/>
      <c r="E23" s="94"/>
      <c r="F23" s="79"/>
      <c r="G23" s="80"/>
      <c r="H23" s="43"/>
      <c r="I23" s="81"/>
      <c r="J23" s="95"/>
      <c r="K23" s="77"/>
      <c r="L23" s="77"/>
      <c r="M23" s="77"/>
      <c r="N23" s="77"/>
      <c r="O23" s="77"/>
      <c r="P23" s="42"/>
      <c r="Q23" s="42"/>
      <c r="R23" s="42"/>
    </row>
    <row r="24" spans="1:18" s="42" customFormat="1" x14ac:dyDescent="0.2">
      <c r="A24" s="42" t="s">
        <v>348</v>
      </c>
      <c r="C24" s="43">
        <v>260</v>
      </c>
      <c r="D24" s="43">
        <v>1421</v>
      </c>
      <c r="E24" s="116" t="s">
        <v>170</v>
      </c>
      <c r="F24" s="79">
        <f>ROUND(G24/C24,2)</f>
        <v>553.78</v>
      </c>
      <c r="G24" s="43">
        <v>143981.93</v>
      </c>
      <c r="H24" s="78">
        <v>521</v>
      </c>
      <c r="I24" s="81">
        <f>D24*H24</f>
        <v>740341</v>
      </c>
      <c r="J24" s="95">
        <v>6.0659999999999999E-2</v>
      </c>
      <c r="K24" s="77">
        <f>ROUND(I24*J24,0)</f>
        <v>44909</v>
      </c>
      <c r="L24" s="77">
        <f>'22a&amp;b'!CU34</f>
        <v>9352</v>
      </c>
      <c r="M24" s="77">
        <v>0</v>
      </c>
      <c r="N24" s="77">
        <f>+L24+M24</f>
        <v>9352</v>
      </c>
      <c r="O24" s="77">
        <f>+G24+K24+N24</f>
        <v>198242.93</v>
      </c>
    </row>
    <row r="25" spans="1:18" x14ac:dyDescent="0.2">
      <c r="A25" s="96"/>
      <c r="B25" s="42"/>
      <c r="C25" s="43"/>
      <c r="D25" s="43"/>
      <c r="E25" s="94"/>
      <c r="F25" s="79"/>
      <c r="G25" s="80"/>
      <c r="H25" s="78"/>
      <c r="I25" s="81"/>
      <c r="J25" s="95"/>
      <c r="K25" s="77"/>
      <c r="L25" s="77"/>
      <c r="M25" s="77"/>
      <c r="N25" s="77"/>
      <c r="O25" s="77"/>
      <c r="P25" s="42"/>
      <c r="Q25" s="42"/>
      <c r="R25" s="42"/>
    </row>
    <row r="26" spans="1:18" x14ac:dyDescent="0.2">
      <c r="A26" s="177" t="s">
        <v>350</v>
      </c>
      <c r="B26" s="42"/>
      <c r="C26" s="43">
        <v>1500</v>
      </c>
      <c r="D26" s="43">
        <v>3947</v>
      </c>
      <c r="E26" s="116" t="s">
        <v>170</v>
      </c>
      <c r="F26" s="79">
        <f>ROUND(G26/C26,2)</f>
        <v>16.09</v>
      </c>
      <c r="G26" s="80">
        <v>24141</v>
      </c>
      <c r="H26" s="78">
        <v>33</v>
      </c>
      <c r="I26" s="81">
        <f>D26*H26</f>
        <v>130251</v>
      </c>
      <c r="J26" s="95">
        <v>0.06</v>
      </c>
      <c r="K26" s="77">
        <f>ROUND(I26*J26,0)</f>
        <v>7815</v>
      </c>
      <c r="L26" s="77">
        <f>'22a&amp;b'!CU38</f>
        <v>2085</v>
      </c>
      <c r="M26" s="77">
        <v>0</v>
      </c>
      <c r="N26" s="77">
        <f>+L26+M26</f>
        <v>2085</v>
      </c>
      <c r="O26" s="77">
        <f>+G26+K26+N26</f>
        <v>34041</v>
      </c>
      <c r="P26" s="42"/>
      <c r="Q26" s="42"/>
      <c r="R26" s="42"/>
    </row>
    <row r="27" spans="1:18" x14ac:dyDescent="0.2">
      <c r="A27" s="96"/>
      <c r="B27" s="42"/>
      <c r="C27" s="43"/>
      <c r="D27" s="43"/>
      <c r="E27" s="94"/>
      <c r="F27" s="79"/>
      <c r="G27" s="80"/>
      <c r="H27" s="43"/>
      <c r="I27" s="81"/>
      <c r="J27" s="95"/>
      <c r="K27" s="77"/>
      <c r="L27" s="77"/>
      <c r="M27" s="77"/>
      <c r="N27" s="77"/>
      <c r="O27" s="77"/>
      <c r="P27" s="42"/>
      <c r="Q27" s="42"/>
      <c r="R27" s="42"/>
    </row>
    <row r="28" spans="1:18" x14ac:dyDescent="0.2">
      <c r="A28" s="96" t="s">
        <v>351</v>
      </c>
      <c r="B28" s="42"/>
      <c r="C28" s="43">
        <v>2523</v>
      </c>
      <c r="D28" s="43">
        <v>4595</v>
      </c>
      <c r="E28" s="94" t="s">
        <v>170</v>
      </c>
      <c r="F28" s="79">
        <f>ROUND(G28/C28,2)</f>
        <v>5.76</v>
      </c>
      <c r="G28" s="80">
        <v>14526.01</v>
      </c>
      <c r="H28" s="78">
        <v>21</v>
      </c>
      <c r="I28" s="81">
        <f>D28*H28</f>
        <v>96495</v>
      </c>
      <c r="J28" s="95">
        <v>0.06</v>
      </c>
      <c r="K28" s="77">
        <f>ROUND(I28*J28,0)</f>
        <v>5790</v>
      </c>
      <c r="L28" s="77">
        <f>'22a&amp;b'!CU40</f>
        <v>1917</v>
      </c>
      <c r="M28" s="77">
        <v>0</v>
      </c>
      <c r="N28" s="77">
        <f>+L28+M28</f>
        <v>1917</v>
      </c>
      <c r="O28" s="77">
        <f>+G28+K28+N28</f>
        <v>22233.010000000002</v>
      </c>
      <c r="P28" s="42"/>
      <c r="Q28" s="42"/>
      <c r="R28" s="42"/>
    </row>
    <row r="29" spans="1:18" x14ac:dyDescent="0.2">
      <c r="A29" s="96"/>
      <c r="B29" s="42"/>
      <c r="C29" s="43"/>
      <c r="D29" s="43"/>
      <c r="E29" s="94"/>
      <c r="F29" s="79"/>
      <c r="G29" s="80"/>
      <c r="H29" s="78"/>
      <c r="I29" s="81"/>
      <c r="J29" s="95"/>
      <c r="K29" s="77"/>
      <c r="L29" s="77"/>
      <c r="M29" s="77"/>
      <c r="N29" s="77"/>
      <c r="O29" s="77"/>
      <c r="P29" s="42"/>
      <c r="Q29" s="42"/>
      <c r="R29" s="42"/>
    </row>
    <row r="30" spans="1:18" x14ac:dyDescent="0.2">
      <c r="A30" s="96" t="s">
        <v>386</v>
      </c>
      <c r="B30" s="42"/>
      <c r="C30" s="43"/>
      <c r="D30" s="43"/>
      <c r="E30" s="94"/>
      <c r="F30" s="79"/>
      <c r="G30" s="80"/>
      <c r="H30" s="78"/>
      <c r="I30" s="81"/>
      <c r="J30" s="95"/>
      <c r="K30" s="77"/>
      <c r="L30" s="77"/>
      <c r="M30" s="77"/>
      <c r="N30" s="77"/>
      <c r="O30" s="77"/>
      <c r="P30" s="42"/>
      <c r="Q30" s="42"/>
      <c r="R30" s="42"/>
    </row>
    <row r="31" spans="1:18" x14ac:dyDescent="0.2">
      <c r="A31" s="42" t="s">
        <v>387</v>
      </c>
      <c r="B31" s="42"/>
      <c r="C31" s="43">
        <f>152210+113004</f>
        <v>265214</v>
      </c>
      <c r="D31" s="43">
        <v>242425</v>
      </c>
      <c r="E31" s="94" t="s">
        <v>170</v>
      </c>
      <c r="F31" s="79">
        <f>ROUND(G31/C31,2)</f>
        <v>1.92</v>
      </c>
      <c r="G31" s="114">
        <f>363901.03+144557.78</f>
        <v>508458.81000000006</v>
      </c>
      <c r="H31" s="78">
        <v>13</v>
      </c>
      <c r="I31" s="81">
        <f>D31*H31</f>
        <v>3151525</v>
      </c>
      <c r="J31" s="95">
        <v>6.2469999999999998E-2</v>
      </c>
      <c r="K31" s="77">
        <f>ROUND(I31*J31,0)</f>
        <v>196876</v>
      </c>
      <c r="L31" s="77">
        <f>'22a&amp;b'!CU43</f>
        <v>177693</v>
      </c>
      <c r="M31" s="77">
        <v>0</v>
      </c>
      <c r="N31" s="77">
        <f>+L31+M31</f>
        <v>177693</v>
      </c>
      <c r="O31" s="99">
        <f>+G31+K31+N31</f>
        <v>883027.81</v>
      </c>
      <c r="P31" s="42"/>
      <c r="Q31" s="42"/>
      <c r="R31" s="42"/>
    </row>
    <row r="32" spans="1:18" x14ac:dyDescent="0.2">
      <c r="A32" s="42" t="s">
        <v>458</v>
      </c>
      <c r="B32" s="42"/>
      <c r="C32" s="43">
        <v>0</v>
      </c>
      <c r="D32" s="43">
        <v>4265</v>
      </c>
      <c r="E32" s="116" t="s">
        <v>170</v>
      </c>
      <c r="F32" s="79">
        <v>0</v>
      </c>
      <c r="G32" s="80">
        <v>0</v>
      </c>
      <c r="H32" s="78">
        <v>17</v>
      </c>
      <c r="I32" s="81">
        <f>D32*H32</f>
        <v>72505</v>
      </c>
      <c r="J32" s="95">
        <v>5.9610000000000003E-2</v>
      </c>
      <c r="K32" s="77">
        <f>ROUND(I32*J32,0)</f>
        <v>4322</v>
      </c>
      <c r="L32" s="77">
        <f>'22a&amp;b'!CU44</f>
        <v>0</v>
      </c>
      <c r="M32" s="77">
        <f>ROUND(G32*0.05,0)</f>
        <v>0</v>
      </c>
      <c r="N32" s="77">
        <f>+L32+M32</f>
        <v>0</v>
      </c>
      <c r="O32" s="77">
        <f>+G32+K32+N32</f>
        <v>4322</v>
      </c>
      <c r="P32" s="42"/>
      <c r="Q32" s="42"/>
      <c r="R32" s="42"/>
    </row>
    <row r="33" spans="1:18" x14ac:dyDescent="0.2">
      <c r="A33" s="42" t="s">
        <v>398</v>
      </c>
      <c r="B33" s="42"/>
      <c r="C33" s="43">
        <v>22260</v>
      </c>
      <c r="D33" s="43">
        <v>15951</v>
      </c>
      <c r="E33" s="116" t="s">
        <v>170</v>
      </c>
      <c r="F33" s="79">
        <f t="shared" ref="F33:F39" si="5">ROUND(G33/C33,2)</f>
        <v>2.94</v>
      </c>
      <c r="G33" s="80">
        <v>65333.65</v>
      </c>
      <c r="H33" s="78">
        <v>16</v>
      </c>
      <c r="I33" s="81">
        <f>D33*H33</f>
        <v>255216</v>
      </c>
      <c r="J33" s="95">
        <v>6.053E-2</v>
      </c>
      <c r="K33" s="77">
        <f>ROUND(I33*J33,0)</f>
        <v>15448</v>
      </c>
      <c r="L33" s="77">
        <v>0</v>
      </c>
      <c r="M33" s="77">
        <f>ROUND(G33*0.05,0)</f>
        <v>3267</v>
      </c>
      <c r="N33" s="77">
        <f>+L33+M33</f>
        <v>3267</v>
      </c>
      <c r="O33" s="77">
        <f>+G33+K33+N33</f>
        <v>84048.65</v>
      </c>
      <c r="P33" s="42"/>
      <c r="Q33" s="42"/>
      <c r="R33" s="42"/>
    </row>
    <row r="34" spans="1:18" x14ac:dyDescent="0.2">
      <c r="A34" s="123" t="s">
        <v>509</v>
      </c>
      <c r="B34" s="42"/>
      <c r="C34" s="43">
        <v>6167</v>
      </c>
      <c r="D34" s="43">
        <v>2903</v>
      </c>
      <c r="E34" s="116" t="s">
        <v>170</v>
      </c>
      <c r="F34" s="79">
        <f t="shared" si="5"/>
        <v>2.1</v>
      </c>
      <c r="G34" s="80">
        <v>12975.35</v>
      </c>
      <c r="H34" s="78">
        <v>15</v>
      </c>
      <c r="I34" s="81">
        <f t="shared" ref="I34:I39" si="6">D34*H34</f>
        <v>43545</v>
      </c>
      <c r="J34" s="95">
        <v>6.1940000000000002E-2</v>
      </c>
      <c r="K34" s="77">
        <f t="shared" ref="K34:K39" si="7">ROUND(I34*J34,0)</f>
        <v>2697</v>
      </c>
      <c r="L34" s="77">
        <f>'22a&amp;b'!CU46</f>
        <v>4687</v>
      </c>
      <c r="M34" s="77">
        <v>0</v>
      </c>
      <c r="N34" s="77">
        <f t="shared" ref="N34:N39" si="8">+L34+M34</f>
        <v>4687</v>
      </c>
      <c r="O34" s="77">
        <f t="shared" ref="O34:O39" si="9">+G34+K34+N34</f>
        <v>20359.349999999999</v>
      </c>
      <c r="P34" s="42"/>
      <c r="Q34" s="42"/>
      <c r="R34" s="42"/>
    </row>
    <row r="35" spans="1:18" x14ac:dyDescent="0.2">
      <c r="A35" s="123" t="s">
        <v>510</v>
      </c>
      <c r="B35" s="42"/>
      <c r="C35" s="43">
        <v>250</v>
      </c>
      <c r="D35" s="43">
        <v>94</v>
      </c>
      <c r="E35" s="116" t="s">
        <v>170</v>
      </c>
      <c r="F35" s="79">
        <f t="shared" si="5"/>
        <v>255.65</v>
      </c>
      <c r="G35" s="80">
        <v>63912.35</v>
      </c>
      <c r="H35" s="78">
        <v>29</v>
      </c>
      <c r="I35" s="81">
        <f t="shared" si="6"/>
        <v>2726</v>
      </c>
      <c r="J35" s="95">
        <v>6.1019999999999998E-2</v>
      </c>
      <c r="K35" s="77">
        <f t="shared" si="7"/>
        <v>166</v>
      </c>
      <c r="L35" s="77">
        <v>0</v>
      </c>
      <c r="M35" s="77">
        <f t="shared" ref="M35:M38" si="10">ROUND(G35*0.05,0)</f>
        <v>3196</v>
      </c>
      <c r="N35" s="77">
        <f t="shared" si="8"/>
        <v>3196</v>
      </c>
      <c r="O35" s="77">
        <f t="shared" si="9"/>
        <v>67274.350000000006</v>
      </c>
      <c r="P35" s="42"/>
      <c r="Q35" s="42"/>
      <c r="R35" s="42"/>
    </row>
    <row r="36" spans="1:18" x14ac:dyDescent="0.2">
      <c r="A36" s="123" t="s">
        <v>511</v>
      </c>
      <c r="B36" s="42"/>
      <c r="C36" s="43">
        <v>225</v>
      </c>
      <c r="D36" s="43">
        <v>84</v>
      </c>
      <c r="E36" s="116" t="s">
        <v>170</v>
      </c>
      <c r="F36" s="79">
        <f t="shared" si="5"/>
        <v>37.950000000000003</v>
      </c>
      <c r="G36" s="80">
        <v>8539.83</v>
      </c>
      <c r="H36" s="78">
        <v>30</v>
      </c>
      <c r="I36" s="81">
        <f t="shared" si="6"/>
        <v>2520</v>
      </c>
      <c r="J36" s="95">
        <v>6.0979999999999999E-2</v>
      </c>
      <c r="K36" s="77">
        <f t="shared" si="7"/>
        <v>154</v>
      </c>
      <c r="L36" s="77">
        <f>'22a&amp;b'!CU48</f>
        <v>16</v>
      </c>
      <c r="M36" s="77">
        <v>0</v>
      </c>
      <c r="N36" s="77">
        <f t="shared" si="8"/>
        <v>16</v>
      </c>
      <c r="O36" s="77">
        <f t="shared" si="9"/>
        <v>8709.83</v>
      </c>
      <c r="P36" s="42"/>
      <c r="Q36" s="42"/>
      <c r="R36" s="42"/>
    </row>
    <row r="37" spans="1:18" x14ac:dyDescent="0.2">
      <c r="A37" s="123" t="s">
        <v>512</v>
      </c>
      <c r="B37" s="42"/>
      <c r="C37" s="43">
        <v>225</v>
      </c>
      <c r="D37" s="43">
        <v>87</v>
      </c>
      <c r="E37" s="116" t="s">
        <v>170</v>
      </c>
      <c r="F37" s="79">
        <f t="shared" si="5"/>
        <v>214.96</v>
      </c>
      <c r="G37" s="80">
        <v>48365.38</v>
      </c>
      <c r="H37" s="78">
        <v>4</v>
      </c>
      <c r="I37" s="81">
        <f t="shared" si="6"/>
        <v>348</v>
      </c>
      <c r="J37" s="95">
        <v>6.6669999999999993E-2</v>
      </c>
      <c r="K37" s="77">
        <f t="shared" si="7"/>
        <v>23</v>
      </c>
      <c r="L37" s="77">
        <v>0</v>
      </c>
      <c r="M37" s="77">
        <f t="shared" si="10"/>
        <v>2418</v>
      </c>
      <c r="N37" s="77">
        <f t="shared" si="8"/>
        <v>2418</v>
      </c>
      <c r="O37" s="77">
        <f t="shared" si="9"/>
        <v>50806.38</v>
      </c>
      <c r="P37" s="42"/>
      <c r="Q37" s="42"/>
      <c r="R37" s="42"/>
    </row>
    <row r="38" spans="1:18" x14ac:dyDescent="0.2">
      <c r="A38" s="123" t="s">
        <v>513</v>
      </c>
      <c r="B38" s="42"/>
      <c r="C38" s="43">
        <v>35</v>
      </c>
      <c r="D38" s="43">
        <v>13</v>
      </c>
      <c r="E38" s="116" t="s">
        <v>170</v>
      </c>
      <c r="F38" s="79">
        <f t="shared" si="5"/>
        <v>177</v>
      </c>
      <c r="G38" s="80">
        <v>6195.09</v>
      </c>
      <c r="H38" s="78">
        <v>7</v>
      </c>
      <c r="I38" s="81">
        <f t="shared" si="6"/>
        <v>91</v>
      </c>
      <c r="J38" s="95">
        <v>0.06</v>
      </c>
      <c r="K38" s="77">
        <f t="shared" si="7"/>
        <v>5</v>
      </c>
      <c r="L38" s="77">
        <v>0</v>
      </c>
      <c r="M38" s="77">
        <f t="shared" si="10"/>
        <v>310</v>
      </c>
      <c r="N38" s="77">
        <f t="shared" si="8"/>
        <v>310</v>
      </c>
      <c r="O38" s="77">
        <f t="shared" si="9"/>
        <v>6510.09</v>
      </c>
      <c r="P38" s="42"/>
      <c r="Q38" s="42"/>
      <c r="R38" s="42"/>
    </row>
    <row r="39" spans="1:18" x14ac:dyDescent="0.2">
      <c r="A39" s="123" t="s">
        <v>514</v>
      </c>
      <c r="B39" s="42"/>
      <c r="C39" s="43">
        <v>5</v>
      </c>
      <c r="D39" s="43">
        <v>2</v>
      </c>
      <c r="E39" s="116" t="s">
        <v>170</v>
      </c>
      <c r="F39" s="79">
        <f t="shared" si="5"/>
        <v>952.96</v>
      </c>
      <c r="G39" s="80">
        <v>4764.8</v>
      </c>
      <c r="H39" s="78">
        <v>716</v>
      </c>
      <c r="I39" s="81">
        <f t="shared" si="6"/>
        <v>1432</v>
      </c>
      <c r="J39" s="95">
        <v>6.071E-2</v>
      </c>
      <c r="K39" s="77">
        <f t="shared" si="7"/>
        <v>87</v>
      </c>
      <c r="L39" s="77">
        <f>'22a&amp;b'!CU51</f>
        <v>18</v>
      </c>
      <c r="M39" s="77">
        <v>0</v>
      </c>
      <c r="N39" s="77">
        <f t="shared" si="8"/>
        <v>18</v>
      </c>
      <c r="O39" s="77">
        <f t="shared" si="9"/>
        <v>4869.8</v>
      </c>
      <c r="P39" s="42"/>
      <c r="Q39" s="42"/>
      <c r="R39" s="42"/>
    </row>
    <row r="40" spans="1:18" x14ac:dyDescent="0.2">
      <c r="A40" s="96"/>
      <c r="B40" s="42"/>
      <c r="C40" s="43"/>
      <c r="D40" s="43"/>
      <c r="E40" s="94"/>
      <c r="F40" s="79"/>
      <c r="G40" s="80"/>
      <c r="H40" s="78"/>
      <c r="I40" s="81"/>
      <c r="J40" s="95"/>
      <c r="K40" s="77"/>
      <c r="L40" s="77"/>
      <c r="M40" s="77"/>
      <c r="N40" s="77"/>
      <c r="O40" s="77"/>
      <c r="P40" s="42"/>
      <c r="Q40" s="42"/>
      <c r="R40" s="42"/>
    </row>
    <row r="41" spans="1:18" x14ac:dyDescent="0.2">
      <c r="A41" s="96" t="s">
        <v>388</v>
      </c>
      <c r="B41" s="42"/>
      <c r="C41" s="43"/>
      <c r="D41" s="43"/>
      <c r="E41" s="94"/>
      <c r="F41" s="79"/>
      <c r="G41" s="80"/>
      <c r="H41" s="78"/>
      <c r="I41" s="81"/>
      <c r="J41" s="95"/>
      <c r="K41" s="77"/>
      <c r="L41" s="77"/>
      <c r="M41" s="77"/>
      <c r="N41" s="77"/>
      <c r="O41" s="77"/>
      <c r="P41" s="42"/>
      <c r="Q41" s="42"/>
      <c r="R41" s="42"/>
    </row>
    <row r="42" spans="1:18" x14ac:dyDescent="0.2">
      <c r="A42" s="42" t="s">
        <v>208</v>
      </c>
      <c r="B42" s="42"/>
      <c r="C42" s="43">
        <v>0</v>
      </c>
      <c r="D42" s="43">
        <v>28</v>
      </c>
      <c r="E42" s="94" t="s">
        <v>170</v>
      </c>
      <c r="F42" s="79">
        <v>0</v>
      </c>
      <c r="G42" s="80">
        <v>0</v>
      </c>
      <c r="H42" s="78">
        <v>0</v>
      </c>
      <c r="I42" s="81">
        <f>D42*H42</f>
        <v>0</v>
      </c>
      <c r="J42" s="95">
        <v>0</v>
      </c>
      <c r="K42" s="77">
        <f>ROUND(I42*J42,0)</f>
        <v>0</v>
      </c>
      <c r="L42" s="77">
        <v>0</v>
      </c>
      <c r="M42" s="77">
        <f>ROUND(G42*0.05,0)</f>
        <v>0</v>
      </c>
      <c r="N42" s="77">
        <f>+L42+M42</f>
        <v>0</v>
      </c>
      <c r="O42" s="77">
        <f>+G42+K42+N42</f>
        <v>0</v>
      </c>
      <c r="P42" s="42"/>
      <c r="Q42" s="42"/>
      <c r="R42" s="42"/>
    </row>
    <row r="43" spans="1:18" x14ac:dyDescent="0.2">
      <c r="A43" s="42" t="s">
        <v>207</v>
      </c>
      <c r="B43" s="42"/>
      <c r="C43" s="43">
        <v>0</v>
      </c>
      <c r="D43" s="43">
        <v>400</v>
      </c>
      <c r="E43" s="116" t="s">
        <v>170</v>
      </c>
      <c r="F43" s="79">
        <v>0</v>
      </c>
      <c r="G43" s="80">
        <v>0</v>
      </c>
      <c r="H43" s="78">
        <v>142</v>
      </c>
      <c r="I43" s="81">
        <f>D43*H43</f>
        <v>56800</v>
      </c>
      <c r="J43" s="95">
        <v>6.0850000000000001E-2</v>
      </c>
      <c r="K43" s="77">
        <f>ROUND(I43*J43,0)</f>
        <v>3456</v>
      </c>
      <c r="L43" s="77">
        <v>0</v>
      </c>
      <c r="M43" s="77">
        <f>ROUND(G43*0.05,0)</f>
        <v>0</v>
      </c>
      <c r="N43" s="77">
        <f>+L43+M43</f>
        <v>0</v>
      </c>
      <c r="O43" s="77">
        <f>+G43+K43+N43</f>
        <v>3456</v>
      </c>
      <c r="P43" s="42"/>
      <c r="Q43" s="42"/>
      <c r="R43" s="42"/>
    </row>
    <row r="44" spans="1:18" x14ac:dyDescent="0.2">
      <c r="A44" s="42"/>
      <c r="B44" s="42"/>
      <c r="C44" s="43"/>
      <c r="D44" s="43"/>
      <c r="E44" s="94"/>
      <c r="F44" s="79"/>
      <c r="G44" s="80"/>
      <c r="H44" s="78"/>
      <c r="I44" s="81"/>
      <c r="J44" s="95"/>
      <c r="K44" s="77"/>
      <c r="L44" s="77"/>
      <c r="M44" s="77"/>
      <c r="N44" s="77"/>
      <c r="O44" s="77"/>
      <c r="P44" s="42"/>
      <c r="Q44" s="42"/>
      <c r="R44" s="42"/>
    </row>
    <row r="45" spans="1:18" x14ac:dyDescent="0.2">
      <c r="A45" s="42" t="s">
        <v>441</v>
      </c>
      <c r="B45" s="42"/>
      <c r="C45" s="43"/>
      <c r="D45" s="43"/>
      <c r="E45" s="94"/>
      <c r="F45" s="79"/>
      <c r="G45" s="80"/>
      <c r="H45" s="78"/>
      <c r="I45" s="81"/>
      <c r="J45" s="95"/>
      <c r="K45" s="77"/>
      <c r="L45" s="77"/>
      <c r="M45" s="77"/>
      <c r="N45" s="77"/>
      <c r="O45" s="77"/>
      <c r="P45" s="42"/>
      <c r="Q45" s="42"/>
      <c r="R45" s="42"/>
    </row>
    <row r="46" spans="1:18" x14ac:dyDescent="0.2">
      <c r="A46" s="42" t="s">
        <v>208</v>
      </c>
      <c r="B46" s="42"/>
      <c r="C46" s="43">
        <v>0</v>
      </c>
      <c r="D46" s="43">
        <v>0</v>
      </c>
      <c r="E46" s="116" t="s">
        <v>170</v>
      </c>
      <c r="F46" s="79">
        <v>0</v>
      </c>
      <c r="G46" s="80">
        <v>0</v>
      </c>
      <c r="H46" s="78">
        <v>0</v>
      </c>
      <c r="I46" s="81">
        <f>D46*H46</f>
        <v>0</v>
      </c>
      <c r="J46" s="95">
        <v>0</v>
      </c>
      <c r="K46" s="77">
        <f>ROUND(I46*J46,0)</f>
        <v>0</v>
      </c>
      <c r="L46" s="77">
        <v>0</v>
      </c>
      <c r="M46" s="77">
        <v>0</v>
      </c>
      <c r="N46" s="77">
        <f>+L46+M46</f>
        <v>0</v>
      </c>
      <c r="O46" s="77">
        <f>+G46+K46+N46</f>
        <v>0</v>
      </c>
      <c r="P46" s="42"/>
      <c r="Q46" s="42"/>
      <c r="R46" s="42"/>
    </row>
    <row r="47" spans="1:18" x14ac:dyDescent="0.2">
      <c r="A47" s="42" t="s">
        <v>397</v>
      </c>
      <c r="B47" s="42"/>
      <c r="C47" s="43">
        <v>0</v>
      </c>
      <c r="D47" s="43">
        <v>0</v>
      </c>
      <c r="E47" s="116" t="s">
        <v>170</v>
      </c>
      <c r="F47" s="79">
        <v>0</v>
      </c>
      <c r="G47" s="80">
        <v>0</v>
      </c>
      <c r="H47" s="78">
        <v>0</v>
      </c>
      <c r="I47" s="81">
        <f>D47*H47</f>
        <v>0</v>
      </c>
      <c r="J47" s="95">
        <v>0</v>
      </c>
      <c r="K47" s="77">
        <f>ROUND(I47*J47,0)</f>
        <v>0</v>
      </c>
      <c r="L47" s="77">
        <v>0</v>
      </c>
      <c r="M47" s="77">
        <v>0</v>
      </c>
      <c r="N47" s="77">
        <f>+L47+M47</f>
        <v>0</v>
      </c>
      <c r="O47" s="77">
        <f>+G47+K47+N47</f>
        <v>0</v>
      </c>
      <c r="P47" s="42"/>
      <c r="Q47" s="42"/>
      <c r="R47" s="42"/>
    </row>
    <row r="48" spans="1:18" x14ac:dyDescent="0.2">
      <c r="A48" s="42"/>
      <c r="B48" s="42"/>
      <c r="C48" s="42"/>
      <c r="D48" s="42"/>
      <c r="E48" s="9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2"/>
      <c r="R48" s="42"/>
    </row>
    <row r="49" spans="1:19" x14ac:dyDescent="0.2">
      <c r="A49" s="42"/>
      <c r="B49" s="42"/>
      <c r="C49" s="43"/>
      <c r="D49" s="43"/>
      <c r="E49" s="94"/>
      <c r="F49" s="79"/>
      <c r="G49" s="80"/>
      <c r="H49" s="78"/>
      <c r="I49" s="81"/>
      <c r="J49" s="95"/>
      <c r="K49" s="77"/>
      <c r="L49" s="77"/>
      <c r="M49" s="77"/>
      <c r="N49" s="77"/>
      <c r="O49" s="77"/>
      <c r="P49" s="42"/>
      <c r="Q49" s="42"/>
      <c r="R49" s="42"/>
    </row>
    <row r="50" spans="1:19" x14ac:dyDescent="0.2">
      <c r="A50" s="42" t="s">
        <v>505</v>
      </c>
      <c r="B50" s="42"/>
      <c r="C50" s="97">
        <v>0</v>
      </c>
      <c r="D50" s="43">
        <v>0</v>
      </c>
      <c r="E50" s="116" t="s">
        <v>170</v>
      </c>
      <c r="F50" s="79">
        <v>0</v>
      </c>
      <c r="G50" s="77">
        <v>20735.419999999998</v>
      </c>
      <c r="H50" s="43">
        <v>0</v>
      </c>
      <c r="I50" s="81">
        <v>0</v>
      </c>
      <c r="J50" s="95">
        <v>0</v>
      </c>
      <c r="K50" s="77">
        <v>0</v>
      </c>
      <c r="L50" s="77">
        <v>0</v>
      </c>
      <c r="M50" s="77">
        <v>0</v>
      </c>
      <c r="N50" s="77">
        <v>0</v>
      </c>
      <c r="O50" s="99">
        <f>+G50+K50+N50</f>
        <v>20735.419999999998</v>
      </c>
      <c r="P50" s="42"/>
      <c r="Q50" s="42"/>
      <c r="R50" s="42"/>
      <c r="S50" s="115"/>
    </row>
    <row r="51" spans="1:19" x14ac:dyDescent="0.2">
      <c r="A51" s="42"/>
      <c r="B51" s="42"/>
      <c r="C51" s="97"/>
      <c r="D51" s="43"/>
      <c r="E51" s="116"/>
      <c r="F51" s="79"/>
      <c r="G51" s="77"/>
      <c r="H51" s="43"/>
      <c r="I51" s="81"/>
      <c r="J51" s="95"/>
      <c r="K51" s="77"/>
      <c r="L51" s="77"/>
      <c r="M51" s="77"/>
      <c r="N51" s="77"/>
      <c r="O51" s="77"/>
      <c r="P51" s="42"/>
      <c r="Q51" s="42"/>
      <c r="R51" s="42"/>
      <c r="S51" s="115"/>
    </row>
    <row r="52" spans="1:19" x14ac:dyDescent="0.2">
      <c r="A52" s="123" t="s">
        <v>515</v>
      </c>
      <c r="B52" s="42"/>
      <c r="C52" s="43"/>
      <c r="D52" s="43"/>
      <c r="E52" s="94"/>
      <c r="F52" s="79"/>
      <c r="G52" s="80"/>
      <c r="H52" s="78"/>
      <c r="I52" s="81"/>
      <c r="J52" s="95"/>
      <c r="K52" s="77"/>
      <c r="L52" s="77"/>
      <c r="M52" s="77"/>
      <c r="N52" s="77"/>
      <c r="O52" s="77"/>
      <c r="P52" s="42"/>
      <c r="Q52" s="42"/>
      <c r="R52" s="42"/>
    </row>
    <row r="53" spans="1:19" x14ac:dyDescent="0.2">
      <c r="A53" s="123" t="s">
        <v>516</v>
      </c>
      <c r="B53" s="42"/>
      <c r="C53" s="43">
        <v>0</v>
      </c>
      <c r="D53" s="43">
        <v>17500</v>
      </c>
      <c r="E53" s="116" t="s">
        <v>170</v>
      </c>
      <c r="F53" s="79">
        <v>0</v>
      </c>
      <c r="G53" s="80">
        <v>59000</v>
      </c>
      <c r="H53" s="78">
        <v>102</v>
      </c>
      <c r="I53" s="81">
        <f>D53*H53</f>
        <v>1785000</v>
      </c>
      <c r="J53" s="95">
        <v>6.0879999999999997E-2</v>
      </c>
      <c r="K53" s="77">
        <f>ROUND(I53*J53,0)</f>
        <v>108671</v>
      </c>
      <c r="L53" s="77">
        <f>'22a&amp;b'!CU63</f>
        <v>0</v>
      </c>
      <c r="M53" s="77">
        <v>0</v>
      </c>
      <c r="N53" s="77">
        <f>+L53+M53</f>
        <v>0</v>
      </c>
      <c r="O53" s="77">
        <f>+G53+K53+N53</f>
        <v>167671</v>
      </c>
      <c r="P53" s="42"/>
      <c r="Q53" s="42"/>
      <c r="R53" s="42"/>
    </row>
    <row r="54" spans="1:19" x14ac:dyDescent="0.2">
      <c r="A54" s="42"/>
      <c r="B54" s="42"/>
      <c r="C54" s="43"/>
      <c r="D54" s="43"/>
      <c r="E54" s="94"/>
      <c r="F54" s="43"/>
      <c r="G54" s="43"/>
      <c r="H54" s="97"/>
      <c r="I54" s="43"/>
      <c r="J54" s="95"/>
      <c r="K54" s="43"/>
      <c r="L54" s="43"/>
      <c r="M54" s="43"/>
      <c r="N54" s="43"/>
      <c r="O54" s="43"/>
      <c r="P54" s="42"/>
      <c r="Q54" s="42"/>
      <c r="R54" s="42"/>
    </row>
    <row r="55" spans="1:19" x14ac:dyDescent="0.2">
      <c r="A55" s="123" t="s">
        <v>517</v>
      </c>
      <c r="B55" s="42"/>
      <c r="C55" s="43"/>
      <c r="D55" s="43"/>
      <c r="E55" s="94"/>
      <c r="F55" s="79"/>
      <c r="G55" s="80"/>
      <c r="H55" s="78"/>
      <c r="I55" s="81"/>
      <c r="J55" s="95"/>
      <c r="K55" s="77"/>
      <c r="L55" s="77"/>
      <c r="M55" s="77"/>
      <c r="N55" s="77"/>
      <c r="O55" s="77"/>
      <c r="P55" s="42"/>
      <c r="Q55" s="42"/>
      <c r="R55" s="42"/>
    </row>
    <row r="56" spans="1:19" x14ac:dyDescent="0.2">
      <c r="A56" s="123" t="s">
        <v>518</v>
      </c>
      <c r="B56" s="42"/>
      <c r="C56" s="43">
        <v>400</v>
      </c>
      <c r="D56" s="43">
        <v>29</v>
      </c>
      <c r="E56" s="116" t="s">
        <v>170</v>
      </c>
      <c r="F56" s="79">
        <f t="shared" ref="F56" si="11">ROUND(G56/C56,2)</f>
        <v>176.63</v>
      </c>
      <c r="G56" s="80">
        <v>70653.89</v>
      </c>
      <c r="H56" s="78">
        <v>362</v>
      </c>
      <c r="I56" s="81">
        <f>D56*H56</f>
        <v>10498</v>
      </c>
      <c r="J56" s="95">
        <v>6.0740000000000002E-2</v>
      </c>
      <c r="K56" s="77">
        <f>ROUND(I56*J56,0)</f>
        <v>638</v>
      </c>
      <c r="L56" s="77">
        <f>'22a&amp;b'!CU65</f>
        <v>2956</v>
      </c>
      <c r="M56" s="77">
        <v>0</v>
      </c>
      <c r="N56" s="77">
        <f>+L56+M56</f>
        <v>2956</v>
      </c>
      <c r="O56" s="99">
        <f>+G56+K56+N56</f>
        <v>74247.89</v>
      </c>
      <c r="P56" s="42"/>
      <c r="Q56" s="42"/>
      <c r="R56" s="42"/>
    </row>
    <row r="57" spans="1:19" x14ac:dyDescent="0.2">
      <c r="A57" s="42"/>
      <c r="B57" s="42"/>
      <c r="C57" s="43" t="s">
        <v>201</v>
      </c>
      <c r="D57" s="43" t="s">
        <v>201</v>
      </c>
      <c r="E57" s="94"/>
      <c r="F57" s="43"/>
      <c r="G57" s="43" t="s">
        <v>201</v>
      </c>
      <c r="H57" s="97"/>
      <c r="I57" s="43" t="s">
        <v>201</v>
      </c>
      <c r="J57" s="95"/>
      <c r="K57" s="43" t="s">
        <v>201</v>
      </c>
      <c r="L57" s="43" t="s">
        <v>201</v>
      </c>
      <c r="M57" s="43" t="s">
        <v>201</v>
      </c>
      <c r="N57" s="43" t="s">
        <v>201</v>
      </c>
      <c r="O57" s="43" t="s">
        <v>201</v>
      </c>
      <c r="P57" s="42"/>
      <c r="Q57" s="42"/>
      <c r="R57" s="42"/>
    </row>
    <row r="58" spans="1:19" x14ac:dyDescent="0.2">
      <c r="A58" s="42" t="s">
        <v>39</v>
      </c>
      <c r="B58" s="42"/>
      <c r="C58" s="43">
        <f>SUM(C12:C57)</f>
        <v>300457</v>
      </c>
      <c r="D58" s="43">
        <f>SUM(D12:D57)</f>
        <v>299820</v>
      </c>
      <c r="E58" s="94"/>
      <c r="F58" s="97"/>
      <c r="G58" s="80">
        <f>SUM(G12:G57)</f>
        <v>1962198.7</v>
      </c>
      <c r="H58" s="43"/>
      <c r="I58" s="43">
        <f>SUM(I12:I57)</f>
        <v>9212390</v>
      </c>
      <c r="J58" s="95"/>
      <c r="K58" s="80">
        <f>SUM(K12:K57)</f>
        <v>564941</v>
      </c>
      <c r="L58" s="80">
        <f>SUM(L12:L57)</f>
        <v>238142</v>
      </c>
      <c r="M58" s="80">
        <f>SUM(M12:M57)</f>
        <v>9191</v>
      </c>
      <c r="N58" s="80">
        <f>SUM(N12:N57)</f>
        <v>247333</v>
      </c>
      <c r="O58" s="80">
        <f>SUM(O12:O57)</f>
        <v>2774472.7</v>
      </c>
      <c r="P58" s="42"/>
      <c r="Q58" s="42"/>
      <c r="R58" s="42"/>
    </row>
    <row r="59" spans="1:19" x14ac:dyDescent="0.2">
      <c r="A59" s="42"/>
      <c r="B59" s="42"/>
      <c r="C59" s="97" t="s">
        <v>94</v>
      </c>
      <c r="D59" s="97" t="s">
        <v>94</v>
      </c>
      <c r="E59" s="94"/>
      <c r="F59" s="97"/>
      <c r="G59" s="97" t="s">
        <v>94</v>
      </c>
      <c r="H59" s="97"/>
      <c r="I59" s="97" t="s">
        <v>94</v>
      </c>
      <c r="J59" s="97"/>
      <c r="K59" s="97" t="s">
        <v>94</v>
      </c>
      <c r="L59" s="97" t="s">
        <v>94</v>
      </c>
      <c r="M59" s="97" t="s">
        <v>94</v>
      </c>
      <c r="N59" s="97" t="s">
        <v>94</v>
      </c>
      <c r="O59" s="97" t="s">
        <v>94</v>
      </c>
      <c r="P59" s="42"/>
      <c r="Q59" s="42"/>
      <c r="R59" s="42"/>
    </row>
    <row r="60" spans="1:19" x14ac:dyDescent="0.2">
      <c r="A60" s="42"/>
      <c r="B60" s="42"/>
      <c r="C60" s="97"/>
      <c r="D60" s="97"/>
      <c r="E60" s="94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42"/>
      <c r="Q60" s="42"/>
      <c r="R60" s="42"/>
    </row>
    <row r="61" spans="1:19" x14ac:dyDescent="0.2">
      <c r="A61" s="250" t="str">
        <f>A1</f>
        <v>Year 2015</v>
      </c>
      <c r="B61" s="251"/>
      <c r="C61" s="42"/>
      <c r="D61" s="42"/>
      <c r="E61" s="94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9" x14ac:dyDescent="0.2">
      <c r="A62" s="42"/>
      <c r="B62" s="42"/>
      <c r="C62" s="42"/>
      <c r="D62" s="42"/>
      <c r="E62" s="9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9" x14ac:dyDescent="0.2">
      <c r="A63" s="178" t="s">
        <v>0</v>
      </c>
      <c r="B63" s="42"/>
      <c r="C63" s="42"/>
      <c r="D63" s="42"/>
      <c r="E63" s="94"/>
      <c r="F63" s="42"/>
      <c r="G63" s="42"/>
      <c r="H63" s="42"/>
      <c r="I63" s="252"/>
      <c r="J63" s="42"/>
      <c r="K63" s="42"/>
      <c r="L63" s="42"/>
      <c r="M63" s="42"/>
      <c r="N63" s="253" t="s">
        <v>140</v>
      </c>
      <c r="O63" s="42"/>
      <c r="P63" s="42"/>
      <c r="Q63" s="42"/>
      <c r="R63" s="42"/>
    </row>
    <row r="64" spans="1:19" ht="25.5" x14ac:dyDescent="0.2">
      <c r="A64" s="254" t="s">
        <v>128</v>
      </c>
      <c r="B64" s="42"/>
      <c r="C64" s="42"/>
      <c r="D64" s="42"/>
      <c r="E64" s="94"/>
      <c r="F64" s="42"/>
      <c r="G64" s="42"/>
      <c r="H64" s="42"/>
      <c r="I64" s="42"/>
      <c r="J64" s="42"/>
      <c r="K64" s="42"/>
      <c r="L64" s="42"/>
      <c r="M64" s="42"/>
      <c r="N64" s="116" t="s">
        <v>540</v>
      </c>
      <c r="O64" s="188">
        <f>'Y1'!M7</f>
        <v>24</v>
      </c>
      <c r="P64" s="42"/>
      <c r="Q64" s="42"/>
      <c r="R64" s="42"/>
    </row>
    <row r="65" spans="1:19" x14ac:dyDescent="0.2">
      <c r="A65" s="42"/>
      <c r="B65" s="42"/>
      <c r="C65" s="42"/>
      <c r="D65" s="42"/>
      <c r="E65" s="94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9" ht="25.5" x14ac:dyDescent="0.2">
      <c r="A66" s="255" t="str">
        <f>A6</f>
        <v>YEAR 20 (2nd HALF)</v>
      </c>
      <c r="B66" s="42"/>
      <c r="C66" s="124" t="s">
        <v>57</v>
      </c>
      <c r="D66" s="124" t="s">
        <v>58</v>
      </c>
      <c r="E66" s="94"/>
      <c r="F66" s="256" t="s">
        <v>374</v>
      </c>
      <c r="G66" s="257" t="s">
        <v>312</v>
      </c>
      <c r="H66" s="124" t="s">
        <v>61</v>
      </c>
      <c r="I66" s="124" t="s">
        <v>4</v>
      </c>
      <c r="J66" s="94" t="s">
        <v>200</v>
      </c>
      <c r="K66" s="94" t="s">
        <v>522</v>
      </c>
      <c r="L66" s="124" t="s">
        <v>63</v>
      </c>
      <c r="M66" s="124" t="s">
        <v>64</v>
      </c>
      <c r="N66" s="124"/>
      <c r="O66" s="257" t="s">
        <v>312</v>
      </c>
      <c r="P66" s="42"/>
      <c r="Q66" s="42"/>
      <c r="R66" s="42"/>
    </row>
    <row r="67" spans="1:19" ht="25.5" x14ac:dyDescent="0.2">
      <c r="A67" s="42"/>
      <c r="B67" s="42"/>
      <c r="C67" s="124" t="s">
        <v>66</v>
      </c>
      <c r="D67" s="124" t="s">
        <v>66</v>
      </c>
      <c r="E67" s="94"/>
      <c r="F67" s="256" t="s">
        <v>67</v>
      </c>
      <c r="G67" s="124" t="s">
        <v>27</v>
      </c>
      <c r="H67" s="124" t="s">
        <v>248</v>
      </c>
      <c r="I67" s="94" t="s">
        <v>69</v>
      </c>
      <c r="J67" s="124" t="s">
        <v>70</v>
      </c>
      <c r="K67" s="124" t="s">
        <v>71</v>
      </c>
      <c r="L67" s="124" t="s">
        <v>72</v>
      </c>
      <c r="M67" s="124" t="s">
        <v>72</v>
      </c>
      <c r="N67" s="124" t="s">
        <v>73</v>
      </c>
      <c r="O67" s="124" t="s">
        <v>74</v>
      </c>
      <c r="P67" s="42"/>
      <c r="Q67" s="42"/>
      <c r="R67" s="42"/>
    </row>
    <row r="68" spans="1:19" ht="25.5" x14ac:dyDescent="0.2">
      <c r="A68" s="42" t="s">
        <v>28</v>
      </c>
      <c r="B68" s="42"/>
      <c r="C68" s="124" t="s">
        <v>75</v>
      </c>
      <c r="D68" s="94" t="s">
        <v>359</v>
      </c>
      <c r="E68" s="94"/>
      <c r="F68" s="256" t="s">
        <v>76</v>
      </c>
      <c r="G68" s="124" t="s">
        <v>77</v>
      </c>
      <c r="H68" s="94" t="s">
        <v>247</v>
      </c>
      <c r="I68" s="258" t="s">
        <v>364</v>
      </c>
      <c r="J68" s="124" t="s">
        <v>80</v>
      </c>
      <c r="K68" s="124" t="s">
        <v>81</v>
      </c>
      <c r="L68" s="125" t="str">
        <f>+'Y1'!J13</f>
        <v>(EX. C,                            PG.23C)</v>
      </c>
      <c r="M68" s="94" t="s">
        <v>217</v>
      </c>
      <c r="N68" s="124" t="s">
        <v>72</v>
      </c>
      <c r="O68" s="124" t="s">
        <v>83</v>
      </c>
      <c r="P68" s="42"/>
      <c r="Q68" s="42"/>
      <c r="R68" s="42"/>
    </row>
    <row r="69" spans="1:19" x14ac:dyDescent="0.2">
      <c r="A69" s="42"/>
      <c r="B69" s="42"/>
      <c r="C69" s="126">
        <v>-1</v>
      </c>
      <c r="D69" s="126">
        <v>-2</v>
      </c>
      <c r="E69" s="94"/>
      <c r="F69" s="126">
        <v>-3</v>
      </c>
      <c r="G69" s="126">
        <v>-4</v>
      </c>
      <c r="H69" s="126">
        <v>-5</v>
      </c>
      <c r="I69" s="126">
        <v>-6</v>
      </c>
      <c r="J69" s="126">
        <v>-7</v>
      </c>
      <c r="K69" s="126">
        <v>-8</v>
      </c>
      <c r="L69" s="126">
        <v>-9</v>
      </c>
      <c r="M69" s="126">
        <v>-10</v>
      </c>
      <c r="N69" s="126">
        <v>-11</v>
      </c>
      <c r="O69" s="126">
        <v>-12</v>
      </c>
      <c r="P69" s="42"/>
      <c r="Q69" s="42"/>
      <c r="R69" s="42"/>
    </row>
    <row r="70" spans="1:19" x14ac:dyDescent="0.2">
      <c r="A70" s="42"/>
      <c r="B70" s="42"/>
      <c r="C70" s="124"/>
      <c r="D70" s="124"/>
      <c r="E70" s="94"/>
      <c r="F70" s="124" t="s">
        <v>372</v>
      </c>
      <c r="G70" s="124"/>
      <c r="H70" s="124"/>
      <c r="I70" s="124" t="s">
        <v>85</v>
      </c>
      <c r="J70" s="124"/>
      <c r="K70" s="124" t="s">
        <v>86</v>
      </c>
      <c r="L70" s="124"/>
      <c r="M70" s="124" t="s">
        <v>87</v>
      </c>
      <c r="N70" s="124" t="s">
        <v>88</v>
      </c>
      <c r="O70" s="124" t="s">
        <v>89</v>
      </c>
      <c r="P70" s="42"/>
      <c r="Q70" s="42"/>
      <c r="R70" s="42"/>
    </row>
    <row r="71" spans="1:19" x14ac:dyDescent="0.2">
      <c r="A71" s="42" t="s">
        <v>40</v>
      </c>
      <c r="B71" s="42"/>
      <c r="C71" s="97"/>
      <c r="D71" s="97"/>
      <c r="E71" s="94"/>
      <c r="F71" s="97"/>
      <c r="G71" s="97"/>
      <c r="H71" s="43"/>
      <c r="I71" s="97"/>
      <c r="J71" s="95"/>
      <c r="K71" s="97"/>
      <c r="L71" s="97"/>
      <c r="M71" s="97"/>
      <c r="N71" s="97"/>
      <c r="O71" s="97"/>
      <c r="P71" s="42"/>
      <c r="Q71" s="42"/>
      <c r="R71" s="42"/>
    </row>
    <row r="72" spans="1:19" x14ac:dyDescent="0.2">
      <c r="A72" s="42" t="s">
        <v>41</v>
      </c>
      <c r="B72" s="42"/>
      <c r="C72" s="97">
        <v>0</v>
      </c>
      <c r="D72" s="43">
        <v>0</v>
      </c>
      <c r="E72" s="116" t="s">
        <v>170</v>
      </c>
      <c r="F72" s="79">
        <v>0</v>
      </c>
      <c r="G72" s="77">
        <v>0</v>
      </c>
      <c r="H72" s="43">
        <v>0</v>
      </c>
      <c r="I72" s="81">
        <f>D72*H72</f>
        <v>0</v>
      </c>
      <c r="J72" s="95" t="s">
        <v>38</v>
      </c>
      <c r="K72" s="77">
        <v>0</v>
      </c>
      <c r="L72" s="77">
        <f>+'22a&amp;b'!CR78</f>
        <v>0</v>
      </c>
      <c r="M72" s="77">
        <f>G72*0.05</f>
        <v>0</v>
      </c>
      <c r="N72" s="77">
        <f>+L72+M72</f>
        <v>0</v>
      </c>
      <c r="O72" s="77">
        <f>+G72+K72+N72</f>
        <v>0</v>
      </c>
      <c r="P72" s="42"/>
      <c r="Q72" s="42"/>
      <c r="R72" s="42"/>
    </row>
    <row r="73" spans="1:19" x14ac:dyDescent="0.2">
      <c r="A73" s="42" t="s">
        <v>42</v>
      </c>
      <c r="B73" s="42"/>
      <c r="C73" s="97">
        <v>0</v>
      </c>
      <c r="D73" s="43">
        <v>0</v>
      </c>
      <c r="E73" s="116" t="s">
        <v>170</v>
      </c>
      <c r="F73" s="79">
        <v>0</v>
      </c>
      <c r="G73" s="77">
        <v>0</v>
      </c>
      <c r="H73" s="43">
        <v>0</v>
      </c>
      <c r="I73" s="81">
        <f>D73*H73</f>
        <v>0</v>
      </c>
      <c r="J73" s="95" t="s">
        <v>38</v>
      </c>
      <c r="K73" s="77">
        <v>0</v>
      </c>
      <c r="L73" s="77">
        <f>+'22a&amp;b'!CR79</f>
        <v>0</v>
      </c>
      <c r="M73" s="77">
        <f>G73*0.05</f>
        <v>0</v>
      </c>
      <c r="N73" s="77">
        <f>+L73+M73</f>
        <v>0</v>
      </c>
      <c r="O73" s="77">
        <f>+G73+K73+N73</f>
        <v>0</v>
      </c>
      <c r="P73" s="42"/>
      <c r="Q73" s="42"/>
      <c r="R73" s="42"/>
    </row>
    <row r="74" spans="1:19" x14ac:dyDescent="0.2">
      <c r="A74" s="42" t="s">
        <v>43</v>
      </c>
      <c r="B74" s="42"/>
      <c r="C74" s="97">
        <v>0</v>
      </c>
      <c r="D74" s="43">
        <v>0</v>
      </c>
      <c r="E74" s="116" t="s">
        <v>170</v>
      </c>
      <c r="F74" s="79">
        <v>0</v>
      </c>
      <c r="G74" s="77">
        <v>0</v>
      </c>
      <c r="H74" s="43">
        <v>0</v>
      </c>
      <c r="I74" s="81">
        <f>D74*H74</f>
        <v>0</v>
      </c>
      <c r="J74" s="95">
        <v>0</v>
      </c>
      <c r="K74" s="77">
        <f>ROUND(I74*J74,0)</f>
        <v>0</v>
      </c>
      <c r="L74" s="77">
        <f>+'22a&amp;b'!CR80</f>
        <v>0</v>
      </c>
      <c r="M74" s="77">
        <v>0</v>
      </c>
      <c r="N74" s="77">
        <f>+L74+M74</f>
        <v>0</v>
      </c>
      <c r="O74" s="77">
        <f>+G74+K74+N74</f>
        <v>0</v>
      </c>
      <c r="P74" s="42"/>
      <c r="Q74" s="42"/>
      <c r="R74" s="42"/>
    </row>
    <row r="75" spans="1:19" x14ac:dyDescent="0.2">
      <c r="A75" s="42" t="s">
        <v>44</v>
      </c>
      <c r="B75" s="42"/>
      <c r="C75" s="97">
        <v>0</v>
      </c>
      <c r="D75" s="43">
        <v>0</v>
      </c>
      <c r="E75" s="116" t="s">
        <v>170</v>
      </c>
      <c r="F75" s="79">
        <v>0</v>
      </c>
      <c r="G75" s="77">
        <v>0</v>
      </c>
      <c r="H75" s="43">
        <v>0</v>
      </c>
      <c r="I75" s="81">
        <f>D75*H75</f>
        <v>0</v>
      </c>
      <c r="J75" s="95">
        <v>0</v>
      </c>
      <c r="K75" s="77">
        <f>ROUND(I75*J75,0)</f>
        <v>0</v>
      </c>
      <c r="L75" s="77">
        <f>+'22a&amp;b'!CR81</f>
        <v>0</v>
      </c>
      <c r="M75" s="77">
        <v>0</v>
      </c>
      <c r="N75" s="77">
        <f>+L75+M75</f>
        <v>0</v>
      </c>
      <c r="O75" s="77">
        <f>+G75+K75+N75</f>
        <v>0</v>
      </c>
      <c r="P75" s="42"/>
      <c r="Q75" s="42"/>
      <c r="R75" s="42"/>
    </row>
    <row r="76" spans="1:19" x14ac:dyDescent="0.2">
      <c r="A76" s="42"/>
      <c r="B76" s="42"/>
      <c r="C76" s="97"/>
      <c r="D76" s="43"/>
      <c r="E76" s="94"/>
      <c r="F76" s="79"/>
      <c r="G76" s="77"/>
      <c r="H76" s="43"/>
      <c r="I76" s="81"/>
      <c r="J76" s="95"/>
      <c r="K76" s="77"/>
      <c r="L76" s="77"/>
      <c r="M76" s="77"/>
      <c r="N76" s="77"/>
      <c r="O76" s="77"/>
      <c r="P76" s="42"/>
      <c r="Q76" s="42"/>
      <c r="R76" s="42"/>
    </row>
    <row r="77" spans="1:19" x14ac:dyDescent="0.2">
      <c r="A77" s="42" t="s">
        <v>389</v>
      </c>
      <c r="B77" s="42"/>
      <c r="C77" s="97"/>
      <c r="D77" s="43"/>
      <c r="E77" s="94"/>
      <c r="F77" s="79"/>
      <c r="G77" s="77"/>
      <c r="H77" s="43"/>
      <c r="I77" s="81"/>
      <c r="J77" s="95"/>
      <c r="K77" s="77"/>
      <c r="L77" s="77"/>
      <c r="M77" s="77"/>
      <c r="N77" s="77"/>
      <c r="O77" s="77"/>
      <c r="P77" s="42"/>
      <c r="Q77" s="42"/>
      <c r="R77" s="42"/>
    </row>
    <row r="78" spans="1:19" x14ac:dyDescent="0.2">
      <c r="A78" s="42" t="s">
        <v>390</v>
      </c>
      <c r="B78" s="42"/>
      <c r="C78" s="97">
        <v>2</v>
      </c>
      <c r="D78" s="43">
        <v>3</v>
      </c>
      <c r="E78" s="116" t="s">
        <v>170</v>
      </c>
      <c r="F78" s="79">
        <f>ROUND(G78/C78,2)</f>
        <v>1006.5</v>
      </c>
      <c r="G78" s="77">
        <f>613+1400</f>
        <v>2013</v>
      </c>
      <c r="H78" s="43">
        <v>68</v>
      </c>
      <c r="I78" s="81">
        <f>D78*H78</f>
        <v>204</v>
      </c>
      <c r="J78" s="95">
        <v>7.4940000000000007E-2</v>
      </c>
      <c r="K78" s="77">
        <f>ROUND(I78*J78,0)</f>
        <v>15</v>
      </c>
      <c r="L78" s="77">
        <v>0</v>
      </c>
      <c r="M78" s="77">
        <f>ROUND(G78*0.05,0)</f>
        <v>101</v>
      </c>
      <c r="N78" s="77">
        <f>+L78+M78</f>
        <v>101</v>
      </c>
      <c r="O78" s="77">
        <f>+G78+K78+N78</f>
        <v>2129</v>
      </c>
      <c r="P78" s="42"/>
      <c r="Q78" s="42"/>
      <c r="R78" s="42"/>
    </row>
    <row r="79" spans="1:19" x14ac:dyDescent="0.2">
      <c r="A79" s="42" t="s">
        <v>349</v>
      </c>
      <c r="B79" s="42"/>
      <c r="C79" s="97">
        <v>7</v>
      </c>
      <c r="D79" s="43">
        <v>8</v>
      </c>
      <c r="E79" s="116" t="s">
        <v>170</v>
      </c>
      <c r="F79" s="79">
        <f>ROUND(G79/C79,2)</f>
        <v>1233.8599999999999</v>
      </c>
      <c r="G79" s="77">
        <f>3137+5500</f>
        <v>8637</v>
      </c>
      <c r="H79" s="43">
        <v>348</v>
      </c>
      <c r="I79" s="81">
        <f>D79*H79</f>
        <v>2784</v>
      </c>
      <c r="J79" s="95">
        <v>7.4819999999999998E-2</v>
      </c>
      <c r="K79" s="77">
        <f>ROUND(I79*J79,0)</f>
        <v>208</v>
      </c>
      <c r="L79" s="77">
        <v>0</v>
      </c>
      <c r="M79" s="77">
        <f>ROUND(G79*0.05,0)</f>
        <v>432</v>
      </c>
      <c r="N79" s="77">
        <f>+L79+M79</f>
        <v>432</v>
      </c>
      <c r="O79" s="77">
        <f>+G79+K79+N79</f>
        <v>9277</v>
      </c>
      <c r="P79" s="42"/>
      <c r="Q79" s="42"/>
      <c r="R79" s="42"/>
      <c r="S79" s="108" t="s">
        <v>138</v>
      </c>
    </row>
    <row r="80" spans="1:19" x14ac:dyDescent="0.2">
      <c r="A80" s="42"/>
      <c r="B80" s="42"/>
      <c r="C80" s="97"/>
      <c r="D80" s="43"/>
      <c r="E80" s="94"/>
      <c r="F80" s="79"/>
      <c r="G80" s="77"/>
      <c r="H80" s="43"/>
      <c r="I80" s="81"/>
      <c r="J80" s="95"/>
      <c r="K80" s="77"/>
      <c r="L80" s="77"/>
      <c r="M80" s="77"/>
      <c r="N80" s="77"/>
      <c r="O80" s="77"/>
      <c r="P80" s="42"/>
      <c r="Q80" s="42"/>
      <c r="R80" s="42"/>
    </row>
    <row r="81" spans="1:18" x14ac:dyDescent="0.2">
      <c r="A81" s="42" t="s">
        <v>388</v>
      </c>
      <c r="B81" s="42"/>
      <c r="C81" s="97"/>
      <c r="D81" s="43"/>
      <c r="E81" s="94"/>
      <c r="F81" s="79"/>
      <c r="G81" s="77"/>
      <c r="H81" s="43"/>
      <c r="I81" s="81"/>
      <c r="J81" s="95"/>
      <c r="K81" s="77"/>
      <c r="L81" s="77"/>
      <c r="M81" s="77"/>
      <c r="N81" s="77"/>
      <c r="O81" s="77"/>
      <c r="P81" s="42"/>
      <c r="Q81" s="42"/>
      <c r="R81" s="42"/>
    </row>
    <row r="82" spans="1:18" x14ac:dyDescent="0.2">
      <c r="A82" s="42" t="s">
        <v>208</v>
      </c>
      <c r="B82" s="42"/>
      <c r="C82" s="97">
        <v>0</v>
      </c>
      <c r="D82" s="43">
        <v>0</v>
      </c>
      <c r="E82" s="94" t="s">
        <v>170</v>
      </c>
      <c r="F82" s="79">
        <v>0</v>
      </c>
      <c r="G82" s="77">
        <v>0</v>
      </c>
      <c r="H82" s="43">
        <v>0</v>
      </c>
      <c r="I82" s="81">
        <f>D82*H82</f>
        <v>0</v>
      </c>
      <c r="J82" s="95">
        <v>0</v>
      </c>
      <c r="K82" s="77">
        <f>ROUND(I82*J82,0)</f>
        <v>0</v>
      </c>
      <c r="L82" s="77">
        <v>0</v>
      </c>
      <c r="M82" s="77">
        <f>ROUND(G82*0.05,0)</f>
        <v>0</v>
      </c>
      <c r="N82" s="77">
        <f>+L82+M82</f>
        <v>0</v>
      </c>
      <c r="O82" s="77">
        <f>+G82+K82+N82</f>
        <v>0</v>
      </c>
      <c r="P82" s="42"/>
      <c r="Q82" s="42"/>
      <c r="R82" s="42"/>
    </row>
    <row r="83" spans="1:18" x14ac:dyDescent="0.2">
      <c r="A83" s="42" t="s">
        <v>207</v>
      </c>
      <c r="B83" s="42"/>
      <c r="C83" s="97">
        <v>0</v>
      </c>
      <c r="D83" s="43">
        <v>8</v>
      </c>
      <c r="E83" s="94"/>
      <c r="F83" s="79">
        <v>0</v>
      </c>
      <c r="G83" s="77">
        <v>0</v>
      </c>
      <c r="H83" s="43">
        <v>334</v>
      </c>
      <c r="I83" s="81">
        <f>D83*H83</f>
        <v>2672</v>
      </c>
      <c r="J83" s="95">
        <v>8.4610000000000005E-2</v>
      </c>
      <c r="K83" s="77">
        <f>ROUND(I83*J83,0)</f>
        <v>226</v>
      </c>
      <c r="L83" s="77">
        <v>0</v>
      </c>
      <c r="M83" s="77">
        <f>ROUND(G83*0.05,0)</f>
        <v>0</v>
      </c>
      <c r="N83" s="77">
        <f>+L83+M83</f>
        <v>0</v>
      </c>
      <c r="O83" s="77">
        <f>+G83+K83+N83</f>
        <v>226</v>
      </c>
      <c r="P83" s="42"/>
      <c r="Q83" s="42"/>
      <c r="R83" s="42"/>
    </row>
    <row r="84" spans="1:18" x14ac:dyDescent="0.2">
      <c r="A84" s="42"/>
      <c r="B84" s="42"/>
      <c r="C84" s="97"/>
      <c r="D84" s="43"/>
      <c r="E84" s="94"/>
      <c r="F84" s="79"/>
      <c r="G84" s="77"/>
      <c r="H84" s="43"/>
      <c r="I84" s="81"/>
      <c r="J84" s="95"/>
      <c r="K84" s="77"/>
      <c r="L84" s="77"/>
      <c r="M84" s="77"/>
      <c r="N84" s="77"/>
      <c r="O84" s="77"/>
      <c r="P84" s="42"/>
      <c r="Q84" s="42"/>
      <c r="R84" s="42"/>
    </row>
    <row r="85" spans="1:18" x14ac:dyDescent="0.2">
      <c r="A85" s="42" t="s">
        <v>396</v>
      </c>
      <c r="B85" s="42"/>
      <c r="C85" s="43">
        <v>132</v>
      </c>
      <c r="D85" s="43">
        <v>224</v>
      </c>
      <c r="E85" s="94" t="s">
        <v>170</v>
      </c>
      <c r="F85" s="79">
        <f>ROUND(G85/C85,2)</f>
        <v>6845.85</v>
      </c>
      <c r="G85" s="80">
        <v>903652.01</v>
      </c>
      <c r="H85" s="78">
        <v>9406</v>
      </c>
      <c r="I85" s="81">
        <f>D85*H85</f>
        <v>2106944</v>
      </c>
      <c r="J85" s="95">
        <v>8.1470000000000001E-2</v>
      </c>
      <c r="K85" s="77">
        <f>ROUND(I85*J85,0)</f>
        <v>171653</v>
      </c>
      <c r="L85" s="77">
        <f>'22a&amp;b'!CU91</f>
        <v>97623</v>
      </c>
      <c r="M85" s="77">
        <v>0</v>
      </c>
      <c r="N85" s="77">
        <f>+L85+M85</f>
        <v>97623</v>
      </c>
      <c r="O85" s="77">
        <f>+G85+K85+N85</f>
        <v>1172928.01</v>
      </c>
      <c r="P85" s="42"/>
      <c r="Q85" s="42"/>
      <c r="R85" s="42"/>
    </row>
    <row r="86" spans="1:18" x14ac:dyDescent="0.2">
      <c r="A86" s="42"/>
      <c r="B86" s="42"/>
      <c r="C86" s="43"/>
      <c r="D86" s="43"/>
      <c r="E86" s="94"/>
      <c r="F86" s="79"/>
      <c r="G86" s="80"/>
      <c r="H86" s="78"/>
      <c r="I86" s="81"/>
      <c r="J86" s="95"/>
      <c r="K86" s="77"/>
      <c r="L86" s="77"/>
      <c r="M86" s="77"/>
      <c r="N86" s="77"/>
      <c r="O86" s="77"/>
      <c r="P86" s="42"/>
      <c r="Q86" s="42"/>
      <c r="R86" s="42"/>
    </row>
    <row r="87" spans="1:18" x14ac:dyDescent="0.2">
      <c r="A87" s="42" t="s">
        <v>442</v>
      </c>
      <c r="B87" s="42"/>
      <c r="C87" s="97"/>
      <c r="D87" s="43"/>
      <c r="E87" s="94"/>
      <c r="F87" s="79"/>
      <c r="G87" s="77"/>
      <c r="H87" s="43"/>
      <c r="I87" s="81"/>
      <c r="J87" s="95"/>
      <c r="K87" s="77"/>
      <c r="L87" s="77"/>
      <c r="M87" s="77"/>
      <c r="N87" s="77"/>
      <c r="O87" s="77"/>
      <c r="P87" s="42"/>
      <c r="Q87" s="42"/>
      <c r="R87" s="42"/>
    </row>
    <row r="88" spans="1:18" x14ac:dyDescent="0.2">
      <c r="A88" s="42" t="s">
        <v>208</v>
      </c>
      <c r="B88" s="42"/>
      <c r="C88" s="43">
        <v>0</v>
      </c>
      <c r="D88" s="43">
        <v>0</v>
      </c>
      <c r="E88" s="116" t="s">
        <v>170</v>
      </c>
      <c r="F88" s="79">
        <v>0</v>
      </c>
      <c r="G88" s="80">
        <v>0</v>
      </c>
      <c r="H88" s="78">
        <v>0</v>
      </c>
      <c r="I88" s="81">
        <v>0</v>
      </c>
      <c r="J88" s="95">
        <v>0</v>
      </c>
      <c r="K88" s="77">
        <v>0</v>
      </c>
      <c r="L88" s="77">
        <v>0</v>
      </c>
      <c r="M88" s="77">
        <v>0</v>
      </c>
      <c r="N88" s="77">
        <v>0</v>
      </c>
      <c r="O88" s="77">
        <f>+G88+K88+N88</f>
        <v>0</v>
      </c>
      <c r="P88" s="42"/>
      <c r="Q88" s="42"/>
      <c r="R88" s="42"/>
    </row>
    <row r="89" spans="1:18" x14ac:dyDescent="0.2">
      <c r="A89" s="42" t="s">
        <v>397</v>
      </c>
      <c r="B89" s="42"/>
      <c r="C89" s="43">
        <v>0</v>
      </c>
      <c r="D89" s="43">
        <v>0</v>
      </c>
      <c r="E89" s="116" t="s">
        <v>170</v>
      </c>
      <c r="F89" s="79">
        <v>0</v>
      </c>
      <c r="G89" s="80">
        <v>0</v>
      </c>
      <c r="H89" s="78">
        <v>0</v>
      </c>
      <c r="I89" s="81">
        <v>0</v>
      </c>
      <c r="J89" s="95">
        <v>0</v>
      </c>
      <c r="K89" s="77">
        <v>0</v>
      </c>
      <c r="L89" s="77">
        <v>0</v>
      </c>
      <c r="M89" s="77">
        <v>0</v>
      </c>
      <c r="N89" s="77">
        <v>0</v>
      </c>
      <c r="O89" s="77">
        <f>+G89+K89+N89</f>
        <v>0</v>
      </c>
      <c r="P89" s="42"/>
      <c r="Q89" s="42"/>
      <c r="R89" s="42"/>
    </row>
    <row r="90" spans="1:18" x14ac:dyDescent="0.2">
      <c r="A90" s="42"/>
      <c r="B90" s="42"/>
      <c r="C90" s="43"/>
      <c r="D90" s="43"/>
      <c r="E90" s="94"/>
      <c r="F90" s="79"/>
      <c r="G90" s="80"/>
      <c r="H90" s="78"/>
      <c r="I90" s="81"/>
      <c r="J90" s="95"/>
      <c r="K90" s="77"/>
      <c r="L90" s="77"/>
      <c r="M90" s="77"/>
      <c r="N90" s="77"/>
      <c r="O90" s="77"/>
      <c r="P90" s="42"/>
      <c r="Q90" s="42"/>
      <c r="R90" s="42"/>
    </row>
    <row r="91" spans="1:18" x14ac:dyDescent="0.2">
      <c r="A91" s="42" t="s">
        <v>561</v>
      </c>
      <c r="B91" s="42"/>
      <c r="C91" s="97">
        <v>9</v>
      </c>
      <c r="D91" s="43">
        <v>8</v>
      </c>
      <c r="E91" s="116" t="s">
        <v>170</v>
      </c>
      <c r="F91" s="79">
        <f>ROUND(G91/C91,2)</f>
        <v>22222.22</v>
      </c>
      <c r="G91" s="77">
        <v>200000</v>
      </c>
      <c r="H91" s="43">
        <v>13950</v>
      </c>
      <c r="I91" s="81">
        <f>D91*H91</f>
        <v>111600</v>
      </c>
      <c r="J91" s="95">
        <v>8.2619999999999999E-2</v>
      </c>
      <c r="K91" s="77">
        <f>ROUND(I91*J91,0)</f>
        <v>9220</v>
      </c>
      <c r="L91" s="77">
        <f>'22a&amp;b'!CU105</f>
        <v>202</v>
      </c>
      <c r="M91" s="77">
        <v>0</v>
      </c>
      <c r="N91" s="77">
        <f>+L91+M91</f>
        <v>202</v>
      </c>
      <c r="O91" s="77">
        <f>+G91+K91+N91</f>
        <v>209422</v>
      </c>
      <c r="P91" s="42"/>
      <c r="Q91" s="42"/>
      <c r="R91" s="42"/>
    </row>
    <row r="92" spans="1:18" x14ac:dyDescent="0.2">
      <c r="A92" s="42"/>
      <c r="B92" s="42"/>
      <c r="C92" s="43"/>
      <c r="D92" s="43"/>
      <c r="E92" s="94"/>
      <c r="F92" s="79"/>
      <c r="G92" s="80"/>
      <c r="H92" s="78"/>
      <c r="I92" s="81"/>
      <c r="J92" s="95"/>
      <c r="K92" s="77"/>
      <c r="L92" s="77"/>
      <c r="M92" s="77"/>
      <c r="N92" s="77"/>
      <c r="O92" s="77"/>
      <c r="P92" s="42"/>
      <c r="Q92" s="42"/>
      <c r="R92" s="42"/>
    </row>
    <row r="93" spans="1:18" x14ac:dyDescent="0.2">
      <c r="A93" s="42" t="s">
        <v>505</v>
      </c>
      <c r="B93" s="42"/>
      <c r="C93" s="97">
        <v>0</v>
      </c>
      <c r="D93" s="43">
        <v>0</v>
      </c>
      <c r="E93" s="116" t="s">
        <v>170</v>
      </c>
      <c r="F93" s="79">
        <v>0</v>
      </c>
      <c r="G93" s="77">
        <v>24169.38</v>
      </c>
      <c r="H93" s="43">
        <v>0</v>
      </c>
      <c r="I93" s="81">
        <v>0</v>
      </c>
      <c r="J93" s="95">
        <v>0</v>
      </c>
      <c r="K93" s="77">
        <v>0</v>
      </c>
      <c r="L93" s="77">
        <v>0</v>
      </c>
      <c r="M93" s="77">
        <v>0</v>
      </c>
      <c r="N93" s="77">
        <v>0</v>
      </c>
      <c r="O93" s="77">
        <f>+G93+K93+N93</f>
        <v>24169.38</v>
      </c>
      <c r="P93" s="42"/>
      <c r="Q93" s="42"/>
      <c r="R93" s="42"/>
    </row>
    <row r="94" spans="1:18" x14ac:dyDescent="0.2">
      <c r="A94" s="42"/>
      <c r="B94" s="42"/>
      <c r="C94" s="43" t="s">
        <v>201</v>
      </c>
      <c r="D94" s="43" t="s">
        <v>201</v>
      </c>
      <c r="E94" s="94"/>
      <c r="F94" s="43"/>
      <c r="G94" s="43" t="s">
        <v>201</v>
      </c>
      <c r="H94" s="43"/>
      <c r="I94" s="43" t="s">
        <v>201</v>
      </c>
      <c r="J94" s="43"/>
      <c r="K94" s="43" t="s">
        <v>201</v>
      </c>
      <c r="L94" s="43" t="s">
        <v>201</v>
      </c>
      <c r="M94" s="43" t="s">
        <v>201</v>
      </c>
      <c r="N94" s="43" t="s">
        <v>201</v>
      </c>
      <c r="O94" s="43" t="s">
        <v>201</v>
      </c>
      <c r="P94" s="42"/>
      <c r="Q94" s="42"/>
      <c r="R94" s="42"/>
    </row>
    <row r="95" spans="1:18" x14ac:dyDescent="0.2">
      <c r="A95" s="42" t="s">
        <v>45</v>
      </c>
      <c r="B95" s="42"/>
      <c r="C95" s="259">
        <f>SUM(C72:C93)</f>
        <v>150</v>
      </c>
      <c r="D95" s="259">
        <f>SUM(D72:D93)</f>
        <v>251</v>
      </c>
      <c r="E95" s="94"/>
      <c r="F95" s="97"/>
      <c r="G95" s="77">
        <f>SUM(G72:G93)</f>
        <v>1138471.3899999999</v>
      </c>
      <c r="H95" s="43"/>
      <c r="I95" s="259">
        <f>SUM(I72:I93)</f>
        <v>2224204</v>
      </c>
      <c r="J95" s="95"/>
      <c r="K95" s="77">
        <f>SUM(K72:K93)</f>
        <v>181322</v>
      </c>
      <c r="L95" s="77">
        <f>SUM(L72:L93)</f>
        <v>97825</v>
      </c>
      <c r="M95" s="77">
        <f>SUM(M72:M93)</f>
        <v>533</v>
      </c>
      <c r="N95" s="77">
        <f>SUM(N72:N93)</f>
        <v>98358</v>
      </c>
      <c r="O95" s="77">
        <f>SUM(O72:O93)</f>
        <v>1418151.39</v>
      </c>
      <c r="P95" s="42"/>
      <c r="Q95" s="42"/>
      <c r="R95" s="42"/>
    </row>
    <row r="96" spans="1:18" x14ac:dyDescent="0.2">
      <c r="A96" s="42"/>
      <c r="B96" s="42"/>
      <c r="C96" s="97" t="s">
        <v>94</v>
      </c>
      <c r="D96" s="97" t="s">
        <v>94</v>
      </c>
      <c r="E96" s="94"/>
      <c r="F96" s="97"/>
      <c r="G96" s="97" t="s">
        <v>94</v>
      </c>
      <c r="H96" s="97"/>
      <c r="I96" s="97" t="s">
        <v>94</v>
      </c>
      <c r="J96" s="97"/>
      <c r="K96" s="97" t="s">
        <v>94</v>
      </c>
      <c r="L96" s="97" t="s">
        <v>94</v>
      </c>
      <c r="M96" s="97" t="s">
        <v>94</v>
      </c>
      <c r="N96" s="97" t="s">
        <v>94</v>
      </c>
      <c r="O96" s="97" t="s">
        <v>94</v>
      </c>
      <c r="P96" s="42"/>
      <c r="Q96" s="42"/>
      <c r="R96" s="42"/>
    </row>
    <row r="97" spans="1:18" x14ac:dyDescent="0.2">
      <c r="A97" s="42"/>
      <c r="B97" s="42"/>
      <c r="C97" s="97"/>
      <c r="D97" s="97"/>
      <c r="E97" s="94"/>
      <c r="F97" s="97"/>
      <c r="G97" s="97"/>
      <c r="H97" s="43"/>
      <c r="I97" s="97"/>
      <c r="J97" s="95"/>
      <c r="K97" s="97"/>
      <c r="L97" s="97"/>
      <c r="M97" s="97"/>
      <c r="N97" s="97"/>
      <c r="O97" s="97"/>
      <c r="P97" s="42"/>
      <c r="Q97" s="42"/>
      <c r="R97" s="42"/>
    </row>
    <row r="98" spans="1:18" x14ac:dyDescent="0.2">
      <c r="A98" s="42"/>
      <c r="B98" s="42"/>
      <c r="C98" s="97"/>
      <c r="D98" s="97"/>
      <c r="E98" s="94"/>
      <c r="F98" s="97"/>
      <c r="G98" s="97"/>
      <c r="H98" s="43"/>
      <c r="I98" s="97"/>
      <c r="J98" s="95"/>
      <c r="K98" s="97"/>
      <c r="L98" s="97"/>
      <c r="M98" s="97"/>
      <c r="N98" s="97"/>
      <c r="O98" s="97"/>
      <c r="P98" s="42"/>
      <c r="Q98" s="42"/>
      <c r="R98" s="42"/>
    </row>
    <row r="99" spans="1:18" x14ac:dyDescent="0.2">
      <c r="A99" s="42" t="s">
        <v>46</v>
      </c>
      <c r="B99" s="42"/>
      <c r="C99" s="97"/>
      <c r="D99" s="97"/>
      <c r="E99" s="94"/>
      <c r="F99" s="97"/>
      <c r="G99" s="97"/>
      <c r="H99" s="43"/>
      <c r="I99" s="97"/>
      <c r="J99" s="95"/>
      <c r="K99" s="97"/>
      <c r="L99" s="97"/>
      <c r="M99" s="97"/>
      <c r="N99" s="97"/>
      <c r="O99" s="97"/>
      <c r="P99" s="42"/>
      <c r="Q99" s="42"/>
      <c r="R99" s="42"/>
    </row>
    <row r="100" spans="1:18" x14ac:dyDescent="0.2">
      <c r="A100" s="188" t="s">
        <v>258</v>
      </c>
      <c r="B100" s="42"/>
      <c r="C100" s="97"/>
      <c r="D100" s="97"/>
      <c r="E100" s="94"/>
      <c r="F100" s="97"/>
      <c r="G100" s="97"/>
      <c r="H100" s="43"/>
      <c r="I100" s="97"/>
      <c r="J100" s="95"/>
      <c r="K100" s="97"/>
      <c r="L100" s="97"/>
      <c r="M100" s="97"/>
      <c r="N100" s="97"/>
      <c r="O100" s="97"/>
      <c r="P100" s="42"/>
      <c r="Q100" s="42"/>
      <c r="R100" s="42"/>
    </row>
    <row r="101" spans="1:18" x14ac:dyDescent="0.2">
      <c r="A101" s="42" t="s">
        <v>41</v>
      </c>
      <c r="B101" s="42"/>
      <c r="C101" s="97">
        <v>0</v>
      </c>
      <c r="D101" s="97">
        <v>0</v>
      </c>
      <c r="E101" s="94"/>
      <c r="F101" s="99">
        <v>0</v>
      </c>
      <c r="G101" s="77">
        <v>0</v>
      </c>
      <c r="H101" s="43">
        <v>0</v>
      </c>
      <c r="I101" s="97">
        <v>0</v>
      </c>
      <c r="J101" s="95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42"/>
      <c r="Q101" s="42"/>
      <c r="R101" s="42"/>
    </row>
    <row r="102" spans="1:18" x14ac:dyDescent="0.2">
      <c r="A102" s="42" t="s">
        <v>48</v>
      </c>
      <c r="B102" s="42"/>
      <c r="C102" s="97">
        <v>0</v>
      </c>
      <c r="D102" s="97">
        <v>0</v>
      </c>
      <c r="E102" s="94"/>
      <c r="F102" s="99">
        <v>0</v>
      </c>
      <c r="G102" s="77">
        <v>0</v>
      </c>
      <c r="H102" s="43">
        <v>0</v>
      </c>
      <c r="I102" s="97">
        <v>0</v>
      </c>
      <c r="J102" s="95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42"/>
      <c r="Q102" s="42"/>
      <c r="R102" s="42"/>
    </row>
    <row r="103" spans="1:18" x14ac:dyDescent="0.2">
      <c r="A103" s="42" t="s">
        <v>49</v>
      </c>
      <c r="B103" s="42"/>
      <c r="C103" s="97">
        <v>0</v>
      </c>
      <c r="D103" s="97">
        <v>0</v>
      </c>
      <c r="E103" s="94"/>
      <c r="F103" s="99">
        <v>0</v>
      </c>
      <c r="G103" s="77">
        <v>0</v>
      </c>
      <c r="H103" s="43">
        <v>0</v>
      </c>
      <c r="I103" s="97">
        <v>0</v>
      </c>
      <c r="J103" s="95">
        <v>0</v>
      </c>
      <c r="K103" s="77">
        <f>ROUND(I103*J103,0)</f>
        <v>0</v>
      </c>
      <c r="L103" s="77">
        <v>0</v>
      </c>
      <c r="M103" s="77">
        <v>0</v>
      </c>
      <c r="N103" s="77">
        <v>0</v>
      </c>
      <c r="O103" s="77">
        <v>0</v>
      </c>
      <c r="P103" s="42"/>
      <c r="Q103" s="42"/>
      <c r="R103" s="42"/>
    </row>
    <row r="104" spans="1:18" x14ac:dyDescent="0.2">
      <c r="A104" s="42" t="s">
        <v>50</v>
      </c>
      <c r="B104" s="42"/>
      <c r="C104" s="97">
        <v>0</v>
      </c>
      <c r="D104" s="97">
        <v>0</v>
      </c>
      <c r="E104" s="94"/>
      <c r="F104" s="99">
        <v>0</v>
      </c>
      <c r="G104" s="77">
        <v>0</v>
      </c>
      <c r="H104" s="43">
        <v>0</v>
      </c>
      <c r="I104" s="97">
        <v>0</v>
      </c>
      <c r="J104" s="95">
        <v>0</v>
      </c>
      <c r="K104" s="77">
        <f>ROUND(I104*J104,0)</f>
        <v>0</v>
      </c>
      <c r="L104" s="77">
        <v>0</v>
      </c>
      <c r="M104" s="77">
        <v>0</v>
      </c>
      <c r="N104" s="77">
        <v>0</v>
      </c>
      <c r="O104" s="77">
        <v>0</v>
      </c>
      <c r="P104" s="42"/>
      <c r="Q104" s="42"/>
      <c r="R104" s="42"/>
    </row>
    <row r="105" spans="1:18" x14ac:dyDescent="0.2">
      <c r="A105" s="42"/>
      <c r="B105" s="42"/>
      <c r="C105" s="43" t="s">
        <v>201</v>
      </c>
      <c r="D105" s="43" t="s">
        <v>201</v>
      </c>
      <c r="E105" s="94"/>
      <c r="F105" s="43"/>
      <c r="G105" s="43" t="s">
        <v>201</v>
      </c>
      <c r="H105" s="43"/>
      <c r="I105" s="43" t="s">
        <v>201</v>
      </c>
      <c r="J105" s="43"/>
      <c r="K105" s="43" t="s">
        <v>201</v>
      </c>
      <c r="L105" s="43" t="s">
        <v>201</v>
      </c>
      <c r="M105" s="43" t="s">
        <v>201</v>
      </c>
      <c r="N105" s="43" t="s">
        <v>201</v>
      </c>
      <c r="O105" s="43" t="s">
        <v>201</v>
      </c>
      <c r="P105" s="42"/>
      <c r="Q105" s="42"/>
      <c r="R105" s="42"/>
    </row>
    <row r="106" spans="1:18" x14ac:dyDescent="0.2">
      <c r="A106" s="42" t="s">
        <v>51</v>
      </c>
      <c r="B106" s="42"/>
      <c r="C106" s="97">
        <v>0</v>
      </c>
      <c r="D106" s="97">
        <v>0</v>
      </c>
      <c r="E106" s="94"/>
      <c r="F106" s="97"/>
      <c r="G106" s="77">
        <v>0</v>
      </c>
      <c r="H106" s="43"/>
      <c r="I106" s="97">
        <v>0</v>
      </c>
      <c r="J106" s="95"/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42"/>
      <c r="Q106" s="42"/>
      <c r="R106" s="42"/>
    </row>
    <row r="107" spans="1:18" x14ac:dyDescent="0.2">
      <c r="A107" s="42"/>
      <c r="B107" s="42"/>
      <c r="C107" s="97" t="s">
        <v>94</v>
      </c>
      <c r="D107" s="97" t="s">
        <v>94</v>
      </c>
      <c r="E107" s="94"/>
      <c r="F107" s="97"/>
      <c r="G107" s="97" t="s">
        <v>94</v>
      </c>
      <c r="H107" s="97"/>
      <c r="I107" s="97" t="s">
        <v>94</v>
      </c>
      <c r="J107" s="97"/>
      <c r="K107" s="97" t="s">
        <v>94</v>
      </c>
      <c r="L107" s="97" t="s">
        <v>94</v>
      </c>
      <c r="M107" s="97" t="s">
        <v>94</v>
      </c>
      <c r="N107" s="97" t="s">
        <v>94</v>
      </c>
      <c r="O107" s="97" t="s">
        <v>94</v>
      </c>
      <c r="P107" s="42"/>
      <c r="Q107" s="42"/>
      <c r="R107" s="42"/>
    </row>
    <row r="108" spans="1:18" x14ac:dyDescent="0.2">
      <c r="A108" s="42" t="s">
        <v>52</v>
      </c>
      <c r="B108" s="42"/>
      <c r="C108" s="43">
        <f>+C58+C95+C106</f>
        <v>300607</v>
      </c>
      <c r="D108" s="43">
        <f>+D58+D95+D106</f>
        <v>300071</v>
      </c>
      <c r="E108" s="94"/>
      <c r="F108" s="97"/>
      <c r="G108" s="80">
        <f>G58+G95+G106</f>
        <v>3100670.09</v>
      </c>
      <c r="H108" s="43"/>
      <c r="I108" s="43">
        <f>+I58+I95+I106</f>
        <v>11436594</v>
      </c>
      <c r="J108" s="95"/>
      <c r="K108" s="80">
        <f>+K58+K95+K106</f>
        <v>746263</v>
      </c>
      <c r="L108" s="77">
        <f>+L58+L95+L106</f>
        <v>335967</v>
      </c>
      <c r="M108" s="77">
        <f>+M58+M95+M106</f>
        <v>9724</v>
      </c>
      <c r="N108" s="77">
        <f>+N58+N95+N106</f>
        <v>345691</v>
      </c>
      <c r="O108" s="77">
        <f>+O58+O95+O106</f>
        <v>4192624.09</v>
      </c>
      <c r="P108" s="42"/>
      <c r="Q108" s="42"/>
      <c r="R108" s="42"/>
    </row>
    <row r="109" spans="1:18" x14ac:dyDescent="0.2">
      <c r="A109" s="42"/>
      <c r="B109" s="42"/>
      <c r="C109" s="97" t="s">
        <v>94</v>
      </c>
      <c r="D109" s="97" t="s">
        <v>94</v>
      </c>
      <c r="E109" s="94"/>
      <c r="F109" s="97"/>
      <c r="G109" s="97" t="s">
        <v>94</v>
      </c>
      <c r="H109" s="97"/>
      <c r="I109" s="97" t="s">
        <v>94</v>
      </c>
      <c r="J109" s="97"/>
      <c r="K109" s="97" t="s">
        <v>94</v>
      </c>
      <c r="L109" s="97" t="s">
        <v>94</v>
      </c>
      <c r="M109" s="97" t="s">
        <v>94</v>
      </c>
      <c r="N109" s="97" t="s">
        <v>94</v>
      </c>
      <c r="O109" s="97" t="s">
        <v>94</v>
      </c>
      <c r="P109" s="42"/>
      <c r="Q109" s="42"/>
      <c r="R109" s="42"/>
    </row>
    <row r="110" spans="1:18" x14ac:dyDescent="0.2">
      <c r="A110" s="42"/>
      <c r="B110" s="42"/>
      <c r="C110" s="178" t="s">
        <v>138</v>
      </c>
      <c r="D110" s="42"/>
      <c r="E110" s="94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</row>
    <row r="111" spans="1:18" x14ac:dyDescent="0.2">
      <c r="A111" t="s">
        <v>108</v>
      </c>
      <c r="E111"/>
    </row>
    <row r="112" spans="1:18" x14ac:dyDescent="0.2">
      <c r="A112" t="s">
        <v>422</v>
      </c>
      <c r="E112"/>
    </row>
  </sheetData>
  <printOptions gridLines="1"/>
  <pageMargins left="0.7" right="0.7" top="0.75" bottom="0.75" header="0.3" footer="0.3"/>
  <pageSetup scale="58" fitToHeight="2" orientation="landscape" r:id="rId1"/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zoomScale="85" zoomScaleNormal="85" workbookViewId="0">
      <pane xSplit="2" ySplit="10" topLeftCell="C83" activePane="bottomRight" state="frozen"/>
      <selection pane="topRight" activeCell="C1" sqref="C1"/>
      <selection pane="bottomLeft" activeCell="A11" sqref="A11"/>
      <selection pane="bottomRight" activeCell="D48" sqref="D48"/>
    </sheetView>
  </sheetViews>
  <sheetFormatPr defaultRowHeight="12.75" x14ac:dyDescent="0.2"/>
  <cols>
    <col min="1" max="1" width="40.7109375" style="42" customWidth="1"/>
    <col min="2" max="2" width="1.7109375" style="42" customWidth="1"/>
    <col min="3" max="4" width="13.7109375" style="42" customWidth="1"/>
    <col min="5" max="5" width="3.7109375" style="94" customWidth="1"/>
    <col min="6" max="6" width="15.140625" style="42" customWidth="1"/>
    <col min="7" max="7" width="14.85546875" style="42" customWidth="1"/>
    <col min="8" max="8" width="14.7109375" style="42" customWidth="1"/>
    <col min="9" max="10" width="11.5703125" style="42" customWidth="1"/>
    <col min="11" max="11" width="12.7109375" style="42" customWidth="1"/>
    <col min="12" max="13" width="14.7109375" style="42" customWidth="1"/>
    <col min="14" max="14" width="13.42578125" style="42" customWidth="1"/>
    <col min="15" max="15" width="16.7109375" style="42" customWidth="1"/>
    <col min="16" max="16384" width="9.140625" style="42"/>
  </cols>
  <sheetData>
    <row r="1" spans="1:15" x14ac:dyDescent="0.2">
      <c r="A1" s="250" t="s">
        <v>545</v>
      </c>
      <c r="B1" s="251"/>
    </row>
    <row r="3" spans="1:15" x14ac:dyDescent="0.2">
      <c r="A3" s="178" t="s">
        <v>0</v>
      </c>
      <c r="I3" s="252"/>
      <c r="N3" s="253" t="s">
        <v>140</v>
      </c>
    </row>
    <row r="4" spans="1:15" ht="25.5" x14ac:dyDescent="0.2">
      <c r="A4" s="254" t="s">
        <v>128</v>
      </c>
      <c r="N4" s="116" t="s">
        <v>538</v>
      </c>
      <c r="O4" s="188">
        <f>+'Y1'!M7</f>
        <v>24</v>
      </c>
    </row>
    <row r="6" spans="1:15" ht="25.5" x14ac:dyDescent="0.2">
      <c r="A6" s="255" t="s">
        <v>544</v>
      </c>
      <c r="C6" s="124" t="s">
        <v>57</v>
      </c>
      <c r="D6" s="124" t="s">
        <v>58</v>
      </c>
      <c r="F6" s="256" t="s">
        <v>374</v>
      </c>
      <c r="G6" s="257" t="s">
        <v>312</v>
      </c>
      <c r="H6" s="124" t="s">
        <v>61</v>
      </c>
      <c r="I6" s="124" t="s">
        <v>4</v>
      </c>
      <c r="J6" s="94" t="s">
        <v>529</v>
      </c>
      <c r="K6" s="94" t="s">
        <v>522</v>
      </c>
      <c r="L6" s="124" t="s">
        <v>63</v>
      </c>
      <c r="M6" s="124" t="s">
        <v>64</v>
      </c>
      <c r="N6" s="124"/>
      <c r="O6" s="257" t="s">
        <v>312</v>
      </c>
    </row>
    <row r="7" spans="1:15" ht="25.5" x14ac:dyDescent="0.2">
      <c r="C7" s="124" t="s">
        <v>66</v>
      </c>
      <c r="D7" s="124" t="s">
        <v>66</v>
      </c>
      <c r="F7" s="256" t="s">
        <v>67</v>
      </c>
      <c r="G7" s="124" t="s">
        <v>27</v>
      </c>
      <c r="H7" s="124" t="s">
        <v>248</v>
      </c>
      <c r="I7" s="94" t="s">
        <v>69</v>
      </c>
      <c r="J7" s="124" t="s">
        <v>70</v>
      </c>
      <c r="K7" s="124" t="s">
        <v>71</v>
      </c>
      <c r="L7" s="124" t="s">
        <v>72</v>
      </c>
      <c r="M7" s="124" t="s">
        <v>72</v>
      </c>
      <c r="N7" s="124" t="s">
        <v>73</v>
      </c>
      <c r="O7" s="124" t="s">
        <v>74</v>
      </c>
    </row>
    <row r="8" spans="1:15" ht="25.5" x14ac:dyDescent="0.2">
      <c r="A8" s="42" t="s">
        <v>28</v>
      </c>
      <c r="C8" s="124" t="s">
        <v>75</v>
      </c>
      <c r="D8" s="94" t="s">
        <v>359</v>
      </c>
      <c r="F8" s="256" t="s">
        <v>76</v>
      </c>
      <c r="G8" s="124" t="s">
        <v>77</v>
      </c>
      <c r="H8" s="94" t="s">
        <v>247</v>
      </c>
      <c r="I8" s="258" t="s">
        <v>364</v>
      </c>
      <c r="J8" s="124" t="s">
        <v>80</v>
      </c>
      <c r="K8" s="124" t="s">
        <v>81</v>
      </c>
      <c r="L8" s="125" t="str">
        <f>+'Y1'!J13</f>
        <v>(EX. C,                            PG.23C)</v>
      </c>
      <c r="M8" s="94" t="s">
        <v>217</v>
      </c>
      <c r="N8" s="124" t="s">
        <v>72</v>
      </c>
      <c r="O8" s="124" t="s">
        <v>83</v>
      </c>
    </row>
    <row r="9" spans="1:15" x14ac:dyDescent="0.2">
      <c r="C9" s="126">
        <v>-1</v>
      </c>
      <c r="D9" s="126">
        <v>-2</v>
      </c>
      <c r="F9" s="126">
        <v>-3</v>
      </c>
      <c r="G9" s="126">
        <v>-4</v>
      </c>
      <c r="H9" s="126">
        <v>-5</v>
      </c>
      <c r="I9" s="126">
        <v>-6</v>
      </c>
      <c r="J9" s="126">
        <v>-7</v>
      </c>
      <c r="K9" s="126">
        <v>-8</v>
      </c>
      <c r="L9" s="126">
        <v>-9</v>
      </c>
      <c r="M9" s="126">
        <v>-10</v>
      </c>
      <c r="N9" s="126">
        <v>-11</v>
      </c>
      <c r="O9" s="126">
        <v>-12</v>
      </c>
    </row>
    <row r="10" spans="1:15" x14ac:dyDescent="0.2">
      <c r="C10" s="263" t="s">
        <v>138</v>
      </c>
      <c r="D10" s="124"/>
      <c r="F10" s="124" t="s">
        <v>372</v>
      </c>
      <c r="G10" s="124"/>
      <c r="H10" s="124"/>
      <c r="I10" s="124" t="s">
        <v>85</v>
      </c>
      <c r="J10" s="124"/>
      <c r="K10" s="124" t="s">
        <v>86</v>
      </c>
      <c r="L10" s="124"/>
      <c r="M10" s="124" t="s">
        <v>87</v>
      </c>
      <c r="N10" s="124" t="s">
        <v>88</v>
      </c>
      <c r="O10" s="124" t="s">
        <v>89</v>
      </c>
    </row>
    <row r="11" spans="1:15" x14ac:dyDescent="0.2">
      <c r="A11" s="42" t="s">
        <v>29</v>
      </c>
    </row>
    <row r="12" spans="1:15" x14ac:dyDescent="0.2">
      <c r="A12" s="123" t="s">
        <v>209</v>
      </c>
      <c r="C12" s="43">
        <v>0</v>
      </c>
      <c r="D12" s="43">
        <v>4947</v>
      </c>
      <c r="F12" s="79">
        <v>0</v>
      </c>
      <c r="G12" s="80">
        <v>0</v>
      </c>
      <c r="H12" s="43">
        <v>399</v>
      </c>
      <c r="I12" s="81">
        <f>D12*H12</f>
        <v>1973853</v>
      </c>
      <c r="J12" s="95">
        <v>6.0749999999999998E-2</v>
      </c>
      <c r="K12" s="77">
        <f>ROUND(I12*J12,0)</f>
        <v>119912</v>
      </c>
      <c r="L12" s="77">
        <f>'22a&amp;b'!CV32</f>
        <v>0</v>
      </c>
      <c r="M12" s="77">
        <f>ROUND(G12*0,0)</f>
        <v>0</v>
      </c>
      <c r="N12" s="77">
        <f>+L12+M12</f>
        <v>0</v>
      </c>
      <c r="O12" s="77">
        <f>+G12+K12+N12</f>
        <v>119912</v>
      </c>
    </row>
    <row r="13" spans="1:15" x14ac:dyDescent="0.2">
      <c r="C13" s="43"/>
      <c r="D13" s="43"/>
      <c r="F13" s="79"/>
      <c r="G13" s="80"/>
      <c r="H13" s="43"/>
      <c r="I13" s="81"/>
      <c r="J13" s="95"/>
      <c r="K13" s="77"/>
      <c r="L13" s="77"/>
      <c r="M13" s="77"/>
      <c r="N13" s="77"/>
      <c r="O13" s="77"/>
    </row>
    <row r="14" spans="1:15" x14ac:dyDescent="0.2">
      <c r="A14" s="96" t="s">
        <v>261</v>
      </c>
      <c r="C14" s="43">
        <v>90</v>
      </c>
      <c r="D14" s="43">
        <v>223</v>
      </c>
      <c r="E14" s="94" t="s">
        <v>170</v>
      </c>
      <c r="F14" s="79">
        <f>ROUND(G14/C14,2)</f>
        <v>2013.77</v>
      </c>
      <c r="G14" s="114">
        <v>181239.43</v>
      </c>
      <c r="H14" s="43">
        <v>1267</v>
      </c>
      <c r="I14" s="81">
        <f>D14*H14</f>
        <v>282541</v>
      </c>
      <c r="J14" s="95">
        <v>6.0690000000000001E-2</v>
      </c>
      <c r="K14" s="77">
        <f>ROUND(I14*J14,0)</f>
        <v>17147</v>
      </c>
      <c r="L14" s="77">
        <f>'22a&amp;b'!CV16</f>
        <v>1698</v>
      </c>
      <c r="M14" s="77">
        <f>ROUND(G14*0,0)</f>
        <v>0</v>
      </c>
      <c r="N14" s="77">
        <f>+L14+M14</f>
        <v>1698</v>
      </c>
      <c r="O14" s="77">
        <f>+G14+K14+N14</f>
        <v>200084.43</v>
      </c>
    </row>
    <row r="15" spans="1:15" x14ac:dyDescent="0.2">
      <c r="C15" s="43"/>
      <c r="D15" s="43"/>
      <c r="F15" s="79"/>
      <c r="G15" s="80"/>
      <c r="H15" s="43"/>
      <c r="I15" s="81"/>
      <c r="J15" s="95"/>
      <c r="K15" s="77"/>
      <c r="L15" s="77"/>
      <c r="M15" s="77"/>
      <c r="N15" s="77"/>
      <c r="O15" s="77"/>
    </row>
    <row r="16" spans="1:15" x14ac:dyDescent="0.2">
      <c r="A16" s="123" t="s">
        <v>506</v>
      </c>
      <c r="C16" s="43">
        <v>0</v>
      </c>
      <c r="D16" s="43">
        <v>450</v>
      </c>
      <c r="F16" s="79">
        <v>0</v>
      </c>
      <c r="G16" s="80">
        <v>0</v>
      </c>
      <c r="H16" s="43">
        <v>791</v>
      </c>
      <c r="I16" s="81">
        <f t="shared" ref="I16" si="0">D16*H16</f>
        <v>355950</v>
      </c>
      <c r="J16" s="95">
        <v>6.0720000000000003E-2</v>
      </c>
      <c r="K16" s="77">
        <f t="shared" ref="K16" si="1">ROUND(I16*J16,0)</f>
        <v>21613</v>
      </c>
      <c r="L16" s="77">
        <f>'22a&amp;b'!CV26</f>
        <v>0</v>
      </c>
      <c r="M16" s="77">
        <v>0</v>
      </c>
      <c r="N16" s="77">
        <f t="shared" ref="N16" si="2">+L16+M16</f>
        <v>0</v>
      </c>
      <c r="O16" s="77">
        <f t="shared" ref="O16" si="3">+G16+K16+N16</f>
        <v>21613</v>
      </c>
    </row>
    <row r="17" spans="1:15" x14ac:dyDescent="0.2">
      <c r="C17" s="43"/>
      <c r="D17" s="43"/>
      <c r="F17" s="79"/>
      <c r="G17" s="80"/>
      <c r="H17" s="43"/>
      <c r="I17" s="81"/>
      <c r="J17" s="95"/>
      <c r="K17" s="77"/>
      <c r="L17" s="77"/>
      <c r="M17" s="77"/>
      <c r="N17" s="77"/>
      <c r="O17" s="77"/>
    </row>
    <row r="18" spans="1:15" x14ac:dyDescent="0.2">
      <c r="A18" s="42" t="s">
        <v>346</v>
      </c>
      <c r="C18" s="43"/>
      <c r="D18" s="43"/>
      <c r="F18" s="79"/>
      <c r="G18" s="80"/>
      <c r="H18" s="43"/>
      <c r="I18" s="81"/>
      <c r="J18" s="95"/>
      <c r="K18" s="77"/>
      <c r="L18" s="77"/>
      <c r="M18" s="77"/>
      <c r="N18" s="77"/>
      <c r="O18" s="77"/>
    </row>
    <row r="19" spans="1:15" x14ac:dyDescent="0.2">
      <c r="A19" s="96" t="s">
        <v>207</v>
      </c>
      <c r="C19" s="43">
        <v>0</v>
      </c>
      <c r="D19" s="43">
        <v>443</v>
      </c>
      <c r="E19" s="94" t="s">
        <v>170</v>
      </c>
      <c r="F19" s="79">
        <v>0</v>
      </c>
      <c r="G19" s="80">
        <v>0</v>
      </c>
      <c r="H19" s="43">
        <v>719</v>
      </c>
      <c r="I19" s="81">
        <f>D19*H19</f>
        <v>318517</v>
      </c>
      <c r="J19" s="182">
        <v>6.0670000000000002E-2</v>
      </c>
      <c r="K19" s="77">
        <f>ROUND(I19*J19,0)</f>
        <v>19324</v>
      </c>
      <c r="L19" s="77">
        <f>'22a&amp;b'!CV29</f>
        <v>0</v>
      </c>
      <c r="M19" s="77">
        <v>0</v>
      </c>
      <c r="N19" s="77">
        <f>+L19+M19</f>
        <v>0</v>
      </c>
      <c r="O19" s="77">
        <f>+G19+K19+N19</f>
        <v>19324</v>
      </c>
    </row>
    <row r="20" spans="1:15" x14ac:dyDescent="0.2">
      <c r="A20" s="96" t="s">
        <v>208</v>
      </c>
      <c r="C20" s="43">
        <v>0</v>
      </c>
      <c r="D20" s="43">
        <v>0</v>
      </c>
      <c r="E20" s="116" t="s">
        <v>170</v>
      </c>
      <c r="F20" s="79">
        <v>0</v>
      </c>
      <c r="G20" s="80">
        <v>0</v>
      </c>
      <c r="H20" s="43">
        <v>0</v>
      </c>
      <c r="I20" s="81">
        <f>D20*H20</f>
        <v>0</v>
      </c>
      <c r="J20" s="95"/>
      <c r="K20" s="77">
        <f>ROUND(I20*J20,0)</f>
        <v>0</v>
      </c>
      <c r="L20" s="77">
        <f>'22a&amp;b'!CV30</f>
        <v>0</v>
      </c>
      <c r="M20" s="77">
        <v>0</v>
      </c>
      <c r="N20" s="77">
        <f>+L20+M20</f>
        <v>0</v>
      </c>
      <c r="O20" s="77">
        <f>+G20+K20+N20</f>
        <v>0</v>
      </c>
    </row>
    <row r="21" spans="1:15" x14ac:dyDescent="0.2">
      <c r="A21" s="96"/>
      <c r="C21" s="43"/>
      <c r="D21" s="43"/>
      <c r="F21" s="79"/>
      <c r="G21" s="80"/>
      <c r="H21" s="43"/>
      <c r="I21" s="81"/>
      <c r="J21" s="95"/>
      <c r="K21" s="77"/>
      <c r="L21" s="77"/>
      <c r="M21" s="77"/>
      <c r="N21" s="77"/>
      <c r="O21" s="77"/>
    </row>
    <row r="22" spans="1:15" x14ac:dyDescent="0.2">
      <c r="A22" s="42" t="s">
        <v>348</v>
      </c>
      <c r="C22" s="43">
        <v>0</v>
      </c>
      <c r="D22" s="43">
        <v>620</v>
      </c>
      <c r="E22" s="116" t="s">
        <v>170</v>
      </c>
      <c r="F22" s="79">
        <v>0</v>
      </c>
      <c r="G22" s="80">
        <v>0</v>
      </c>
      <c r="H22" s="78">
        <v>522</v>
      </c>
      <c r="I22" s="81">
        <f>D22*H22</f>
        <v>323640</v>
      </c>
      <c r="J22" s="95">
        <v>6.0659999999999999E-2</v>
      </c>
      <c r="K22" s="77">
        <f>ROUND(I22*J22,0)</f>
        <v>19632</v>
      </c>
      <c r="L22" s="77">
        <f>'22a&amp;b'!CV34</f>
        <v>0</v>
      </c>
      <c r="M22" s="77">
        <v>0</v>
      </c>
      <c r="N22" s="77">
        <v>0</v>
      </c>
      <c r="O22" s="77">
        <f>+G22+K22+N22</f>
        <v>19632</v>
      </c>
    </row>
    <row r="23" spans="1:15" x14ac:dyDescent="0.2">
      <c r="A23" s="96"/>
      <c r="C23" s="43"/>
      <c r="D23" s="43"/>
      <c r="F23" s="79"/>
      <c r="G23" s="80"/>
      <c r="H23" s="78"/>
      <c r="I23" s="81"/>
      <c r="J23" s="95"/>
      <c r="K23" s="77"/>
      <c r="L23" s="77"/>
      <c r="M23" s="77"/>
      <c r="N23" s="77"/>
      <c r="O23" s="77"/>
    </row>
    <row r="24" spans="1:15" x14ac:dyDescent="0.2">
      <c r="A24" s="177" t="s">
        <v>350</v>
      </c>
      <c r="C24" s="43">
        <v>700</v>
      </c>
      <c r="D24" s="43">
        <v>757</v>
      </c>
      <c r="E24" s="116" t="s">
        <v>170</v>
      </c>
      <c r="F24" s="79">
        <f>ROUND(G24/C24,2)</f>
        <v>18.149999999999999</v>
      </c>
      <c r="G24" s="80">
        <v>12703.45</v>
      </c>
      <c r="H24" s="78">
        <v>34</v>
      </c>
      <c r="I24" s="81">
        <f>D24*H24</f>
        <v>25738</v>
      </c>
      <c r="J24" s="95">
        <v>0.06</v>
      </c>
      <c r="K24" s="77">
        <f>ROUND(I24*J24,0)</f>
        <v>1544</v>
      </c>
      <c r="L24" s="77">
        <f>'22a&amp;b'!CV38</f>
        <v>973</v>
      </c>
      <c r="M24" s="77">
        <v>0</v>
      </c>
      <c r="N24" s="77">
        <f>+L24+M24</f>
        <v>973</v>
      </c>
      <c r="O24" s="77">
        <f>+G24+K24+N24</f>
        <v>15220.45</v>
      </c>
    </row>
    <row r="25" spans="1:15" x14ac:dyDescent="0.2">
      <c r="A25" s="96"/>
      <c r="C25" s="43"/>
      <c r="D25" s="43"/>
      <c r="F25" s="79"/>
      <c r="G25" s="80"/>
      <c r="H25" s="43"/>
      <c r="I25" s="81"/>
      <c r="J25" s="95"/>
      <c r="K25" s="77"/>
      <c r="L25" s="77"/>
      <c r="M25" s="77"/>
      <c r="N25" s="77"/>
      <c r="O25" s="77"/>
    </row>
    <row r="26" spans="1:15" x14ac:dyDescent="0.2">
      <c r="A26" s="96" t="s">
        <v>351</v>
      </c>
      <c r="C26" s="43">
        <v>2300</v>
      </c>
      <c r="D26" s="43">
        <v>6503</v>
      </c>
      <c r="E26" s="94" t="s">
        <v>170</v>
      </c>
      <c r="F26" s="79">
        <f>ROUND(G26/C26,2)</f>
        <v>16.670000000000002</v>
      </c>
      <c r="G26" s="80">
        <v>38341</v>
      </c>
      <c r="H26" s="78">
        <v>21</v>
      </c>
      <c r="I26" s="81">
        <f>D26*H26</f>
        <v>136563</v>
      </c>
      <c r="J26" s="95">
        <v>0.06</v>
      </c>
      <c r="K26" s="77">
        <f>ROUND(I26*J26,0)</f>
        <v>8194</v>
      </c>
      <c r="L26" s="77">
        <f>'22a&amp;b'!CV40</f>
        <v>1748</v>
      </c>
      <c r="M26" s="77">
        <v>0</v>
      </c>
      <c r="N26" s="77">
        <f>+L26+M26</f>
        <v>1748</v>
      </c>
      <c r="O26" s="77">
        <f>+G26+K26+N26</f>
        <v>48283</v>
      </c>
    </row>
    <row r="27" spans="1:15" x14ac:dyDescent="0.2">
      <c r="A27" s="96"/>
      <c r="C27" s="43"/>
      <c r="D27" s="43"/>
      <c r="F27" s="79"/>
      <c r="G27" s="80"/>
      <c r="H27" s="78"/>
      <c r="I27" s="81"/>
      <c r="J27" s="95"/>
      <c r="K27" s="77"/>
      <c r="L27" s="77"/>
      <c r="M27" s="77"/>
      <c r="N27" s="77"/>
      <c r="O27" s="77"/>
    </row>
    <row r="28" spans="1:15" x14ac:dyDescent="0.2">
      <c r="A28" s="96" t="s">
        <v>386</v>
      </c>
      <c r="C28" s="43"/>
      <c r="D28" s="43"/>
      <c r="F28" s="79"/>
    </row>
    <row r="29" spans="1:15" x14ac:dyDescent="0.2">
      <c r="A29" s="42" t="s">
        <v>387</v>
      </c>
      <c r="C29" s="43">
        <v>187500</v>
      </c>
      <c r="D29" s="43">
        <v>226432</v>
      </c>
      <c r="E29" s="94" t="s">
        <v>170</v>
      </c>
      <c r="F29" s="79">
        <f>ROUND(G29/C29,2)</f>
        <v>1</v>
      </c>
      <c r="G29" s="114">
        <v>187500</v>
      </c>
      <c r="H29" s="78">
        <v>9</v>
      </c>
      <c r="I29" s="81">
        <f>D29*H29</f>
        <v>2037888</v>
      </c>
      <c r="J29" s="95">
        <v>6.3530000000000003E-2</v>
      </c>
      <c r="K29" s="77">
        <f>ROUND(I29*J29,0)</f>
        <v>129467</v>
      </c>
      <c r="L29" s="77">
        <f>'22a&amp;b'!CV43</f>
        <v>60000</v>
      </c>
      <c r="M29" s="77">
        <v>0</v>
      </c>
      <c r="N29" s="77">
        <f>+L29+M29</f>
        <v>60000</v>
      </c>
      <c r="O29" s="99">
        <f>+G29+K29+N29</f>
        <v>376967</v>
      </c>
    </row>
    <row r="30" spans="1:15" x14ac:dyDescent="0.2">
      <c r="A30" s="42" t="s">
        <v>398</v>
      </c>
      <c r="C30" s="43">
        <v>15000</v>
      </c>
      <c r="D30" s="43">
        <v>12051</v>
      </c>
      <c r="E30" s="116" t="s">
        <v>170</v>
      </c>
      <c r="F30" s="79">
        <f t="shared" ref="F30:F40" si="4">ROUND(G30/C30,2)</f>
        <v>3</v>
      </c>
      <c r="G30" s="80">
        <v>45000</v>
      </c>
      <c r="H30" s="78">
        <v>11</v>
      </c>
      <c r="I30" s="81">
        <f>D30*H30</f>
        <v>132561</v>
      </c>
      <c r="J30" s="95">
        <v>6.2859999999999999E-2</v>
      </c>
      <c r="K30" s="77">
        <f>ROUND(I30*J30,0)</f>
        <v>8333</v>
      </c>
      <c r="L30" s="77">
        <f>'22a&amp;b'!CV45</f>
        <v>13950</v>
      </c>
      <c r="M30" s="77">
        <v>0</v>
      </c>
      <c r="N30" s="77">
        <f>+L30+M30</f>
        <v>13950</v>
      </c>
      <c r="O30" s="77">
        <f>+G30+K30+N30</f>
        <v>67283</v>
      </c>
    </row>
    <row r="31" spans="1:15" x14ac:dyDescent="0.2">
      <c r="A31" s="123" t="s">
        <v>509</v>
      </c>
      <c r="C31" s="43">
        <v>3750</v>
      </c>
      <c r="D31" s="43">
        <v>3605</v>
      </c>
      <c r="E31" s="116" t="s">
        <v>170</v>
      </c>
      <c r="F31" s="79">
        <f t="shared" si="4"/>
        <v>5</v>
      </c>
      <c r="G31" s="80">
        <v>18750</v>
      </c>
      <c r="H31" s="78">
        <v>16</v>
      </c>
      <c r="I31" s="81">
        <f t="shared" ref="I31:I34" si="5">D31*H31</f>
        <v>57680</v>
      </c>
      <c r="J31" s="95">
        <v>6.1940000000000002E-2</v>
      </c>
      <c r="K31" s="77">
        <f t="shared" ref="K31:K34" si="6">ROUND(I31*J31,0)</f>
        <v>3573</v>
      </c>
      <c r="L31" s="77">
        <f>'22a&amp;b'!CV46</f>
        <v>4088</v>
      </c>
      <c r="M31" s="77">
        <v>0</v>
      </c>
      <c r="N31" s="77">
        <f t="shared" ref="N31:N34" si="7">+L31+M31</f>
        <v>4088</v>
      </c>
      <c r="O31" s="77">
        <f t="shared" ref="O31:O34" si="8">+G31+K31+N31</f>
        <v>26411</v>
      </c>
    </row>
    <row r="32" spans="1:15" x14ac:dyDescent="0.2">
      <c r="A32" s="123" t="s">
        <v>510</v>
      </c>
      <c r="C32" s="43">
        <v>402</v>
      </c>
      <c r="D32" s="43">
        <v>252</v>
      </c>
      <c r="E32" s="116" t="s">
        <v>170</v>
      </c>
      <c r="F32" s="79">
        <f t="shared" si="4"/>
        <v>50</v>
      </c>
      <c r="G32" s="80">
        <v>20100</v>
      </c>
      <c r="H32" s="78">
        <v>44</v>
      </c>
      <c r="I32" s="81">
        <f t="shared" si="5"/>
        <v>11088</v>
      </c>
      <c r="J32" s="95">
        <v>6.1359999999999998E-2</v>
      </c>
      <c r="K32" s="77">
        <f t="shared" si="6"/>
        <v>680</v>
      </c>
      <c r="L32" s="77">
        <v>0</v>
      </c>
      <c r="M32" s="77">
        <f t="shared" ref="M32" si="9">ROUND(G32*0.05,0)</f>
        <v>1005</v>
      </c>
      <c r="N32" s="77">
        <f t="shared" si="7"/>
        <v>1005</v>
      </c>
      <c r="O32" s="77">
        <f t="shared" si="8"/>
        <v>21785</v>
      </c>
    </row>
    <row r="33" spans="1:19" x14ac:dyDescent="0.2">
      <c r="A33" s="123" t="s">
        <v>511</v>
      </c>
      <c r="C33" s="43">
        <v>102</v>
      </c>
      <c r="D33" s="43">
        <v>89</v>
      </c>
      <c r="E33" s="116" t="s">
        <v>170</v>
      </c>
      <c r="F33" s="79">
        <f t="shared" si="4"/>
        <v>25</v>
      </c>
      <c r="G33" s="80">
        <v>2550</v>
      </c>
      <c r="H33" s="78">
        <v>64</v>
      </c>
      <c r="I33" s="81">
        <f t="shared" si="5"/>
        <v>5696</v>
      </c>
      <c r="J33" s="95">
        <v>6.0470000000000003E-2</v>
      </c>
      <c r="K33" s="77">
        <f t="shared" si="6"/>
        <v>344</v>
      </c>
      <c r="L33" s="77">
        <f>'22a&amp;b'!CV48</f>
        <v>27</v>
      </c>
      <c r="M33" s="77">
        <v>0</v>
      </c>
      <c r="N33" s="77">
        <f t="shared" si="7"/>
        <v>27</v>
      </c>
      <c r="O33" s="77">
        <f t="shared" si="8"/>
        <v>2921</v>
      </c>
    </row>
    <row r="34" spans="1:19" x14ac:dyDescent="0.2">
      <c r="A34" s="123" t="s">
        <v>556</v>
      </c>
      <c r="C34" s="43">
        <v>24</v>
      </c>
      <c r="D34" s="43">
        <v>12</v>
      </c>
      <c r="E34" s="116" t="s">
        <v>170</v>
      </c>
      <c r="F34" s="79">
        <f t="shared" si="4"/>
        <v>25</v>
      </c>
      <c r="G34" s="80">
        <v>600</v>
      </c>
      <c r="H34" s="78">
        <v>106</v>
      </c>
      <c r="I34" s="81">
        <f t="shared" si="5"/>
        <v>1272</v>
      </c>
      <c r="J34" s="95">
        <v>6.0850000000000001E-2</v>
      </c>
      <c r="K34" s="77">
        <f t="shared" si="6"/>
        <v>77</v>
      </c>
      <c r="L34" s="77">
        <f>'22a&amp;b'!CV52</f>
        <v>30</v>
      </c>
      <c r="M34" s="77">
        <v>0</v>
      </c>
      <c r="N34" s="77">
        <f t="shared" si="7"/>
        <v>30</v>
      </c>
      <c r="O34" s="77">
        <f t="shared" si="8"/>
        <v>707</v>
      </c>
    </row>
    <row r="35" spans="1:19" x14ac:dyDescent="0.2">
      <c r="A35" s="96"/>
      <c r="C35" s="43"/>
      <c r="D35" s="43"/>
      <c r="F35" s="79"/>
      <c r="G35" s="80"/>
      <c r="H35" s="78"/>
      <c r="I35" s="81"/>
      <c r="J35" s="95"/>
      <c r="K35" s="77"/>
      <c r="L35" s="77"/>
      <c r="M35" s="77"/>
      <c r="N35" s="77"/>
      <c r="O35" s="77"/>
    </row>
    <row r="36" spans="1:19" x14ac:dyDescent="0.2">
      <c r="A36" s="96" t="s">
        <v>388</v>
      </c>
      <c r="C36" s="43"/>
      <c r="D36" s="43"/>
      <c r="F36" s="79"/>
      <c r="G36" s="80"/>
      <c r="H36" s="78"/>
      <c r="I36" s="81"/>
      <c r="J36" s="95"/>
      <c r="K36" s="77"/>
      <c r="L36" s="77"/>
      <c r="M36" s="77"/>
      <c r="N36" s="77"/>
      <c r="O36" s="77"/>
    </row>
    <row r="37" spans="1:19" x14ac:dyDescent="0.2">
      <c r="A37" s="42" t="s">
        <v>208</v>
      </c>
      <c r="C37" s="43">
        <v>0</v>
      </c>
      <c r="D37" s="43">
        <v>0</v>
      </c>
      <c r="E37" s="94" t="s">
        <v>170</v>
      </c>
      <c r="F37" s="79">
        <v>0</v>
      </c>
      <c r="G37" s="80">
        <v>0</v>
      </c>
      <c r="H37" s="78">
        <v>0</v>
      </c>
      <c r="I37" s="81">
        <f>D37*H37</f>
        <v>0</v>
      </c>
      <c r="J37" s="95">
        <v>0</v>
      </c>
      <c r="K37" s="77">
        <f>ROUND(I37*J37,0)</f>
        <v>0</v>
      </c>
      <c r="L37" s="77">
        <v>0</v>
      </c>
      <c r="M37" s="77">
        <f>ROUND(G37*0.05,0)</f>
        <v>0</v>
      </c>
      <c r="N37" s="77">
        <f>+L37+M37</f>
        <v>0</v>
      </c>
      <c r="O37" s="77">
        <f>+G37+K37+N37</f>
        <v>0</v>
      </c>
    </row>
    <row r="38" spans="1:19" x14ac:dyDescent="0.2">
      <c r="A38" s="42" t="s">
        <v>207</v>
      </c>
      <c r="C38" s="43">
        <v>0</v>
      </c>
      <c r="D38" s="43">
        <v>56</v>
      </c>
      <c r="E38" s="116" t="s">
        <v>170</v>
      </c>
      <c r="F38" s="79">
        <v>0</v>
      </c>
      <c r="G38" s="80">
        <v>0</v>
      </c>
      <c r="H38" s="78">
        <v>142</v>
      </c>
      <c r="I38" s="81">
        <f>D38*H38</f>
        <v>7952</v>
      </c>
      <c r="J38" s="95">
        <v>6.0850000000000001E-2</v>
      </c>
      <c r="K38" s="77">
        <f>ROUND(I38*J38,0)</f>
        <v>484</v>
      </c>
      <c r="L38" s="77">
        <v>0</v>
      </c>
      <c r="M38" s="77">
        <f>ROUND(G38*0.05,0)</f>
        <v>0</v>
      </c>
      <c r="N38" s="77">
        <f>+L38+M38</f>
        <v>0</v>
      </c>
      <c r="O38" s="77">
        <f>+G38+K38+N38</f>
        <v>484</v>
      </c>
    </row>
    <row r="39" spans="1:19" x14ac:dyDescent="0.2">
      <c r="C39" s="43"/>
      <c r="D39" s="43"/>
      <c r="E39" s="116"/>
      <c r="F39" s="79"/>
      <c r="G39" s="80"/>
      <c r="H39" s="78"/>
      <c r="I39" s="81"/>
      <c r="J39" s="95"/>
      <c r="K39" s="77"/>
      <c r="L39" s="77"/>
      <c r="M39" s="77"/>
      <c r="N39" s="77"/>
      <c r="O39" s="77"/>
    </row>
    <row r="40" spans="1:19" x14ac:dyDescent="0.2">
      <c r="A40" s="248" t="s">
        <v>557</v>
      </c>
      <c r="C40" s="43">
        <v>66</v>
      </c>
      <c r="D40" s="43">
        <v>33</v>
      </c>
      <c r="E40" s="94" t="s">
        <v>170</v>
      </c>
      <c r="F40" s="79">
        <f t="shared" si="4"/>
        <v>1299.24</v>
      </c>
      <c r="G40" s="80">
        <v>85750</v>
      </c>
      <c r="H40" s="78">
        <v>1007</v>
      </c>
      <c r="I40" s="81">
        <f>D40*H40</f>
        <v>33231</v>
      </c>
      <c r="J40" s="95">
        <v>6.071E-2</v>
      </c>
      <c r="K40" s="77">
        <f>ROUND(I40*J40,0)</f>
        <v>2017</v>
      </c>
      <c r="L40" s="77">
        <f>'22a&amp;b'!CV67</f>
        <v>6897</v>
      </c>
      <c r="M40" s="77">
        <v>0</v>
      </c>
      <c r="N40" s="77">
        <f>+L40+M40</f>
        <v>6897</v>
      </c>
      <c r="O40" s="77">
        <f>+G40+K40+N40</f>
        <v>94664</v>
      </c>
    </row>
    <row r="41" spans="1:19" x14ac:dyDescent="0.2">
      <c r="C41" s="43"/>
      <c r="D41" s="43"/>
      <c r="F41" s="79"/>
      <c r="G41" s="80"/>
      <c r="H41" s="78"/>
      <c r="I41" s="81"/>
      <c r="J41" s="95"/>
      <c r="K41" s="77"/>
      <c r="L41" s="77"/>
      <c r="M41" s="77"/>
      <c r="N41" s="77"/>
      <c r="O41" s="77"/>
    </row>
    <row r="42" spans="1:19" x14ac:dyDescent="0.2">
      <c r="C42" s="43"/>
      <c r="D42" s="43"/>
      <c r="F42" s="79"/>
      <c r="G42" s="80"/>
      <c r="H42" s="78"/>
      <c r="I42" s="81"/>
      <c r="J42" s="95"/>
      <c r="K42" s="77"/>
      <c r="L42" s="77"/>
      <c r="M42" s="77"/>
      <c r="N42" s="77"/>
      <c r="O42" s="77"/>
    </row>
    <row r="43" spans="1:19" x14ac:dyDescent="0.2">
      <c r="A43" s="123" t="s">
        <v>558</v>
      </c>
      <c r="C43" s="43">
        <v>1254</v>
      </c>
      <c r="D43" s="43">
        <v>627</v>
      </c>
      <c r="E43" s="116" t="s">
        <v>170</v>
      </c>
      <c r="F43" s="79">
        <f t="shared" ref="F43" si="10">ROUND(G43/C43,2)</f>
        <v>584.99</v>
      </c>
      <c r="G43" s="80">
        <v>733575</v>
      </c>
      <c r="H43" s="78">
        <v>520</v>
      </c>
      <c r="I43" s="81">
        <f>D43*H43</f>
        <v>326040</v>
      </c>
      <c r="J43" s="95">
        <v>6.0690000000000001E-2</v>
      </c>
      <c r="K43" s="77">
        <f>ROUND(I43*J43,0)</f>
        <v>19787</v>
      </c>
      <c r="L43" s="77">
        <f>'22a&amp;b'!CV69</f>
        <v>39501</v>
      </c>
      <c r="M43" s="77">
        <v>0</v>
      </c>
      <c r="N43" s="77">
        <f>+L43+M43</f>
        <v>39501</v>
      </c>
      <c r="O43" s="77">
        <f>+G43+K43+N43</f>
        <v>792863</v>
      </c>
    </row>
    <row r="44" spans="1:19" x14ac:dyDescent="0.2">
      <c r="C44" s="43"/>
      <c r="D44" s="43"/>
      <c r="F44" s="79"/>
      <c r="G44" s="80"/>
      <c r="H44" s="78"/>
      <c r="I44" s="81"/>
      <c r="J44" s="95"/>
      <c r="K44" s="77"/>
      <c r="L44" s="77"/>
      <c r="M44" s="77"/>
      <c r="N44" s="77"/>
      <c r="O44" s="77"/>
    </row>
    <row r="45" spans="1:19" x14ac:dyDescent="0.2">
      <c r="A45" s="42" t="s">
        <v>505</v>
      </c>
      <c r="C45" s="97">
        <v>0</v>
      </c>
      <c r="D45" s="43">
        <v>0</v>
      </c>
      <c r="E45" s="116" t="s">
        <v>170</v>
      </c>
      <c r="F45" s="79">
        <v>0</v>
      </c>
      <c r="G45" s="77">
        <v>359797</v>
      </c>
      <c r="H45" s="43">
        <v>0</v>
      </c>
      <c r="I45" s="81">
        <v>0</v>
      </c>
      <c r="J45" s="95">
        <v>0</v>
      </c>
      <c r="K45" s="77">
        <v>0</v>
      </c>
      <c r="L45" s="77">
        <v>0</v>
      </c>
      <c r="M45" s="77">
        <v>0</v>
      </c>
      <c r="N45" s="77">
        <v>0</v>
      </c>
      <c r="O45" s="99">
        <f>+G45+K45+N45</f>
        <v>359797</v>
      </c>
      <c r="S45" s="249"/>
    </row>
    <row r="46" spans="1:19" x14ac:dyDescent="0.2">
      <c r="C46" s="97"/>
      <c r="D46" s="43"/>
      <c r="E46" s="116"/>
      <c r="F46" s="79"/>
      <c r="G46" s="77"/>
      <c r="H46" s="43"/>
      <c r="I46" s="81"/>
      <c r="J46" s="95"/>
      <c r="K46" s="77"/>
      <c r="L46" s="77"/>
      <c r="M46" s="77"/>
      <c r="N46" s="77"/>
      <c r="O46" s="77"/>
      <c r="S46" s="249"/>
    </row>
    <row r="47" spans="1:19" x14ac:dyDescent="0.2">
      <c r="A47" s="123" t="s">
        <v>515</v>
      </c>
      <c r="C47" s="43"/>
      <c r="D47" s="43"/>
      <c r="F47" s="79"/>
      <c r="G47" s="80"/>
      <c r="H47" s="78"/>
      <c r="I47" s="81"/>
      <c r="J47" s="95"/>
      <c r="K47" s="77"/>
      <c r="L47" s="77"/>
      <c r="M47" s="77"/>
      <c r="N47" s="77"/>
      <c r="O47" s="77"/>
    </row>
    <row r="48" spans="1:19" x14ac:dyDescent="0.2">
      <c r="A48" s="123" t="s">
        <v>516</v>
      </c>
      <c r="C48" s="43">
        <v>30000</v>
      </c>
      <c r="D48" s="43">
        <v>30000</v>
      </c>
      <c r="E48" s="116" t="s">
        <v>170</v>
      </c>
      <c r="F48" s="79">
        <f t="shared" ref="F48" si="11">ROUND(G48/C48,2)</f>
        <v>16.649999999999999</v>
      </c>
      <c r="G48" s="80">
        <v>499350</v>
      </c>
      <c r="H48" s="78">
        <v>80</v>
      </c>
      <c r="I48" s="81">
        <f>D48*H48</f>
        <v>2400000</v>
      </c>
      <c r="J48" s="95">
        <v>6.0749999999999998E-2</v>
      </c>
      <c r="K48" s="77">
        <f>ROUND(I48*J48,0)</f>
        <v>145800</v>
      </c>
      <c r="L48" s="77">
        <f>'22a&amp;b'!CV63</f>
        <v>34200</v>
      </c>
      <c r="M48" s="77">
        <v>0</v>
      </c>
      <c r="N48" s="77">
        <f>+L48+M48</f>
        <v>34200</v>
      </c>
      <c r="O48" s="77">
        <f>+G48+K48+N48</f>
        <v>679350</v>
      </c>
    </row>
    <row r="49" spans="1:15" x14ac:dyDescent="0.2">
      <c r="C49" s="43"/>
      <c r="D49" s="43"/>
      <c r="F49" s="43"/>
      <c r="G49" s="43"/>
      <c r="H49" s="97"/>
      <c r="I49" s="43"/>
      <c r="J49" s="95"/>
      <c r="K49" s="43"/>
      <c r="L49" s="43"/>
      <c r="M49" s="43"/>
      <c r="N49" s="43"/>
      <c r="O49" s="43"/>
    </row>
    <row r="50" spans="1:15" x14ac:dyDescent="0.2">
      <c r="A50" s="123" t="s">
        <v>517</v>
      </c>
      <c r="C50" s="43">
        <v>288</v>
      </c>
      <c r="D50" s="43">
        <v>251</v>
      </c>
      <c r="E50" s="116" t="s">
        <v>170</v>
      </c>
      <c r="F50" s="79">
        <f t="shared" ref="F50" si="12">ROUND(G50/C50,2)</f>
        <v>162.19999999999999</v>
      </c>
      <c r="G50" s="80">
        <v>46712.63</v>
      </c>
      <c r="H50" s="78">
        <v>280</v>
      </c>
      <c r="I50" s="81">
        <f>D50*H50</f>
        <v>70280</v>
      </c>
      <c r="J50" s="95">
        <v>6.0639999999999999E-2</v>
      </c>
      <c r="K50" s="77">
        <f>ROUND(I50*J50,0)</f>
        <v>4262</v>
      </c>
      <c r="L50" s="77">
        <f>'22a&amp;b'!CV65</f>
        <v>323</v>
      </c>
      <c r="M50" s="77">
        <v>0</v>
      </c>
      <c r="N50" s="77">
        <f>+L50+M50</f>
        <v>323</v>
      </c>
      <c r="O50" s="99">
        <f>+G50+K50+N50</f>
        <v>51297.63</v>
      </c>
    </row>
    <row r="51" spans="1:15" x14ac:dyDescent="0.2">
      <c r="C51" s="43" t="s">
        <v>201</v>
      </c>
      <c r="D51" s="43" t="s">
        <v>201</v>
      </c>
      <c r="F51" s="43"/>
      <c r="G51" s="43" t="s">
        <v>201</v>
      </c>
      <c r="H51" s="97"/>
      <c r="I51" s="43" t="s">
        <v>201</v>
      </c>
      <c r="J51" s="95"/>
      <c r="K51" s="43" t="s">
        <v>201</v>
      </c>
      <c r="L51" s="43" t="s">
        <v>201</v>
      </c>
      <c r="M51" s="43" t="s">
        <v>201</v>
      </c>
      <c r="N51" s="43" t="s">
        <v>201</v>
      </c>
      <c r="O51" s="43" t="s">
        <v>201</v>
      </c>
    </row>
    <row r="52" spans="1:15" x14ac:dyDescent="0.2">
      <c r="A52" s="42" t="s">
        <v>39</v>
      </c>
      <c r="C52" s="43">
        <f>SUM(C12:C51)</f>
        <v>241476</v>
      </c>
      <c r="D52" s="43">
        <f>SUM(D12:D51)</f>
        <v>287351</v>
      </c>
      <c r="F52" s="97"/>
      <c r="G52" s="80">
        <f>SUM(G12:G51)</f>
        <v>2231968.5099999998</v>
      </c>
      <c r="H52" s="43"/>
      <c r="I52" s="43">
        <f>SUM(I12:I51)</f>
        <v>8500490</v>
      </c>
      <c r="J52" s="95"/>
      <c r="K52" s="80">
        <f>SUM(K12:K51)</f>
        <v>522190</v>
      </c>
      <c r="L52" s="80">
        <f>SUM(L12:L51)</f>
        <v>163435</v>
      </c>
      <c r="M52" s="80">
        <f>SUM(M12:M51)</f>
        <v>1005</v>
      </c>
      <c r="N52" s="80">
        <f>SUM(N12:N51)</f>
        <v>164440</v>
      </c>
      <c r="O52" s="80">
        <f>SUM(O12:O51)</f>
        <v>2918598.51</v>
      </c>
    </row>
    <row r="53" spans="1:15" x14ac:dyDescent="0.2">
      <c r="C53" s="97" t="s">
        <v>94</v>
      </c>
      <c r="D53" s="97" t="s">
        <v>94</v>
      </c>
      <c r="F53" s="97"/>
      <c r="G53" s="97" t="s">
        <v>94</v>
      </c>
      <c r="H53" s="97"/>
      <c r="I53" s="97" t="s">
        <v>94</v>
      </c>
      <c r="J53" s="97"/>
      <c r="K53" s="97" t="s">
        <v>94</v>
      </c>
      <c r="L53" s="97" t="s">
        <v>94</v>
      </c>
      <c r="M53" s="97" t="s">
        <v>94</v>
      </c>
      <c r="N53" s="97" t="s">
        <v>94</v>
      </c>
      <c r="O53" s="97" t="s">
        <v>94</v>
      </c>
    </row>
    <row r="54" spans="1:15" x14ac:dyDescent="0.2">
      <c r="C54" s="97"/>
      <c r="D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x14ac:dyDescent="0.2">
      <c r="A55" s="250" t="str">
        <f>A1</f>
        <v>Year 2016</v>
      </c>
      <c r="B55" s="251"/>
    </row>
    <row r="57" spans="1:15" x14ac:dyDescent="0.2">
      <c r="A57" s="178" t="s">
        <v>0</v>
      </c>
      <c r="I57" s="252"/>
      <c r="N57" s="253" t="s">
        <v>140</v>
      </c>
    </row>
    <row r="58" spans="1:15" ht="25.5" x14ac:dyDescent="0.2">
      <c r="A58" s="254" t="s">
        <v>128</v>
      </c>
      <c r="N58" s="116" t="s">
        <v>539</v>
      </c>
      <c r="O58" s="188">
        <f>'Y1'!M7</f>
        <v>24</v>
      </c>
    </row>
    <row r="60" spans="1:15" ht="25.5" x14ac:dyDescent="0.2">
      <c r="A60" s="255" t="str">
        <f>A6</f>
        <v>YEAR 21 (1st HALF)</v>
      </c>
      <c r="C60" s="124" t="s">
        <v>57</v>
      </c>
      <c r="D60" s="124" t="s">
        <v>58</v>
      </c>
      <c r="F60" s="256" t="s">
        <v>374</v>
      </c>
      <c r="G60" s="257" t="s">
        <v>312</v>
      </c>
      <c r="H60" s="124" t="s">
        <v>61</v>
      </c>
      <c r="I60" s="124" t="s">
        <v>4</v>
      </c>
      <c r="J60" s="94" t="s">
        <v>200</v>
      </c>
      <c r="K60" s="94" t="s">
        <v>522</v>
      </c>
      <c r="L60" s="124" t="s">
        <v>63</v>
      </c>
      <c r="M60" s="124" t="s">
        <v>64</v>
      </c>
      <c r="N60" s="124"/>
      <c r="O60" s="257" t="s">
        <v>312</v>
      </c>
    </row>
    <row r="61" spans="1:15" ht="25.5" x14ac:dyDescent="0.2">
      <c r="C61" s="124" t="s">
        <v>66</v>
      </c>
      <c r="D61" s="124" t="s">
        <v>66</v>
      </c>
      <c r="F61" s="256" t="s">
        <v>67</v>
      </c>
      <c r="G61" s="124" t="s">
        <v>27</v>
      </c>
      <c r="H61" s="124" t="s">
        <v>248</v>
      </c>
      <c r="I61" s="94" t="s">
        <v>69</v>
      </c>
      <c r="J61" s="124" t="s">
        <v>70</v>
      </c>
      <c r="K61" s="124" t="s">
        <v>71</v>
      </c>
      <c r="L61" s="124" t="s">
        <v>72</v>
      </c>
      <c r="M61" s="124" t="s">
        <v>72</v>
      </c>
      <c r="N61" s="124" t="s">
        <v>73</v>
      </c>
      <c r="O61" s="124" t="s">
        <v>74</v>
      </c>
    </row>
    <row r="62" spans="1:15" ht="25.5" x14ac:dyDescent="0.2">
      <c r="A62" s="42" t="s">
        <v>28</v>
      </c>
      <c r="C62" s="124" t="s">
        <v>75</v>
      </c>
      <c r="D62" s="94" t="s">
        <v>359</v>
      </c>
      <c r="F62" s="256" t="s">
        <v>76</v>
      </c>
      <c r="G62" s="124" t="s">
        <v>77</v>
      </c>
      <c r="H62" s="94" t="s">
        <v>247</v>
      </c>
      <c r="I62" s="258" t="s">
        <v>364</v>
      </c>
      <c r="J62" s="124" t="s">
        <v>80</v>
      </c>
      <c r="K62" s="124" t="s">
        <v>81</v>
      </c>
      <c r="L62" s="125" t="str">
        <f>+'Y1'!J13</f>
        <v>(EX. C,                            PG.23C)</v>
      </c>
      <c r="M62" s="94" t="s">
        <v>217</v>
      </c>
      <c r="N62" s="124" t="s">
        <v>72</v>
      </c>
      <c r="O62" s="124" t="s">
        <v>83</v>
      </c>
    </row>
    <row r="63" spans="1:15" x14ac:dyDescent="0.2">
      <c r="C63" s="126">
        <v>-1</v>
      </c>
      <c r="D63" s="126">
        <v>-2</v>
      </c>
      <c r="F63" s="126">
        <v>-3</v>
      </c>
      <c r="G63" s="126">
        <v>-4</v>
      </c>
      <c r="H63" s="126">
        <v>-5</v>
      </c>
      <c r="I63" s="126">
        <v>-6</v>
      </c>
      <c r="J63" s="126">
        <v>-7</v>
      </c>
      <c r="K63" s="126">
        <v>-8</v>
      </c>
      <c r="L63" s="126">
        <v>-9</v>
      </c>
      <c r="M63" s="126">
        <v>-10</v>
      </c>
      <c r="N63" s="126">
        <v>-11</v>
      </c>
      <c r="O63" s="126">
        <v>-12</v>
      </c>
    </row>
    <row r="64" spans="1:15" x14ac:dyDescent="0.2">
      <c r="C64" s="124"/>
      <c r="D64" s="124"/>
      <c r="F64" s="124" t="s">
        <v>372</v>
      </c>
      <c r="G64" s="124"/>
      <c r="H64" s="124"/>
      <c r="I64" s="124" t="s">
        <v>85</v>
      </c>
      <c r="J64" s="124"/>
      <c r="K64" s="124" t="s">
        <v>86</v>
      </c>
      <c r="L64" s="124"/>
      <c r="M64" s="124" t="s">
        <v>87</v>
      </c>
      <c r="N64" s="124" t="s">
        <v>88</v>
      </c>
      <c r="O64" s="124" t="s">
        <v>89</v>
      </c>
    </row>
    <row r="65" spans="1:19" x14ac:dyDescent="0.2">
      <c r="A65" s="42" t="s">
        <v>40</v>
      </c>
      <c r="C65" s="97"/>
      <c r="D65" s="97"/>
      <c r="F65" s="97"/>
      <c r="G65" s="97"/>
      <c r="H65" s="43"/>
      <c r="I65" s="97"/>
      <c r="J65" s="95"/>
      <c r="K65" s="97"/>
      <c r="L65" s="97"/>
      <c r="M65" s="97"/>
      <c r="N65" s="97"/>
      <c r="O65" s="97"/>
    </row>
    <row r="66" spans="1:19" x14ac:dyDescent="0.2">
      <c r="C66" s="97"/>
      <c r="D66" s="43"/>
      <c r="E66" s="116"/>
      <c r="F66" s="79"/>
      <c r="G66" s="77"/>
      <c r="H66" s="43"/>
      <c r="I66" s="81"/>
      <c r="J66" s="95"/>
      <c r="K66" s="77"/>
      <c r="L66" s="77"/>
      <c r="M66" s="77"/>
      <c r="N66" s="77"/>
      <c r="O66" s="77"/>
    </row>
    <row r="67" spans="1:19" x14ac:dyDescent="0.2">
      <c r="A67" s="123" t="s">
        <v>517</v>
      </c>
      <c r="C67" s="97">
        <v>0</v>
      </c>
      <c r="D67" s="43">
        <v>0</v>
      </c>
      <c r="E67" s="116" t="s">
        <v>170</v>
      </c>
      <c r="F67" s="79">
        <v>0</v>
      </c>
      <c r="G67" s="77">
        <v>0</v>
      </c>
      <c r="H67" s="43">
        <v>280</v>
      </c>
      <c r="I67" s="81">
        <f>D67*H67</f>
        <v>0</v>
      </c>
      <c r="J67" s="95">
        <v>8.2710000000000006E-2</v>
      </c>
      <c r="K67" s="77">
        <f>ROUND(I67*J67,0)</f>
        <v>0</v>
      </c>
      <c r="L67" s="77">
        <f>'22a&amp;b'!CV97</f>
        <v>0</v>
      </c>
      <c r="M67" s="77">
        <f>G67*0.05</f>
        <v>0</v>
      </c>
      <c r="N67" s="77">
        <f>+L67+M67</f>
        <v>0</v>
      </c>
      <c r="O67" s="77">
        <f>+G67+K67+N67</f>
        <v>0</v>
      </c>
    </row>
    <row r="68" spans="1:19" x14ac:dyDescent="0.2">
      <c r="C68" s="97"/>
      <c r="D68" s="43"/>
      <c r="F68" s="79"/>
      <c r="G68" s="77"/>
      <c r="H68" s="43"/>
      <c r="I68" s="81"/>
      <c r="J68" s="95"/>
      <c r="K68" s="77"/>
      <c r="L68" s="77"/>
      <c r="M68" s="77"/>
      <c r="N68" s="77"/>
      <c r="O68" s="77"/>
    </row>
    <row r="69" spans="1:19" x14ac:dyDescent="0.2">
      <c r="A69" s="42" t="s">
        <v>389</v>
      </c>
      <c r="C69" s="97"/>
      <c r="D69" s="43"/>
      <c r="F69" s="79"/>
      <c r="G69" s="77"/>
      <c r="H69" s="43"/>
      <c r="I69" s="81"/>
      <c r="J69" s="95"/>
      <c r="K69" s="77"/>
      <c r="L69" s="77"/>
      <c r="M69" s="77"/>
      <c r="N69" s="77"/>
      <c r="O69" s="77"/>
    </row>
    <row r="70" spans="1:19" x14ac:dyDescent="0.2">
      <c r="A70" s="42" t="s">
        <v>390</v>
      </c>
      <c r="C70" s="97">
        <v>0</v>
      </c>
      <c r="D70" s="43">
        <v>0</v>
      </c>
      <c r="E70" s="116" t="s">
        <v>170</v>
      </c>
      <c r="F70" s="79">
        <v>0</v>
      </c>
      <c r="G70" s="77">
        <v>0</v>
      </c>
      <c r="H70" s="43">
        <v>67</v>
      </c>
      <c r="I70" s="81">
        <f>D70*H70</f>
        <v>0</v>
      </c>
      <c r="J70" s="95">
        <v>7.5840000000000005E-2</v>
      </c>
      <c r="K70" s="77">
        <f>ROUND(I70*J70,0)</f>
        <v>0</v>
      </c>
      <c r="L70" s="77">
        <f>'22a&amp;b'!CV84</f>
        <v>0</v>
      </c>
      <c r="M70" s="77">
        <f>ROUND(G70*0.05,0)</f>
        <v>0</v>
      </c>
      <c r="N70" s="77">
        <f>+L70+M70</f>
        <v>0</v>
      </c>
      <c r="O70" s="77">
        <f>+G70+K70+N70</f>
        <v>0</v>
      </c>
    </row>
    <row r="71" spans="1:19" x14ac:dyDescent="0.2">
      <c r="A71" s="42" t="s">
        <v>349</v>
      </c>
      <c r="C71" s="97">
        <v>0</v>
      </c>
      <c r="D71" s="43">
        <v>8</v>
      </c>
      <c r="E71" s="116" t="s">
        <v>170</v>
      </c>
      <c r="F71" s="79">
        <v>0</v>
      </c>
      <c r="G71" s="77">
        <v>0</v>
      </c>
      <c r="H71" s="43">
        <v>347</v>
      </c>
      <c r="I71" s="81">
        <f>D71*H71</f>
        <v>2776</v>
      </c>
      <c r="J71" s="95">
        <v>7.603E-2</v>
      </c>
      <c r="K71" s="77">
        <f>ROUND(I71*J71,0)</f>
        <v>211</v>
      </c>
      <c r="L71" s="77">
        <f>'22a&amp;b'!CV85</f>
        <v>0</v>
      </c>
      <c r="M71" s="77">
        <f>ROUND(G71*0.05,0)</f>
        <v>0</v>
      </c>
      <c r="N71" s="77">
        <f>+L71+M71</f>
        <v>0</v>
      </c>
      <c r="O71" s="77">
        <f>+G71+K71+N71</f>
        <v>211</v>
      </c>
      <c r="S71" s="123" t="s">
        <v>138</v>
      </c>
    </row>
    <row r="72" spans="1:19" x14ac:dyDescent="0.2">
      <c r="C72" s="97"/>
      <c r="D72" s="43"/>
      <c r="F72" s="79"/>
      <c r="G72" s="77"/>
      <c r="H72" s="43"/>
      <c r="I72" s="81"/>
      <c r="J72" s="95"/>
      <c r="K72" s="77"/>
      <c r="L72" s="77"/>
      <c r="M72" s="77"/>
      <c r="N72" s="77"/>
      <c r="O72" s="77"/>
    </row>
    <row r="73" spans="1:19" x14ac:dyDescent="0.2">
      <c r="A73" s="123" t="s">
        <v>552</v>
      </c>
      <c r="C73" s="97">
        <v>18</v>
      </c>
      <c r="D73" s="43">
        <v>9</v>
      </c>
      <c r="E73" s="94" t="s">
        <v>170</v>
      </c>
      <c r="F73" s="79">
        <f>ROUND(G73/C73,2)</f>
        <v>10906.42</v>
      </c>
      <c r="G73" s="77">
        <v>196315.5</v>
      </c>
      <c r="H73" s="43">
        <v>8886</v>
      </c>
      <c r="I73" s="81">
        <f>D73*H73</f>
        <v>79974</v>
      </c>
      <c r="J73" s="95">
        <v>8.2619999999999999E-2</v>
      </c>
      <c r="K73" s="77">
        <f>ROUND(I73*J73,0)</f>
        <v>6607</v>
      </c>
      <c r="L73" s="77">
        <f>'22a&amp;b'!CV99</f>
        <v>218</v>
      </c>
      <c r="M73" s="77">
        <v>0</v>
      </c>
      <c r="N73" s="77">
        <f>+L73+M73</f>
        <v>218</v>
      </c>
      <c r="O73" s="77">
        <f>+G73+K73+N73</f>
        <v>203140.5</v>
      </c>
    </row>
    <row r="74" spans="1:19" x14ac:dyDescent="0.2">
      <c r="C74" s="97"/>
      <c r="D74" s="43"/>
      <c r="F74" s="79"/>
      <c r="G74" s="77"/>
      <c r="H74" s="43"/>
      <c r="I74" s="81"/>
      <c r="J74" s="95"/>
      <c r="K74" s="77"/>
      <c r="L74" s="77"/>
      <c r="M74" s="77"/>
      <c r="N74" s="77"/>
      <c r="O74" s="77"/>
    </row>
    <row r="75" spans="1:19" x14ac:dyDescent="0.2">
      <c r="A75" s="42" t="s">
        <v>388</v>
      </c>
      <c r="C75" s="97"/>
      <c r="D75" s="43"/>
      <c r="F75" s="79"/>
      <c r="G75" s="77"/>
      <c r="H75" s="43"/>
      <c r="I75" s="81"/>
      <c r="J75" s="95"/>
      <c r="K75" s="77"/>
      <c r="L75" s="77"/>
      <c r="M75" s="77"/>
      <c r="N75" s="77"/>
      <c r="O75" s="77"/>
    </row>
    <row r="76" spans="1:19" x14ac:dyDescent="0.2">
      <c r="A76" s="42" t="s">
        <v>208</v>
      </c>
      <c r="C76" s="97">
        <v>0</v>
      </c>
      <c r="D76" s="43">
        <v>0</v>
      </c>
      <c r="E76" s="94" t="s">
        <v>170</v>
      </c>
      <c r="F76" s="79">
        <v>0</v>
      </c>
      <c r="G76" s="77">
        <v>0</v>
      </c>
      <c r="H76" s="43">
        <v>0</v>
      </c>
      <c r="I76" s="81">
        <f>D76*H76</f>
        <v>0</v>
      </c>
      <c r="J76" s="95">
        <v>0</v>
      </c>
      <c r="K76" s="77">
        <f>ROUND(I76*J76,0)</f>
        <v>0</v>
      </c>
      <c r="L76" s="77">
        <v>0</v>
      </c>
      <c r="M76" s="77">
        <f>ROUND(G76*0.05,0)</f>
        <v>0</v>
      </c>
      <c r="N76" s="77">
        <f>+L76+M76</f>
        <v>0</v>
      </c>
      <c r="O76" s="77">
        <f>+G76+K76+N76</f>
        <v>0</v>
      </c>
    </row>
    <row r="77" spans="1:19" x14ac:dyDescent="0.2">
      <c r="A77" s="42" t="s">
        <v>207</v>
      </c>
      <c r="C77" s="97">
        <v>0</v>
      </c>
      <c r="D77" s="43">
        <v>1</v>
      </c>
      <c r="F77" s="79">
        <v>0</v>
      </c>
      <c r="G77" s="77">
        <v>0</v>
      </c>
      <c r="H77" s="43">
        <v>334</v>
      </c>
      <c r="I77" s="81">
        <f>D77*H77</f>
        <v>334</v>
      </c>
      <c r="J77" s="95">
        <v>8.4610000000000005E-2</v>
      </c>
      <c r="K77" s="77">
        <f>ROUND(I77*J77,0)</f>
        <v>28</v>
      </c>
      <c r="L77" s="77">
        <v>0</v>
      </c>
      <c r="M77" s="77">
        <f>ROUND(G77*0.05,0)</f>
        <v>0</v>
      </c>
      <c r="N77" s="77">
        <f>+L77+M77</f>
        <v>0</v>
      </c>
      <c r="O77" s="77">
        <f>+G77+K77+N77</f>
        <v>28</v>
      </c>
    </row>
    <row r="78" spans="1:19" x14ac:dyDescent="0.2">
      <c r="C78" s="97"/>
      <c r="D78" s="43"/>
      <c r="F78" s="79"/>
      <c r="G78" s="77"/>
      <c r="H78" s="43"/>
      <c r="I78" s="81"/>
      <c r="J78" s="95"/>
      <c r="K78" s="77"/>
      <c r="L78" s="77"/>
      <c r="M78" s="77"/>
      <c r="N78" s="77"/>
      <c r="O78" s="77"/>
    </row>
    <row r="79" spans="1:19" x14ac:dyDescent="0.2">
      <c r="A79" s="42" t="s">
        <v>396</v>
      </c>
      <c r="C79" s="43">
        <v>0</v>
      </c>
      <c r="D79" s="43">
        <v>55</v>
      </c>
      <c r="E79" s="94" t="s">
        <v>170</v>
      </c>
      <c r="F79" s="79">
        <v>0</v>
      </c>
      <c r="G79" s="80">
        <v>0</v>
      </c>
      <c r="H79" s="78">
        <v>9407</v>
      </c>
      <c r="I79" s="81">
        <f>D79*H79</f>
        <v>517385</v>
      </c>
      <c r="J79" s="95">
        <v>8.2619999999999999E-2</v>
      </c>
      <c r="K79" s="77">
        <f>ROUND(I79*J79,0)</f>
        <v>42746</v>
      </c>
      <c r="L79" s="77">
        <f>'22a&amp;b'!CV91</f>
        <v>0</v>
      </c>
      <c r="M79" s="77">
        <v>0</v>
      </c>
      <c r="N79" s="77">
        <f>+L79+M79</f>
        <v>0</v>
      </c>
      <c r="O79" s="77">
        <f>+G79+K79+N79</f>
        <v>42746</v>
      </c>
    </row>
    <row r="80" spans="1:19" x14ac:dyDescent="0.2">
      <c r="C80" s="43"/>
      <c r="D80" s="43"/>
      <c r="F80" s="79"/>
      <c r="G80" s="80"/>
      <c r="H80" s="78"/>
      <c r="I80" s="81"/>
      <c r="J80" s="95"/>
      <c r="K80" s="77"/>
      <c r="L80" s="77"/>
      <c r="M80" s="77"/>
      <c r="N80" s="77"/>
      <c r="O80" s="77"/>
    </row>
    <row r="81" spans="1:15" x14ac:dyDescent="0.2">
      <c r="A81" s="123" t="s">
        <v>553</v>
      </c>
      <c r="C81" s="43">
        <v>4</v>
      </c>
      <c r="D81" s="43">
        <v>1</v>
      </c>
      <c r="E81" s="116" t="s">
        <v>170</v>
      </c>
      <c r="F81" s="79">
        <f>ROUND(G81/C81,2)</f>
        <v>8921.25</v>
      </c>
      <c r="G81" s="80">
        <v>35685</v>
      </c>
      <c r="H81" s="78">
        <v>13556</v>
      </c>
      <c r="I81" s="81">
        <f>D81*H81</f>
        <v>13556</v>
      </c>
      <c r="J81" s="95">
        <v>8.2619999999999999E-2</v>
      </c>
      <c r="K81" s="77">
        <f>ROUND(I81*J81,0)</f>
        <v>1120</v>
      </c>
      <c r="L81" s="77">
        <f>'22a&amp;b'!CV101</f>
        <v>2157</v>
      </c>
      <c r="M81" s="77">
        <v>0</v>
      </c>
      <c r="N81" s="77">
        <f>+L81+M81</f>
        <v>2157</v>
      </c>
      <c r="O81" s="77">
        <f>+G81+K81+N81</f>
        <v>38962</v>
      </c>
    </row>
    <row r="82" spans="1:15" x14ac:dyDescent="0.2">
      <c r="A82" s="123"/>
      <c r="C82" s="43"/>
      <c r="D82" s="43"/>
      <c r="E82" s="116"/>
      <c r="F82" s="79"/>
      <c r="G82" s="80"/>
      <c r="H82" s="78"/>
      <c r="I82" s="81"/>
      <c r="J82" s="95"/>
      <c r="K82" s="77"/>
      <c r="L82" s="77"/>
      <c r="M82" s="77"/>
      <c r="N82" s="77"/>
      <c r="O82" s="77"/>
    </row>
    <row r="83" spans="1:15" x14ac:dyDescent="0.2">
      <c r="A83" s="123" t="s">
        <v>554</v>
      </c>
      <c r="C83" s="43">
        <v>0</v>
      </c>
      <c r="D83" s="43">
        <v>0</v>
      </c>
      <c r="E83" s="116" t="s">
        <v>170</v>
      </c>
      <c r="F83" s="79">
        <v>0</v>
      </c>
      <c r="G83" s="80">
        <v>102671</v>
      </c>
      <c r="H83" s="78">
        <v>69400</v>
      </c>
      <c r="I83" s="81">
        <f>D83*H83</f>
        <v>0</v>
      </c>
      <c r="J83" s="95">
        <v>8.2619999999999999E-2</v>
      </c>
      <c r="K83" s="77">
        <f>ROUND(I83*J83,0)</f>
        <v>0</v>
      </c>
      <c r="L83" s="77">
        <f>'22a&amp;b'!CV103</f>
        <v>0</v>
      </c>
      <c r="M83" s="77">
        <f>G83*0.05</f>
        <v>5133.55</v>
      </c>
      <c r="N83" s="77">
        <f>+L83+M83</f>
        <v>5133.55</v>
      </c>
      <c r="O83" s="77">
        <f>+G83+K83+N83</f>
        <v>107804.55</v>
      </c>
    </row>
    <row r="84" spans="1:15" x14ac:dyDescent="0.2">
      <c r="C84" s="43"/>
      <c r="D84" s="43"/>
      <c r="F84" s="79"/>
      <c r="G84" s="80"/>
      <c r="H84" s="78"/>
      <c r="I84" s="81"/>
      <c r="J84" s="95"/>
      <c r="K84" s="77"/>
      <c r="L84" s="77"/>
      <c r="M84" s="77"/>
      <c r="N84" s="77"/>
      <c r="O84" s="77"/>
    </row>
    <row r="85" spans="1:15" x14ac:dyDescent="0.2">
      <c r="A85" s="123" t="s">
        <v>555</v>
      </c>
      <c r="C85" s="97">
        <v>80</v>
      </c>
      <c r="D85" s="43">
        <v>38</v>
      </c>
      <c r="E85" s="116" t="s">
        <v>170</v>
      </c>
      <c r="F85" s="79">
        <f>ROUND(G85/C85,2)</f>
        <v>6399.9</v>
      </c>
      <c r="G85" s="77">
        <v>511992</v>
      </c>
      <c r="H85" s="43">
        <v>8909</v>
      </c>
      <c r="I85" s="81">
        <f>D85*H85</f>
        <v>338542</v>
      </c>
      <c r="J85" s="95">
        <v>8.1470000000000001E-2</v>
      </c>
      <c r="K85" s="77">
        <f>ROUND(I85*J85,0)</f>
        <v>27581</v>
      </c>
      <c r="L85" s="77">
        <f>'22a&amp;b'!CV107</f>
        <v>46782</v>
      </c>
      <c r="M85" s="77">
        <v>0</v>
      </c>
      <c r="N85" s="77">
        <f>+L85+M85</f>
        <v>46782</v>
      </c>
      <c r="O85" s="77">
        <f>+G85+K85+N85</f>
        <v>586355</v>
      </c>
    </row>
    <row r="86" spans="1:15" x14ac:dyDescent="0.2">
      <c r="C86" s="43"/>
      <c r="D86" s="43"/>
      <c r="F86" s="79"/>
      <c r="G86" s="80"/>
      <c r="H86" s="78"/>
      <c r="I86" s="81"/>
      <c r="J86" s="95"/>
      <c r="K86" s="77"/>
      <c r="L86" s="77"/>
      <c r="M86" s="77"/>
      <c r="N86" s="77"/>
      <c r="O86" s="77"/>
    </row>
    <row r="87" spans="1:15" x14ac:dyDescent="0.2">
      <c r="A87" s="42" t="s">
        <v>561</v>
      </c>
      <c r="C87" s="97">
        <v>0</v>
      </c>
      <c r="D87" s="43">
        <v>8</v>
      </c>
      <c r="E87" s="116" t="s">
        <v>170</v>
      </c>
      <c r="F87" s="79">
        <v>0</v>
      </c>
      <c r="G87" s="77">
        <v>0</v>
      </c>
      <c r="H87" s="43">
        <v>13955</v>
      </c>
      <c r="I87" s="81">
        <f>D87*H87</f>
        <v>111640</v>
      </c>
      <c r="J87" s="95">
        <v>8.2619999999999999E-2</v>
      </c>
      <c r="K87" s="77">
        <f>ROUND(I87*J87,0)</f>
        <v>9224</v>
      </c>
      <c r="L87" s="77">
        <f>'22a&amp;b'!CV105</f>
        <v>0</v>
      </c>
      <c r="M87" s="77">
        <f>ROUND(G87*0.05,0)</f>
        <v>0</v>
      </c>
      <c r="N87" s="77">
        <v>0</v>
      </c>
      <c r="O87" s="77">
        <f>+G87+K87+N87</f>
        <v>9224</v>
      </c>
    </row>
    <row r="88" spans="1:15" x14ac:dyDescent="0.2">
      <c r="C88" s="43"/>
      <c r="D88" s="43"/>
      <c r="F88" s="79"/>
      <c r="G88" s="80"/>
      <c r="H88" s="78"/>
      <c r="I88" s="81"/>
      <c r="J88" s="95"/>
      <c r="K88" s="77"/>
      <c r="L88" s="77"/>
      <c r="M88" s="77"/>
      <c r="N88" s="77"/>
      <c r="O88" s="77"/>
    </row>
    <row r="89" spans="1:15" x14ac:dyDescent="0.2">
      <c r="A89" s="42" t="s">
        <v>505</v>
      </c>
      <c r="C89" s="97">
        <v>0</v>
      </c>
      <c r="D89" s="43">
        <v>0</v>
      </c>
      <c r="E89" s="116" t="s">
        <v>170</v>
      </c>
      <c r="F89" s="79">
        <v>0</v>
      </c>
      <c r="G89" s="77">
        <v>55750</v>
      </c>
      <c r="H89" s="43"/>
      <c r="I89" s="81">
        <v>0</v>
      </c>
      <c r="J89" s="95">
        <v>0</v>
      </c>
      <c r="K89" s="77">
        <v>0</v>
      </c>
      <c r="L89" s="77">
        <v>0</v>
      </c>
      <c r="M89" s="77">
        <v>0</v>
      </c>
      <c r="N89" s="77">
        <v>0</v>
      </c>
      <c r="O89" s="77">
        <f>+G89+K89+N89</f>
        <v>55750</v>
      </c>
    </row>
    <row r="90" spans="1:15" x14ac:dyDescent="0.2">
      <c r="C90" s="43" t="s">
        <v>201</v>
      </c>
      <c r="D90" s="43" t="s">
        <v>201</v>
      </c>
      <c r="F90" s="43"/>
      <c r="G90" s="43" t="s">
        <v>201</v>
      </c>
      <c r="H90" s="43"/>
      <c r="I90" s="43" t="s">
        <v>201</v>
      </c>
      <c r="J90" s="43"/>
      <c r="K90" s="43" t="s">
        <v>201</v>
      </c>
      <c r="L90" s="43" t="s">
        <v>201</v>
      </c>
      <c r="M90" s="43" t="s">
        <v>201</v>
      </c>
      <c r="N90" s="43" t="s">
        <v>201</v>
      </c>
      <c r="O90" s="43" t="s">
        <v>201</v>
      </c>
    </row>
    <row r="91" spans="1:15" x14ac:dyDescent="0.2">
      <c r="A91" s="42" t="s">
        <v>45</v>
      </c>
      <c r="C91" s="259">
        <f>SUM(C66:C89)</f>
        <v>102</v>
      </c>
      <c r="D91" s="259">
        <f>SUM(D66:D89)</f>
        <v>120</v>
      </c>
      <c r="F91" s="97"/>
      <c r="G91" s="77">
        <f>SUM(G66:G89)</f>
        <v>902413.5</v>
      </c>
      <c r="H91" s="43"/>
      <c r="I91" s="259">
        <f>SUM(I66:I89)</f>
        <v>1064207</v>
      </c>
      <c r="J91" s="95"/>
      <c r="K91" s="77">
        <f>SUM(K66:K89)</f>
        <v>87517</v>
      </c>
      <c r="L91" s="77">
        <f>SUM(L66:L89)</f>
        <v>49157</v>
      </c>
      <c r="M91" s="77">
        <f>SUM(M66:M89)</f>
        <v>5133.55</v>
      </c>
      <c r="N91" s="77">
        <f>SUM(N66:N89)</f>
        <v>54290.55</v>
      </c>
      <c r="O91" s="77">
        <f>SUM(O66:O89)</f>
        <v>1044221.05</v>
      </c>
    </row>
    <row r="92" spans="1:15" x14ac:dyDescent="0.2">
      <c r="C92" s="97" t="s">
        <v>94</v>
      </c>
      <c r="D92" s="97" t="s">
        <v>94</v>
      </c>
      <c r="F92" s="97"/>
      <c r="G92" s="97" t="s">
        <v>94</v>
      </c>
      <c r="H92" s="97"/>
      <c r="I92" s="97" t="s">
        <v>94</v>
      </c>
      <c r="J92" s="97"/>
      <c r="K92" s="97" t="s">
        <v>94</v>
      </c>
      <c r="L92" s="97" t="s">
        <v>94</v>
      </c>
      <c r="M92" s="97" t="s">
        <v>94</v>
      </c>
      <c r="N92" s="97" t="s">
        <v>94</v>
      </c>
      <c r="O92" s="97" t="s">
        <v>94</v>
      </c>
    </row>
    <row r="93" spans="1:15" x14ac:dyDescent="0.2">
      <c r="C93" s="97"/>
      <c r="D93" s="97"/>
      <c r="F93" s="97"/>
      <c r="G93" s="97"/>
      <c r="H93" s="43"/>
      <c r="I93" s="97"/>
      <c r="J93" s="95"/>
      <c r="K93" s="97"/>
      <c r="L93" s="97"/>
      <c r="M93" s="97"/>
      <c r="N93" s="97"/>
      <c r="O93" s="97"/>
    </row>
    <row r="94" spans="1:15" x14ac:dyDescent="0.2">
      <c r="C94" s="97"/>
      <c r="D94" s="97"/>
      <c r="F94" s="97"/>
      <c r="G94" s="97"/>
      <c r="H94" s="43"/>
      <c r="I94" s="97"/>
      <c r="J94" s="95"/>
      <c r="K94" s="97"/>
      <c r="L94" s="97"/>
      <c r="M94" s="97"/>
      <c r="N94" s="97"/>
      <c r="O94" s="97"/>
    </row>
    <row r="95" spans="1:15" x14ac:dyDescent="0.2">
      <c r="A95" s="42" t="s">
        <v>46</v>
      </c>
      <c r="C95" s="97"/>
      <c r="D95" s="97"/>
      <c r="F95" s="97"/>
      <c r="G95" s="97"/>
      <c r="H95" s="43"/>
      <c r="I95" s="97"/>
      <c r="J95" s="95"/>
      <c r="K95" s="97"/>
      <c r="L95" s="97"/>
      <c r="M95" s="97"/>
      <c r="N95" s="97"/>
      <c r="O95" s="97"/>
    </row>
    <row r="96" spans="1:15" x14ac:dyDescent="0.2">
      <c r="A96" s="188" t="s">
        <v>258</v>
      </c>
      <c r="C96" s="97"/>
      <c r="D96" s="97"/>
      <c r="F96" s="97"/>
      <c r="G96" s="97"/>
      <c r="H96" s="43"/>
      <c r="I96" s="97"/>
      <c r="J96" s="95"/>
      <c r="K96" s="97"/>
      <c r="L96" s="97"/>
      <c r="M96" s="97"/>
      <c r="N96" s="97"/>
      <c r="O96" s="97"/>
    </row>
    <row r="97" spans="1:15" x14ac:dyDescent="0.2">
      <c r="A97" s="42" t="s">
        <v>41</v>
      </c>
      <c r="C97" s="97">
        <v>0</v>
      </c>
      <c r="D97" s="97">
        <v>0</v>
      </c>
      <c r="F97" s="99">
        <v>0</v>
      </c>
      <c r="G97" s="77">
        <v>0</v>
      </c>
      <c r="H97" s="43">
        <v>0</v>
      </c>
      <c r="I97" s="97">
        <v>0</v>
      </c>
      <c r="J97" s="95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1:15" x14ac:dyDescent="0.2">
      <c r="A98" s="42" t="s">
        <v>48</v>
      </c>
      <c r="C98" s="97">
        <v>0</v>
      </c>
      <c r="D98" s="97">
        <v>0</v>
      </c>
      <c r="F98" s="99">
        <v>0</v>
      </c>
      <c r="G98" s="77">
        <v>0</v>
      </c>
      <c r="H98" s="43">
        <v>0</v>
      </c>
      <c r="I98" s="97">
        <v>0</v>
      </c>
      <c r="J98" s="95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</row>
    <row r="99" spans="1:15" x14ac:dyDescent="0.2">
      <c r="A99" s="42" t="s">
        <v>49</v>
      </c>
      <c r="C99" s="97">
        <v>0</v>
      </c>
      <c r="D99" s="97">
        <v>0</v>
      </c>
      <c r="F99" s="99">
        <v>0</v>
      </c>
      <c r="G99" s="77">
        <v>0</v>
      </c>
      <c r="H99" s="43">
        <v>0</v>
      </c>
      <c r="I99" s="97">
        <v>0</v>
      </c>
      <c r="J99" s="95">
        <v>0</v>
      </c>
      <c r="K99" s="77">
        <f>ROUND(I99*J99,0)</f>
        <v>0</v>
      </c>
      <c r="L99" s="77">
        <v>0</v>
      </c>
      <c r="M99" s="77">
        <v>0</v>
      </c>
      <c r="N99" s="77">
        <v>0</v>
      </c>
      <c r="O99" s="77">
        <v>0</v>
      </c>
    </row>
    <row r="100" spans="1:15" x14ac:dyDescent="0.2">
      <c r="A100" s="42" t="s">
        <v>50</v>
      </c>
      <c r="C100" s="97">
        <v>0</v>
      </c>
      <c r="D100" s="97">
        <v>0</v>
      </c>
      <c r="F100" s="99">
        <v>0</v>
      </c>
      <c r="G100" s="77">
        <v>0</v>
      </c>
      <c r="H100" s="43">
        <v>0</v>
      </c>
      <c r="I100" s="97">
        <v>0</v>
      </c>
      <c r="J100" s="95">
        <v>0</v>
      </c>
      <c r="K100" s="77">
        <f>ROUND(I100*J100,0)</f>
        <v>0</v>
      </c>
      <c r="L100" s="77">
        <v>0</v>
      </c>
      <c r="M100" s="77">
        <v>0</v>
      </c>
      <c r="N100" s="77">
        <v>0</v>
      </c>
      <c r="O100" s="77">
        <v>0</v>
      </c>
    </row>
    <row r="101" spans="1:15" x14ac:dyDescent="0.2">
      <c r="C101" s="43" t="s">
        <v>201</v>
      </c>
      <c r="D101" s="43" t="s">
        <v>201</v>
      </c>
      <c r="F101" s="43"/>
      <c r="G101" s="43" t="s">
        <v>201</v>
      </c>
      <c r="H101" s="43"/>
      <c r="I101" s="43" t="s">
        <v>201</v>
      </c>
      <c r="J101" s="43"/>
      <c r="K101" s="43" t="s">
        <v>201</v>
      </c>
      <c r="L101" s="43" t="s">
        <v>201</v>
      </c>
      <c r="M101" s="43" t="s">
        <v>201</v>
      </c>
      <c r="N101" s="43" t="s">
        <v>201</v>
      </c>
      <c r="O101" s="43" t="s">
        <v>201</v>
      </c>
    </row>
    <row r="102" spans="1:15" x14ac:dyDescent="0.2">
      <c r="A102" s="42" t="s">
        <v>51</v>
      </c>
      <c r="C102" s="97">
        <v>0</v>
      </c>
      <c r="D102" s="97">
        <v>0</v>
      </c>
      <c r="F102" s="97"/>
      <c r="G102" s="77">
        <v>0</v>
      </c>
      <c r="H102" s="43"/>
      <c r="I102" s="97">
        <v>0</v>
      </c>
      <c r="J102" s="95"/>
      <c r="K102" s="77">
        <v>0</v>
      </c>
      <c r="L102" s="77">
        <v>0</v>
      </c>
      <c r="M102" s="77">
        <v>0</v>
      </c>
      <c r="N102" s="77">
        <v>0</v>
      </c>
      <c r="O102" s="77">
        <v>0</v>
      </c>
    </row>
    <row r="103" spans="1:15" x14ac:dyDescent="0.2">
      <c r="C103" s="97" t="s">
        <v>94</v>
      </c>
      <c r="D103" s="97" t="s">
        <v>94</v>
      </c>
      <c r="F103" s="97"/>
      <c r="G103" s="97" t="s">
        <v>94</v>
      </c>
      <c r="H103" s="97"/>
      <c r="I103" s="97" t="s">
        <v>94</v>
      </c>
      <c r="J103" s="97"/>
      <c r="K103" s="97" t="s">
        <v>94</v>
      </c>
      <c r="L103" s="97" t="s">
        <v>94</v>
      </c>
      <c r="M103" s="97" t="s">
        <v>94</v>
      </c>
      <c r="N103" s="97" t="s">
        <v>94</v>
      </c>
      <c r="O103" s="97" t="s">
        <v>94</v>
      </c>
    </row>
    <row r="104" spans="1:15" x14ac:dyDescent="0.2">
      <c r="A104" s="42" t="s">
        <v>52</v>
      </c>
      <c r="C104" s="43">
        <f>+C52+C91+C102</f>
        <v>241578</v>
      </c>
      <c r="D104" s="43">
        <f>+D52+D91+D102</f>
        <v>287471</v>
      </c>
      <c r="F104" s="97"/>
      <c r="G104" s="80">
        <f>G52+G91+G102</f>
        <v>3134382.01</v>
      </c>
      <c r="H104" s="43"/>
      <c r="I104" s="43">
        <f>+I52+I91+I102</f>
        <v>9564697</v>
      </c>
      <c r="J104" s="95"/>
      <c r="K104" s="80">
        <f>+K52+K91+K102</f>
        <v>609707</v>
      </c>
      <c r="L104" s="77">
        <f>+L52+L91+L102</f>
        <v>212592</v>
      </c>
      <c r="M104" s="77">
        <f>+M52+M91+M102</f>
        <v>6138.55</v>
      </c>
      <c r="N104" s="77">
        <f>+N52+N91+N102</f>
        <v>218730.55</v>
      </c>
      <c r="O104" s="77">
        <f>+O52+O91+O102</f>
        <v>3962819.5599999996</v>
      </c>
    </row>
    <row r="105" spans="1:15" x14ac:dyDescent="0.2">
      <c r="C105" s="97" t="s">
        <v>94</v>
      </c>
      <c r="D105" s="97" t="s">
        <v>94</v>
      </c>
      <c r="F105" s="97"/>
      <c r="G105" s="97" t="s">
        <v>94</v>
      </c>
      <c r="H105" s="97"/>
      <c r="I105" s="97" t="s">
        <v>94</v>
      </c>
      <c r="J105" s="97"/>
      <c r="K105" s="97" t="s">
        <v>94</v>
      </c>
      <c r="L105" s="97" t="s">
        <v>94</v>
      </c>
      <c r="M105" s="97" t="s">
        <v>94</v>
      </c>
      <c r="N105" s="97" t="s">
        <v>94</v>
      </c>
      <c r="O105" s="97" t="s">
        <v>94</v>
      </c>
    </row>
    <row r="106" spans="1:15" x14ac:dyDescent="0.2">
      <c r="C106" s="178" t="s">
        <v>138</v>
      </c>
    </row>
    <row r="107" spans="1:15" x14ac:dyDescent="0.2">
      <c r="A107" s="42" t="s">
        <v>108</v>
      </c>
      <c r="E107" s="42"/>
    </row>
    <row r="108" spans="1:15" x14ac:dyDescent="0.2">
      <c r="A108" s="42" t="s">
        <v>422</v>
      </c>
      <c r="E108" s="42"/>
    </row>
  </sheetData>
  <printOptions gridLines="1"/>
  <pageMargins left="0.7" right="0.7" top="0.75" bottom="0.75" header="0.3" footer="0.3"/>
  <pageSetup scale="5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CY250"/>
  <sheetViews>
    <sheetView topLeftCell="A10" zoomScaleNormal="100" workbookViewId="0">
      <pane xSplit="1" ySplit="2" topLeftCell="B12" activePane="bottomRight" state="frozen"/>
      <selection activeCell="A10" sqref="A10"/>
      <selection pane="topRight" activeCell="B10" sqref="B10"/>
      <selection pane="bottomLeft" activeCell="A12" sqref="A12"/>
      <selection pane="bottomRight" activeCell="L56" sqref="L56"/>
    </sheetView>
  </sheetViews>
  <sheetFormatPr defaultRowHeight="12.75" x14ac:dyDescent="0.2"/>
  <cols>
    <col min="1" max="1" width="39.140625" customWidth="1"/>
    <col min="2" max="2" width="2.28515625" customWidth="1"/>
    <col min="3" max="3" width="9.7109375" bestFit="1" customWidth="1"/>
    <col min="4" max="4" width="9.7109375" customWidth="1"/>
    <col min="5" max="7" width="8.42578125" customWidth="1"/>
    <col min="8" max="8" width="8.42578125" style="65" customWidth="1"/>
    <col min="9" max="9" width="8.42578125" style="72" customWidth="1"/>
    <col min="10" max="10" width="8.42578125" style="85" customWidth="1"/>
    <col min="11" max="11" width="9.7109375" style="85" bestFit="1" customWidth="1"/>
    <col min="12" max="16" width="9.7109375" style="85" customWidth="1"/>
    <col min="17" max="17" width="2.28515625" style="234" customWidth="1"/>
    <col min="18" max="21" width="6.140625" customWidth="1"/>
    <col min="22" max="22" width="4.5703125" customWidth="1"/>
    <col min="23" max="23" width="6.140625" customWidth="1"/>
    <col min="24" max="24" width="4.5703125" customWidth="1"/>
    <col min="25" max="25" width="6.140625" customWidth="1"/>
    <col min="26" max="26" width="4.5703125" customWidth="1"/>
    <col min="27" max="27" width="6.140625" customWidth="1"/>
    <col min="28" max="28" width="4.5703125" customWidth="1"/>
    <col min="29" max="29" width="6.140625" customWidth="1"/>
    <col min="30" max="30" width="4.5703125" customWidth="1"/>
    <col min="31" max="31" width="6.140625" customWidth="1"/>
    <col min="32" max="32" width="4.5703125" customWidth="1"/>
    <col min="33" max="33" width="6.140625" customWidth="1"/>
    <col min="34" max="34" width="4.5703125" customWidth="1"/>
    <col min="35" max="35" width="6.140625" customWidth="1"/>
    <col min="36" max="36" width="4.5703125" customWidth="1"/>
    <col min="37" max="37" width="6.140625" customWidth="1"/>
    <col min="38" max="38" width="4.5703125" customWidth="1"/>
    <col min="39" max="39" width="6.140625" customWidth="1"/>
    <col min="40" max="40" width="4.5703125" customWidth="1"/>
    <col min="41" max="41" width="8.5703125" customWidth="1"/>
    <col min="42" max="42" width="4.5703125" customWidth="1"/>
    <col min="43" max="46" width="6.140625" customWidth="1"/>
    <col min="47" max="50" width="7.140625" customWidth="1"/>
    <col min="51" max="51" width="8.140625" bestFit="1" customWidth="1"/>
    <col min="52" max="52" width="10.28515625" customWidth="1"/>
    <col min="53" max="53" width="8.140625" bestFit="1" customWidth="1"/>
    <col min="54" max="55" width="8.140625" style="108" customWidth="1"/>
    <col min="56" max="59" width="8.140625" customWidth="1"/>
    <col min="60" max="60" width="2.28515625" style="234" customWidth="1"/>
    <col min="61" max="101" width="10.140625" customWidth="1"/>
    <col min="102" max="102" width="14" customWidth="1"/>
    <col min="103" max="103" width="3.7109375" style="262" customWidth="1"/>
  </cols>
  <sheetData>
    <row r="1" spans="1:103" ht="6.75" customHeight="1" x14ac:dyDescent="0.2"/>
    <row r="2" spans="1:103" x14ac:dyDescent="0.2">
      <c r="A2" t="s">
        <v>139</v>
      </c>
    </row>
    <row r="3" spans="1:103" ht="25.5" x14ac:dyDescent="0.2">
      <c r="A3" s="22" t="s">
        <v>344</v>
      </c>
      <c r="AA3" s="1"/>
      <c r="AB3" s="1"/>
      <c r="AO3" s="1" t="s">
        <v>140</v>
      </c>
      <c r="BL3" s="1"/>
      <c r="BR3" s="2"/>
      <c r="CB3" s="1" t="s">
        <v>140</v>
      </c>
      <c r="CO3" s="1"/>
      <c r="CW3" s="1" t="s">
        <v>140</v>
      </c>
    </row>
    <row r="4" spans="1:103" ht="25.5" x14ac:dyDescent="0.2">
      <c r="A4" s="22" t="s">
        <v>345</v>
      </c>
      <c r="AA4" s="31"/>
      <c r="AC4" s="2"/>
      <c r="AD4" s="2"/>
      <c r="AO4" s="192" t="s">
        <v>563</v>
      </c>
      <c r="AP4" s="1">
        <f>'Y1'!M7</f>
        <v>24</v>
      </c>
      <c r="AT4" s="1"/>
      <c r="BL4" s="1"/>
      <c r="BM4" s="2"/>
      <c r="BR4" s="1"/>
      <c r="CB4" s="181" t="s">
        <v>525</v>
      </c>
      <c r="CC4" s="1">
        <f>'Y1'!M7</f>
        <v>24</v>
      </c>
      <c r="CO4" s="8"/>
      <c r="CU4" s="1"/>
      <c r="CV4" s="1"/>
      <c r="CW4" s="116" t="s">
        <v>562</v>
      </c>
      <c r="CX4" s="1">
        <f>'Y1'!M7</f>
        <v>24</v>
      </c>
    </row>
    <row r="5" spans="1:103" x14ac:dyDescent="0.2">
      <c r="C5" s="62" t="s">
        <v>63</v>
      </c>
      <c r="D5" s="12"/>
      <c r="E5" s="12"/>
      <c r="F5" s="12"/>
      <c r="G5" s="12"/>
      <c r="H5" s="66"/>
      <c r="I5" s="59"/>
      <c r="J5" s="86"/>
      <c r="K5" s="86"/>
      <c r="L5" s="86"/>
      <c r="M5" s="86"/>
      <c r="N5" s="86"/>
      <c r="O5" s="86"/>
      <c r="P5" s="86"/>
      <c r="Q5" s="235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239"/>
      <c r="BC5" s="239"/>
      <c r="BD5" s="230"/>
      <c r="BE5" s="230"/>
      <c r="BF5" s="230"/>
      <c r="BG5" s="230"/>
      <c r="BH5" s="235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CY5" s="270"/>
    </row>
    <row r="6" spans="1:103" x14ac:dyDescent="0.2">
      <c r="C6" s="62" t="s">
        <v>72</v>
      </c>
      <c r="D6" s="12"/>
      <c r="E6" s="12"/>
      <c r="F6" s="12"/>
      <c r="G6" s="12"/>
      <c r="H6" s="66"/>
      <c r="I6" s="59"/>
      <c r="J6" s="86"/>
      <c r="K6" s="86"/>
      <c r="L6" s="86"/>
      <c r="M6" s="86"/>
      <c r="N6" s="86"/>
      <c r="O6" s="86"/>
      <c r="P6" s="86"/>
      <c r="Q6" s="235"/>
      <c r="R6" s="273" t="s">
        <v>141</v>
      </c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5"/>
      <c r="AP6" s="275"/>
      <c r="AQ6" s="275"/>
      <c r="AR6" s="275"/>
      <c r="AS6" s="275"/>
      <c r="AT6" s="275"/>
      <c r="AU6" s="75"/>
      <c r="AV6" s="75"/>
      <c r="AW6" s="75"/>
      <c r="AX6" s="75"/>
      <c r="AY6" s="75"/>
      <c r="AZ6" s="75"/>
      <c r="BA6" s="75"/>
      <c r="BB6" s="240"/>
      <c r="BC6" s="240"/>
      <c r="BD6" s="231"/>
      <c r="BE6" s="231"/>
      <c r="BF6" s="231"/>
      <c r="BG6" s="231"/>
      <c r="BH6" s="235"/>
      <c r="BI6" s="273" t="s">
        <v>142</v>
      </c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5"/>
      <c r="CG6" s="275"/>
      <c r="CH6" s="275"/>
      <c r="CI6" s="275"/>
      <c r="CJ6" s="275"/>
      <c r="CK6" s="275"/>
      <c r="CL6" s="75"/>
      <c r="CM6" s="75"/>
      <c r="CN6" s="75"/>
      <c r="CO6" s="75"/>
      <c r="CP6" s="75"/>
      <c r="CQ6" s="75"/>
      <c r="CR6" s="75"/>
      <c r="CS6" s="111"/>
      <c r="CT6" s="111"/>
      <c r="CU6" s="231"/>
      <c r="CV6" s="231"/>
      <c r="CW6" s="231"/>
      <c r="CX6" s="231"/>
      <c r="CY6" s="270"/>
    </row>
    <row r="7" spans="1:103" ht="25.5" x14ac:dyDescent="0.2">
      <c r="A7" t="s">
        <v>28</v>
      </c>
      <c r="C7" s="63" t="s">
        <v>244</v>
      </c>
      <c r="D7" s="12"/>
      <c r="E7" s="12"/>
      <c r="F7" s="12"/>
      <c r="G7" s="12"/>
      <c r="H7" s="66"/>
      <c r="I7" s="59"/>
      <c r="J7" s="86"/>
      <c r="K7" s="86"/>
      <c r="L7" s="86"/>
      <c r="M7" s="86"/>
      <c r="N7" s="86"/>
      <c r="O7" s="86"/>
      <c r="P7" s="86"/>
      <c r="Q7" s="235"/>
      <c r="R7" s="8" t="s">
        <v>226</v>
      </c>
      <c r="S7" s="8" t="s">
        <v>186</v>
      </c>
      <c r="T7" s="8"/>
      <c r="U7" s="8" t="s">
        <v>227</v>
      </c>
      <c r="V7" s="8"/>
      <c r="W7" s="8" t="s">
        <v>228</v>
      </c>
      <c r="X7" s="8"/>
      <c r="Y7" s="8" t="s">
        <v>229</v>
      </c>
      <c r="Z7" s="8"/>
      <c r="AA7" s="8" t="s">
        <v>230</v>
      </c>
      <c r="AB7" s="8"/>
      <c r="AC7" s="8" t="s">
        <v>231</v>
      </c>
      <c r="AD7" s="8"/>
      <c r="AE7" s="8" t="s">
        <v>232</v>
      </c>
      <c r="AF7" s="8"/>
      <c r="AG7" s="8" t="s">
        <v>233</v>
      </c>
      <c r="AH7" s="8"/>
      <c r="AI7" s="8" t="s">
        <v>264</v>
      </c>
      <c r="AJ7" s="8"/>
      <c r="AK7" s="8" t="s">
        <v>284</v>
      </c>
      <c r="AL7" s="8"/>
      <c r="AM7" s="8" t="s">
        <v>310</v>
      </c>
      <c r="AN7" s="8"/>
      <c r="AO7" s="8" t="s">
        <v>329</v>
      </c>
      <c r="AP7" s="8"/>
      <c r="AQ7" s="8" t="s">
        <v>339</v>
      </c>
      <c r="AR7" s="8"/>
      <c r="AS7" s="8" t="s">
        <v>365</v>
      </c>
      <c r="AT7" s="8"/>
      <c r="AU7" s="8" t="s">
        <v>382</v>
      </c>
      <c r="AV7" s="8"/>
      <c r="AW7" s="8" t="s">
        <v>430</v>
      </c>
      <c r="AX7" s="8"/>
      <c r="AY7" s="8" t="s">
        <v>452</v>
      </c>
      <c r="AZ7" s="8"/>
      <c r="BA7" s="29" t="s">
        <v>460</v>
      </c>
      <c r="BB7" s="113"/>
      <c r="BC7" s="113" t="s">
        <v>496</v>
      </c>
      <c r="BD7" s="113"/>
      <c r="BE7" s="113" t="s">
        <v>548</v>
      </c>
      <c r="BF7" s="113"/>
      <c r="BG7" s="113"/>
      <c r="BH7" s="235"/>
      <c r="BI7" s="8" t="s">
        <v>185</v>
      </c>
      <c r="BJ7" s="8" t="s">
        <v>186</v>
      </c>
      <c r="BK7" s="12"/>
      <c r="BL7" s="8" t="s">
        <v>190</v>
      </c>
      <c r="BM7" s="12"/>
      <c r="BN7" s="8" t="s">
        <v>187</v>
      </c>
      <c r="BO7" s="12"/>
      <c r="BP7" s="8" t="s">
        <v>191</v>
      </c>
      <c r="BQ7" s="12"/>
      <c r="BR7" s="8" t="s">
        <v>192</v>
      </c>
      <c r="BS7" s="12"/>
      <c r="BT7" s="8" t="s">
        <v>193</v>
      </c>
      <c r="BU7" s="12"/>
      <c r="BV7" s="8" t="s">
        <v>204</v>
      </c>
      <c r="BW7" s="12"/>
      <c r="BX7" s="8" t="s">
        <v>225</v>
      </c>
      <c r="BY7" s="12"/>
      <c r="BZ7" s="8" t="s">
        <v>263</v>
      </c>
      <c r="CB7" s="8" t="s">
        <v>285</v>
      </c>
      <c r="CD7" s="8" t="s">
        <v>307</v>
      </c>
      <c r="CF7" s="8" t="s">
        <v>328</v>
      </c>
      <c r="CG7" s="8"/>
      <c r="CH7" s="8" t="s">
        <v>340</v>
      </c>
      <c r="CI7" s="8"/>
      <c r="CJ7" s="8" t="s">
        <v>366</v>
      </c>
      <c r="CK7" s="8"/>
      <c r="CL7" s="8" t="s">
        <v>385</v>
      </c>
      <c r="CM7" s="8"/>
      <c r="CN7" s="8" t="s">
        <v>429</v>
      </c>
      <c r="CO7" s="8"/>
      <c r="CP7" s="8" t="s">
        <v>453</v>
      </c>
      <c r="CQ7" s="8"/>
      <c r="CR7" s="29" t="s">
        <v>461</v>
      </c>
      <c r="CS7" s="29"/>
      <c r="CT7" s="113" t="s">
        <v>497</v>
      </c>
      <c r="CU7" s="113"/>
      <c r="CV7" s="113" t="s">
        <v>549</v>
      </c>
      <c r="CW7" s="113"/>
      <c r="CX7" s="113"/>
      <c r="CY7" s="270"/>
    </row>
    <row r="8" spans="1:103" x14ac:dyDescent="0.2">
      <c r="C8" s="7">
        <v>-1</v>
      </c>
      <c r="D8" s="7">
        <f t="shared" ref="D8:J8" si="0">--C8-1</f>
        <v>-2</v>
      </c>
      <c r="E8" s="7">
        <f t="shared" si="0"/>
        <v>-3</v>
      </c>
      <c r="F8" s="7">
        <f t="shared" si="0"/>
        <v>-4</v>
      </c>
      <c r="G8" s="7">
        <f t="shared" si="0"/>
        <v>-5</v>
      </c>
      <c r="H8" s="67">
        <f t="shared" si="0"/>
        <v>-6</v>
      </c>
      <c r="I8" s="73">
        <f t="shared" si="0"/>
        <v>-7</v>
      </c>
      <c r="J8" s="87">
        <f t="shared" si="0"/>
        <v>-8</v>
      </c>
      <c r="K8" s="87">
        <f>--J8-1</f>
        <v>-9</v>
      </c>
      <c r="L8" s="87">
        <f>--K8-1</f>
        <v>-10</v>
      </c>
      <c r="M8" s="87">
        <v>-11</v>
      </c>
      <c r="N8" s="87"/>
      <c r="O8" s="87">
        <v>-12</v>
      </c>
      <c r="P8" s="87"/>
      <c r="Q8" s="236"/>
      <c r="R8" s="7">
        <f>--M8-1</f>
        <v>-12</v>
      </c>
      <c r="S8" s="7">
        <f>--R8-1</f>
        <v>-13</v>
      </c>
      <c r="T8" s="7">
        <f t="shared" ref="T8:AD8" si="1">--S8-1</f>
        <v>-14</v>
      </c>
      <c r="U8" s="7">
        <f t="shared" si="1"/>
        <v>-15</v>
      </c>
      <c r="V8" s="7">
        <f t="shared" si="1"/>
        <v>-16</v>
      </c>
      <c r="W8" s="7">
        <f t="shared" si="1"/>
        <v>-17</v>
      </c>
      <c r="X8" s="7">
        <f t="shared" si="1"/>
        <v>-18</v>
      </c>
      <c r="Y8" s="7">
        <f t="shared" si="1"/>
        <v>-19</v>
      </c>
      <c r="Z8" s="7">
        <f t="shared" si="1"/>
        <v>-20</v>
      </c>
      <c r="AA8" s="7">
        <f t="shared" si="1"/>
        <v>-21</v>
      </c>
      <c r="AB8" s="7">
        <f t="shared" si="1"/>
        <v>-22</v>
      </c>
      <c r="AC8" s="7">
        <f t="shared" si="1"/>
        <v>-23</v>
      </c>
      <c r="AD8" s="7">
        <f t="shared" si="1"/>
        <v>-24</v>
      </c>
      <c r="AE8" s="7">
        <f t="shared" ref="AE8:AJ8" si="2">--AD8-1</f>
        <v>-25</v>
      </c>
      <c r="AF8" s="7">
        <f t="shared" si="2"/>
        <v>-26</v>
      </c>
      <c r="AG8" s="7">
        <f t="shared" si="2"/>
        <v>-27</v>
      </c>
      <c r="AH8" s="7">
        <f t="shared" si="2"/>
        <v>-28</v>
      </c>
      <c r="AI8" s="7">
        <f t="shared" si="2"/>
        <v>-29</v>
      </c>
      <c r="AJ8" s="7">
        <f t="shared" si="2"/>
        <v>-30</v>
      </c>
      <c r="AK8" s="7">
        <f t="shared" ref="AK8:AP8" si="3">--AJ8-1</f>
        <v>-31</v>
      </c>
      <c r="AL8" s="7">
        <f t="shared" si="3"/>
        <v>-32</v>
      </c>
      <c r="AM8" s="7">
        <f t="shared" si="3"/>
        <v>-33</v>
      </c>
      <c r="AN8" s="7">
        <f t="shared" si="3"/>
        <v>-34</v>
      </c>
      <c r="AO8" s="7">
        <f t="shared" si="3"/>
        <v>-35</v>
      </c>
      <c r="AP8" s="7">
        <f t="shared" si="3"/>
        <v>-36</v>
      </c>
      <c r="AQ8" s="7">
        <f t="shared" ref="AQ8:AW8" si="4">--AP8-1</f>
        <v>-37</v>
      </c>
      <c r="AR8" s="7">
        <f t="shared" si="4"/>
        <v>-38</v>
      </c>
      <c r="AS8" s="7">
        <f t="shared" si="4"/>
        <v>-39</v>
      </c>
      <c r="AT8" s="7">
        <f t="shared" si="4"/>
        <v>-40</v>
      </c>
      <c r="AU8" s="7">
        <f t="shared" si="4"/>
        <v>-41</v>
      </c>
      <c r="AV8" s="7">
        <f t="shared" si="4"/>
        <v>-42</v>
      </c>
      <c r="AW8" s="7">
        <f t="shared" si="4"/>
        <v>-43</v>
      </c>
      <c r="AX8" s="7">
        <f t="shared" ref="AX8:BF8" si="5">--AW8-1</f>
        <v>-44</v>
      </c>
      <c r="AY8" s="7">
        <f t="shared" si="5"/>
        <v>-45</v>
      </c>
      <c r="AZ8" s="7">
        <f t="shared" si="5"/>
        <v>-46</v>
      </c>
      <c r="BA8" s="7">
        <f t="shared" si="5"/>
        <v>-47</v>
      </c>
      <c r="BB8" s="241">
        <f t="shared" si="5"/>
        <v>-48</v>
      </c>
      <c r="BC8" s="241">
        <f t="shared" si="5"/>
        <v>-49</v>
      </c>
      <c r="BD8" s="7">
        <f t="shared" si="5"/>
        <v>-50</v>
      </c>
      <c r="BE8" s="7">
        <f t="shared" si="5"/>
        <v>-51</v>
      </c>
      <c r="BF8" s="7">
        <f t="shared" si="5"/>
        <v>-52</v>
      </c>
      <c r="BG8" s="7"/>
      <c r="BH8" s="236"/>
      <c r="BI8" s="7">
        <f>--BC8-1</f>
        <v>-50</v>
      </c>
      <c r="BJ8" s="7">
        <f>--BI8-1</f>
        <v>-51</v>
      </c>
      <c r="BK8" s="7">
        <f t="shared" ref="BK8:BU8" si="6">--BJ8-1</f>
        <v>-52</v>
      </c>
      <c r="BL8" s="7">
        <f t="shared" si="6"/>
        <v>-53</v>
      </c>
      <c r="BM8" s="7">
        <f t="shared" si="6"/>
        <v>-54</v>
      </c>
      <c r="BN8" s="7">
        <f t="shared" si="6"/>
        <v>-55</v>
      </c>
      <c r="BO8" s="7">
        <f t="shared" si="6"/>
        <v>-56</v>
      </c>
      <c r="BP8" s="7">
        <f t="shared" si="6"/>
        <v>-57</v>
      </c>
      <c r="BQ8" s="7">
        <f t="shared" si="6"/>
        <v>-58</v>
      </c>
      <c r="BR8" s="7">
        <f t="shared" si="6"/>
        <v>-59</v>
      </c>
      <c r="BS8" s="7">
        <f t="shared" si="6"/>
        <v>-60</v>
      </c>
      <c r="BT8" s="7">
        <f t="shared" si="6"/>
        <v>-61</v>
      </c>
      <c r="BU8" s="7">
        <f t="shared" si="6"/>
        <v>-62</v>
      </c>
      <c r="BV8" s="7">
        <f t="shared" ref="BV8:CC8" si="7">--BU8-1</f>
        <v>-63</v>
      </c>
      <c r="BW8" s="7">
        <f t="shared" si="7"/>
        <v>-64</v>
      </c>
      <c r="BX8" s="7">
        <f t="shared" si="7"/>
        <v>-65</v>
      </c>
      <c r="BY8" s="7">
        <f t="shared" si="7"/>
        <v>-66</v>
      </c>
      <c r="BZ8" s="7">
        <f t="shared" si="7"/>
        <v>-67</v>
      </c>
      <c r="CA8" s="7">
        <f t="shared" si="7"/>
        <v>-68</v>
      </c>
      <c r="CB8" s="7">
        <f t="shared" si="7"/>
        <v>-69</v>
      </c>
      <c r="CC8" s="7">
        <f t="shared" si="7"/>
        <v>-70</v>
      </c>
      <c r="CD8" s="7">
        <f t="shared" ref="CD8:CQ8" si="8">--CC8-1</f>
        <v>-71</v>
      </c>
      <c r="CE8" s="7">
        <f t="shared" si="8"/>
        <v>-72</v>
      </c>
      <c r="CF8" s="7">
        <f t="shared" si="8"/>
        <v>-73</v>
      </c>
      <c r="CG8" s="7">
        <f t="shared" si="8"/>
        <v>-74</v>
      </c>
      <c r="CH8" s="7">
        <f t="shared" si="8"/>
        <v>-75</v>
      </c>
      <c r="CI8" s="7">
        <f t="shared" si="8"/>
        <v>-76</v>
      </c>
      <c r="CJ8" s="7">
        <f t="shared" si="8"/>
        <v>-77</v>
      </c>
      <c r="CK8" s="7">
        <f t="shared" si="8"/>
        <v>-78</v>
      </c>
      <c r="CL8" s="7">
        <f t="shared" si="8"/>
        <v>-79</v>
      </c>
      <c r="CM8" s="7">
        <f t="shared" si="8"/>
        <v>-80</v>
      </c>
      <c r="CN8" s="7">
        <f t="shared" si="8"/>
        <v>-81</v>
      </c>
      <c r="CO8" s="7">
        <f t="shared" si="8"/>
        <v>-82</v>
      </c>
      <c r="CP8" s="7">
        <f t="shared" si="8"/>
        <v>-83</v>
      </c>
      <c r="CQ8" s="7">
        <f t="shared" si="8"/>
        <v>-84</v>
      </c>
      <c r="CR8" s="7">
        <f t="shared" ref="CR8:CW8" si="9">--CQ8-1</f>
        <v>-85</v>
      </c>
      <c r="CS8" s="7">
        <f t="shared" si="9"/>
        <v>-86</v>
      </c>
      <c r="CT8" s="7">
        <f t="shared" si="9"/>
        <v>-87</v>
      </c>
      <c r="CU8" s="7">
        <f t="shared" si="9"/>
        <v>-88</v>
      </c>
      <c r="CV8" s="7">
        <f t="shared" si="9"/>
        <v>-89</v>
      </c>
      <c r="CW8" s="7">
        <f t="shared" si="9"/>
        <v>-90</v>
      </c>
      <c r="CX8" s="7"/>
      <c r="CY8" s="270"/>
    </row>
    <row r="9" spans="1:103" x14ac:dyDescent="0.2">
      <c r="C9" s="12"/>
      <c r="D9" s="12"/>
      <c r="E9" s="12"/>
      <c r="F9" s="12"/>
      <c r="G9" s="12"/>
      <c r="H9" s="66"/>
      <c r="I9" s="59"/>
      <c r="J9" s="86"/>
      <c r="K9" s="86"/>
      <c r="L9" s="86"/>
      <c r="M9" s="86"/>
      <c r="N9" s="86"/>
      <c r="O9" s="86"/>
      <c r="P9" s="86"/>
      <c r="Q9" s="2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39"/>
      <c r="BC9" s="239"/>
      <c r="BD9" s="230"/>
      <c r="BE9" s="230"/>
      <c r="BF9" s="230"/>
      <c r="BG9" s="230"/>
      <c r="BH9" s="235"/>
      <c r="BI9" s="12" t="s">
        <v>408</v>
      </c>
      <c r="BJ9" s="12" t="s">
        <v>440</v>
      </c>
      <c r="BK9" s="12" t="s">
        <v>409</v>
      </c>
      <c r="BL9" s="12" t="s">
        <v>410</v>
      </c>
      <c r="BM9" s="12" t="s">
        <v>439</v>
      </c>
      <c r="BN9" s="12" t="s">
        <v>296</v>
      </c>
      <c r="BO9" s="12" t="s">
        <v>335</v>
      </c>
      <c r="BP9" s="12" t="s">
        <v>367</v>
      </c>
      <c r="BQ9" s="12" t="s">
        <v>411</v>
      </c>
      <c r="BR9" s="12" t="s">
        <v>412</v>
      </c>
      <c r="BS9" s="12" t="s">
        <v>438</v>
      </c>
      <c r="BT9" s="12" t="s">
        <v>268</v>
      </c>
      <c r="BU9" s="12" t="s">
        <v>336</v>
      </c>
      <c r="BV9" s="12" t="s">
        <v>368</v>
      </c>
      <c r="BW9" s="12" t="s">
        <v>413</v>
      </c>
      <c r="BX9" s="12" t="s">
        <v>414</v>
      </c>
      <c r="BY9" s="12" t="s">
        <v>437</v>
      </c>
      <c r="BZ9" s="12" t="s">
        <v>306</v>
      </c>
      <c r="CA9" s="12" t="s">
        <v>316</v>
      </c>
      <c r="CB9" s="12" t="s">
        <v>369</v>
      </c>
      <c r="CC9" s="12" t="s">
        <v>415</v>
      </c>
      <c r="CD9" s="12" t="s">
        <v>416</v>
      </c>
      <c r="CE9" s="12" t="s">
        <v>436</v>
      </c>
      <c r="CF9" s="12" t="s">
        <v>417</v>
      </c>
      <c r="CG9" s="12" t="s">
        <v>435</v>
      </c>
      <c r="CH9" s="12" t="s">
        <v>370</v>
      </c>
      <c r="CI9" s="12" t="s">
        <v>434</v>
      </c>
      <c r="CJ9" s="12" t="s">
        <v>418</v>
      </c>
      <c r="CK9" s="12" t="s">
        <v>433</v>
      </c>
      <c r="CL9" s="12" t="s">
        <v>419</v>
      </c>
      <c r="CM9" s="12" t="s">
        <v>420</v>
      </c>
      <c r="CN9" s="12" t="s">
        <v>431</v>
      </c>
      <c r="CO9" s="12" t="s">
        <v>432</v>
      </c>
      <c r="CP9" s="12" t="s">
        <v>483</v>
      </c>
      <c r="CQ9" s="12" t="s">
        <v>484</v>
      </c>
      <c r="CR9" s="12" t="s">
        <v>485</v>
      </c>
      <c r="CS9" s="110" t="s">
        <v>499</v>
      </c>
      <c r="CT9" s="110" t="s">
        <v>500</v>
      </c>
      <c r="CU9" s="230" t="s">
        <v>550</v>
      </c>
      <c r="CV9" s="230" t="s">
        <v>551</v>
      </c>
      <c r="CW9" s="230"/>
      <c r="CX9" s="230"/>
      <c r="CY9" s="270"/>
    </row>
    <row r="10" spans="1:103" ht="30" x14ac:dyDescent="0.25">
      <c r="C10" s="12" t="s">
        <v>143</v>
      </c>
      <c r="D10" s="12" t="s">
        <v>144</v>
      </c>
      <c r="E10" s="12">
        <v>1999</v>
      </c>
      <c r="F10" s="48" t="s">
        <v>286</v>
      </c>
      <c r="G10" s="48" t="s">
        <v>287</v>
      </c>
      <c r="H10" s="68" t="s">
        <v>334</v>
      </c>
      <c r="I10" s="48" t="s">
        <v>352</v>
      </c>
      <c r="J10" s="88" t="s">
        <v>381</v>
      </c>
      <c r="K10" s="88" t="s">
        <v>407</v>
      </c>
      <c r="L10" s="184" t="s">
        <v>528</v>
      </c>
      <c r="M10" s="260" t="s">
        <v>566</v>
      </c>
      <c r="N10" s="260" t="s">
        <v>567</v>
      </c>
      <c r="O10" s="246" t="s">
        <v>559</v>
      </c>
      <c r="P10" s="184"/>
      <c r="Q10" s="235"/>
      <c r="R10" s="12"/>
      <c r="S10" s="12" t="s">
        <v>145</v>
      </c>
      <c r="T10" s="12" t="s">
        <v>146</v>
      </c>
      <c r="U10" s="12" t="s">
        <v>145</v>
      </c>
      <c r="V10" s="12" t="s">
        <v>146</v>
      </c>
      <c r="W10" s="12" t="s">
        <v>145</v>
      </c>
      <c r="X10" s="12" t="s">
        <v>146</v>
      </c>
      <c r="Y10" s="12" t="s">
        <v>145</v>
      </c>
      <c r="Z10" s="12" t="s">
        <v>146</v>
      </c>
      <c r="AA10" s="12" t="s">
        <v>145</v>
      </c>
      <c r="AB10" s="12" t="s">
        <v>146</v>
      </c>
      <c r="AC10" s="12" t="s">
        <v>145</v>
      </c>
      <c r="AD10" s="12" t="s">
        <v>146</v>
      </c>
      <c r="AE10" s="12" t="s">
        <v>145</v>
      </c>
      <c r="AF10" s="12" t="s">
        <v>146</v>
      </c>
      <c r="AG10" s="12" t="s">
        <v>145</v>
      </c>
      <c r="AH10" s="12" t="s">
        <v>146</v>
      </c>
      <c r="AI10" s="12" t="s">
        <v>145</v>
      </c>
      <c r="AJ10" s="8" t="s">
        <v>146</v>
      </c>
      <c r="AK10" s="12" t="s">
        <v>145</v>
      </c>
      <c r="AL10" s="12" t="s">
        <v>146</v>
      </c>
      <c r="AM10" s="12" t="s">
        <v>145</v>
      </c>
      <c r="AN10" s="12" t="s">
        <v>146</v>
      </c>
      <c r="AO10" s="8" t="s">
        <v>145</v>
      </c>
      <c r="AP10" s="12" t="s">
        <v>146</v>
      </c>
      <c r="AQ10" s="8" t="s">
        <v>145</v>
      </c>
      <c r="AR10" s="8" t="s">
        <v>146</v>
      </c>
      <c r="AS10" s="8" t="s">
        <v>145</v>
      </c>
      <c r="AT10" s="8" t="s">
        <v>146</v>
      </c>
      <c r="AU10" s="8" t="s">
        <v>145</v>
      </c>
      <c r="AV10" s="8" t="s">
        <v>146</v>
      </c>
      <c r="AW10" s="64" t="s">
        <v>145</v>
      </c>
      <c r="AX10" s="8" t="s">
        <v>146</v>
      </c>
      <c r="AY10" s="64" t="s">
        <v>145</v>
      </c>
      <c r="AZ10" s="8" t="s">
        <v>146</v>
      </c>
      <c r="BA10" s="107" t="s">
        <v>145</v>
      </c>
      <c r="BB10" s="107" t="s">
        <v>146</v>
      </c>
      <c r="BC10" s="107" t="s">
        <v>145</v>
      </c>
      <c r="BD10" s="107" t="s">
        <v>146</v>
      </c>
      <c r="BE10" s="107" t="s">
        <v>145</v>
      </c>
      <c r="BF10" s="107" t="s">
        <v>146</v>
      </c>
      <c r="BG10" s="107"/>
      <c r="BH10" s="235"/>
      <c r="BI10" s="12"/>
      <c r="BJ10" s="12" t="s">
        <v>145</v>
      </c>
      <c r="BK10" s="12" t="s">
        <v>146</v>
      </c>
      <c r="BL10" s="12" t="s">
        <v>145</v>
      </c>
      <c r="BM10" s="12" t="s">
        <v>146</v>
      </c>
      <c r="BN10" s="12" t="s">
        <v>145</v>
      </c>
      <c r="BO10" s="12" t="s">
        <v>146</v>
      </c>
      <c r="BP10" s="12" t="s">
        <v>145</v>
      </c>
      <c r="BQ10" s="12" t="s">
        <v>146</v>
      </c>
      <c r="BR10" s="25" t="s">
        <v>145</v>
      </c>
      <c r="BS10" s="12" t="s">
        <v>146</v>
      </c>
      <c r="BT10" s="25" t="s">
        <v>145</v>
      </c>
      <c r="BU10" s="12" t="s">
        <v>146</v>
      </c>
      <c r="BV10" s="25" t="s">
        <v>145</v>
      </c>
      <c r="BW10" s="12" t="s">
        <v>146</v>
      </c>
      <c r="BX10" s="25" t="s">
        <v>145</v>
      </c>
      <c r="BY10" s="12" t="s">
        <v>146</v>
      </c>
      <c r="BZ10" s="12" t="s">
        <v>145</v>
      </c>
      <c r="CA10" s="12" t="s">
        <v>146</v>
      </c>
      <c r="CB10" s="12" t="s">
        <v>145</v>
      </c>
      <c r="CC10" s="12" t="s">
        <v>146</v>
      </c>
      <c r="CD10" s="12" t="s">
        <v>145</v>
      </c>
      <c r="CE10" s="12" t="s">
        <v>146</v>
      </c>
      <c r="CF10" s="8" t="s">
        <v>145</v>
      </c>
      <c r="CG10" s="8" t="s">
        <v>146</v>
      </c>
      <c r="CH10" s="8" t="s">
        <v>145</v>
      </c>
      <c r="CI10" s="8" t="s">
        <v>146</v>
      </c>
      <c r="CJ10" s="8" t="s">
        <v>145</v>
      </c>
      <c r="CK10" s="8" t="s">
        <v>146</v>
      </c>
      <c r="CL10" s="8" t="s">
        <v>145</v>
      </c>
      <c r="CM10" s="8" t="s">
        <v>146</v>
      </c>
      <c r="CN10" s="64" t="s">
        <v>145</v>
      </c>
      <c r="CO10" s="64" t="s">
        <v>146</v>
      </c>
      <c r="CP10" s="64" t="s">
        <v>145</v>
      </c>
      <c r="CQ10" s="64" t="s">
        <v>146</v>
      </c>
      <c r="CR10" s="107" t="s">
        <v>145</v>
      </c>
      <c r="CS10" s="107" t="s">
        <v>146</v>
      </c>
      <c r="CT10" s="107" t="s">
        <v>145</v>
      </c>
      <c r="CU10" s="107" t="s">
        <v>146</v>
      </c>
      <c r="CV10" s="107" t="s">
        <v>145</v>
      </c>
      <c r="CW10" s="107" t="s">
        <v>146</v>
      </c>
      <c r="CX10" s="107"/>
      <c r="CY10" s="270"/>
    </row>
    <row r="11" spans="1:103" x14ac:dyDescent="0.2">
      <c r="C11" s="12" t="s">
        <v>147</v>
      </c>
      <c r="D11" s="12" t="s">
        <v>147</v>
      </c>
      <c r="E11" s="12" t="s">
        <v>147</v>
      </c>
      <c r="F11" s="12" t="s">
        <v>147</v>
      </c>
      <c r="G11" s="12" t="s">
        <v>147</v>
      </c>
      <c r="H11" s="66" t="s">
        <v>147</v>
      </c>
      <c r="I11" s="59" t="s">
        <v>147</v>
      </c>
      <c r="J11" s="86" t="s">
        <v>147</v>
      </c>
      <c r="K11" s="86" t="s">
        <v>147</v>
      </c>
      <c r="L11" s="86" t="s">
        <v>147</v>
      </c>
      <c r="M11" s="86" t="s">
        <v>147</v>
      </c>
      <c r="N11" s="86" t="s">
        <v>147</v>
      </c>
      <c r="O11" s="86" t="s">
        <v>147</v>
      </c>
      <c r="P11" s="86"/>
      <c r="Q11" s="235"/>
      <c r="R11" s="12"/>
      <c r="S11" s="12" t="s">
        <v>148</v>
      </c>
      <c r="T11" s="12" t="s">
        <v>148</v>
      </c>
      <c r="U11" s="12" t="s">
        <v>148</v>
      </c>
      <c r="V11" s="12" t="s">
        <v>148</v>
      </c>
      <c r="W11" s="12" t="s">
        <v>148</v>
      </c>
      <c r="X11" s="12" t="s">
        <v>148</v>
      </c>
      <c r="Y11" s="12" t="s">
        <v>148</v>
      </c>
      <c r="Z11" s="12" t="s">
        <v>148</v>
      </c>
      <c r="AA11" s="12" t="s">
        <v>148</v>
      </c>
      <c r="AB11" s="12" t="s">
        <v>148</v>
      </c>
      <c r="AC11" s="12" t="s">
        <v>148</v>
      </c>
      <c r="AD11" s="12" t="s">
        <v>148</v>
      </c>
      <c r="AE11" s="12" t="s">
        <v>148</v>
      </c>
      <c r="AF11" s="12" t="s">
        <v>148</v>
      </c>
      <c r="AG11" s="12" t="s">
        <v>148</v>
      </c>
      <c r="AH11" s="12" t="s">
        <v>148</v>
      </c>
      <c r="AI11" s="12" t="s">
        <v>148</v>
      </c>
      <c r="AJ11" s="12" t="s">
        <v>148</v>
      </c>
      <c r="AK11" s="12" t="s">
        <v>148</v>
      </c>
      <c r="AL11" s="12" t="s">
        <v>148</v>
      </c>
      <c r="AM11" s="12" t="s">
        <v>148</v>
      </c>
      <c r="AN11" s="12" t="s">
        <v>148</v>
      </c>
      <c r="AO11" s="12" t="s">
        <v>148</v>
      </c>
      <c r="AP11" s="12" t="s">
        <v>148</v>
      </c>
      <c r="AQ11" s="12" t="s">
        <v>148</v>
      </c>
      <c r="AR11" s="12" t="s">
        <v>148</v>
      </c>
      <c r="AS11" s="12" t="s">
        <v>148</v>
      </c>
      <c r="AT11" s="12" t="s">
        <v>148</v>
      </c>
      <c r="AU11" s="12" t="s">
        <v>148</v>
      </c>
      <c r="AV11" s="12" t="s">
        <v>148</v>
      </c>
      <c r="AW11" s="12" t="s">
        <v>148</v>
      </c>
      <c r="AX11" s="12" t="s">
        <v>148</v>
      </c>
      <c r="AY11" s="12" t="s">
        <v>148</v>
      </c>
      <c r="AZ11" s="12" t="s">
        <v>148</v>
      </c>
      <c r="BA11" s="12" t="s">
        <v>148</v>
      </c>
      <c r="BB11" s="239" t="s">
        <v>148</v>
      </c>
      <c r="BC11" s="239" t="s">
        <v>148</v>
      </c>
      <c r="BD11" s="230" t="s">
        <v>148</v>
      </c>
      <c r="BE11" s="230" t="s">
        <v>148</v>
      </c>
      <c r="BF11" s="230" t="s">
        <v>148</v>
      </c>
      <c r="BG11" s="230"/>
      <c r="BH11" s="235"/>
      <c r="BI11" s="12"/>
      <c r="BJ11" s="12" t="s">
        <v>148</v>
      </c>
      <c r="BK11" s="12" t="s">
        <v>148</v>
      </c>
      <c r="BL11" s="12" t="s">
        <v>148</v>
      </c>
      <c r="BM11" s="12" t="s">
        <v>148</v>
      </c>
      <c r="BN11" s="12" t="s">
        <v>148</v>
      </c>
      <c r="BO11" s="12" t="s">
        <v>148</v>
      </c>
      <c r="BP11" s="12" t="s">
        <v>148</v>
      </c>
      <c r="BQ11" s="12" t="s">
        <v>148</v>
      </c>
      <c r="BR11" s="25" t="s">
        <v>148</v>
      </c>
      <c r="BS11" s="12" t="s">
        <v>148</v>
      </c>
      <c r="BT11" s="12" t="s">
        <v>148</v>
      </c>
      <c r="BU11" s="12" t="s">
        <v>148</v>
      </c>
      <c r="BV11" s="12" t="s">
        <v>148</v>
      </c>
      <c r="BW11" s="12" t="s">
        <v>148</v>
      </c>
      <c r="BX11" s="12" t="s">
        <v>148</v>
      </c>
      <c r="BY11" s="12" t="s">
        <v>148</v>
      </c>
      <c r="BZ11" s="12" t="s">
        <v>148</v>
      </c>
      <c r="CA11" s="12" t="s">
        <v>148</v>
      </c>
      <c r="CB11" s="12" t="s">
        <v>148</v>
      </c>
      <c r="CC11" s="12" t="s">
        <v>148</v>
      </c>
      <c r="CD11" s="12" t="s">
        <v>148</v>
      </c>
      <c r="CE11" s="12" t="s">
        <v>148</v>
      </c>
      <c r="CF11" s="12" t="s">
        <v>148</v>
      </c>
      <c r="CG11" s="12" t="s">
        <v>148</v>
      </c>
      <c r="CH11" s="12" t="s">
        <v>148</v>
      </c>
      <c r="CI11" s="12" t="s">
        <v>148</v>
      </c>
      <c r="CJ11" s="12" t="s">
        <v>148</v>
      </c>
      <c r="CK11" s="12" t="s">
        <v>148</v>
      </c>
      <c r="CL11" s="12" t="s">
        <v>148</v>
      </c>
      <c r="CM11" s="12" t="s">
        <v>148</v>
      </c>
      <c r="CN11" s="12" t="s">
        <v>148</v>
      </c>
      <c r="CO11" s="12" t="s">
        <v>148</v>
      </c>
      <c r="CP11" s="12" t="s">
        <v>148</v>
      </c>
      <c r="CQ11" s="12" t="s">
        <v>148</v>
      </c>
      <c r="CR11" s="12" t="s">
        <v>148</v>
      </c>
      <c r="CS11" s="110" t="s">
        <v>148</v>
      </c>
      <c r="CT11" s="110" t="s">
        <v>148</v>
      </c>
      <c r="CU11" s="230" t="s">
        <v>148</v>
      </c>
      <c r="CV11" s="230" t="s">
        <v>148</v>
      </c>
      <c r="CW11" s="230" t="s">
        <v>148</v>
      </c>
      <c r="CX11" s="230"/>
      <c r="CY11" s="270"/>
    </row>
    <row r="12" spans="1:103" x14ac:dyDescent="0.2">
      <c r="A12" t="s">
        <v>29</v>
      </c>
    </row>
    <row r="13" spans="1:103" x14ac:dyDescent="0.2">
      <c r="A13" t="s">
        <v>30</v>
      </c>
      <c r="C13" s="9">
        <v>78.22</v>
      </c>
      <c r="D13" s="99">
        <v>20.78</v>
      </c>
      <c r="E13" s="99">
        <v>33.89</v>
      </c>
      <c r="F13" s="53">
        <v>33.89</v>
      </c>
      <c r="G13" s="53">
        <v>33.89</v>
      </c>
      <c r="H13" s="69" t="s">
        <v>38</v>
      </c>
      <c r="I13" s="33" t="s">
        <v>38</v>
      </c>
      <c r="J13" s="89" t="s">
        <v>38</v>
      </c>
      <c r="K13" s="89" t="s">
        <v>38</v>
      </c>
      <c r="L13" s="89" t="s">
        <v>38</v>
      </c>
      <c r="M13" s="89" t="s">
        <v>38</v>
      </c>
      <c r="N13" s="89" t="s">
        <v>38</v>
      </c>
      <c r="O13" s="101" t="s">
        <v>38</v>
      </c>
      <c r="P13" s="89"/>
      <c r="Q13" s="237"/>
      <c r="R13" s="3">
        <v>552</v>
      </c>
      <c r="S13" s="3">
        <v>273</v>
      </c>
      <c r="T13" s="3">
        <v>689</v>
      </c>
      <c r="U13" s="3">
        <v>544</v>
      </c>
      <c r="V13" s="3">
        <v>448</v>
      </c>
      <c r="W13" s="3">
        <v>306</v>
      </c>
      <c r="X13" s="3">
        <v>0</v>
      </c>
      <c r="Y13" s="3">
        <v>0</v>
      </c>
      <c r="Z13" s="3">
        <v>0</v>
      </c>
      <c r="AA13" s="3">
        <v>0</v>
      </c>
      <c r="AB13" s="6">
        <f>+Y6b!C17</f>
        <v>0</v>
      </c>
      <c r="AC13" s="38">
        <f>+Y7a!C17</f>
        <v>0</v>
      </c>
      <c r="AD13" s="38">
        <f>+Y7b!C17</f>
        <v>0</v>
      </c>
      <c r="AE13" s="38">
        <f>+Y8a!C12</f>
        <v>0</v>
      </c>
      <c r="AF13" s="38">
        <f>+Y8b!C12</f>
        <v>0</v>
      </c>
      <c r="AG13" s="38">
        <f>+Y9a!C12</f>
        <v>0</v>
      </c>
      <c r="AH13" s="38">
        <f>+Y9b!C12</f>
        <v>0</v>
      </c>
      <c r="AI13" s="38">
        <f>+Y10a!C12</f>
        <v>0</v>
      </c>
      <c r="AJ13" s="38">
        <f>+Y10b!C12</f>
        <v>0</v>
      </c>
      <c r="AK13" s="38">
        <f>+Y11a!C12</f>
        <v>0</v>
      </c>
      <c r="AL13" s="38">
        <f>+Y11b!C12</f>
        <v>0</v>
      </c>
      <c r="AM13" s="38">
        <f>+Y12a!C12</f>
        <v>0</v>
      </c>
      <c r="AN13" s="38">
        <f>+Y12b!C12</f>
        <v>0</v>
      </c>
      <c r="AO13" s="38">
        <f>+Y13a!C12</f>
        <v>0</v>
      </c>
      <c r="AP13" s="38">
        <f>+Y13b!C12</f>
        <v>0</v>
      </c>
      <c r="AQ13" s="38">
        <f>+Y14a!C12</f>
        <v>0</v>
      </c>
      <c r="AR13" s="38">
        <f>+Y14b!C12</f>
        <v>0</v>
      </c>
      <c r="AS13" s="6">
        <f>+Y15a!C12</f>
        <v>0</v>
      </c>
      <c r="AT13" s="38">
        <f>+Y15b!C12</f>
        <v>0</v>
      </c>
      <c r="AU13" s="6">
        <f>+Y16a!C12</f>
        <v>0</v>
      </c>
      <c r="AV13" s="6">
        <f>+Y16b!C12</f>
        <v>0</v>
      </c>
      <c r="AW13" s="6">
        <f>+Y17a!C12</f>
        <v>0</v>
      </c>
      <c r="AX13" s="6">
        <f>+Y17b!C12</f>
        <v>0</v>
      </c>
      <c r="AY13" s="6">
        <f>+Y18a!C12</f>
        <v>0</v>
      </c>
      <c r="AZ13" s="6">
        <f>+Y18b!C12</f>
        <v>0</v>
      </c>
      <c r="BA13" s="6">
        <f>+Y19a!C12</f>
        <v>0</v>
      </c>
      <c r="BB13" s="242">
        <v>0</v>
      </c>
      <c r="BC13" s="242">
        <v>0</v>
      </c>
      <c r="BD13" s="242">
        <v>0</v>
      </c>
      <c r="BE13" s="6">
        <v>0</v>
      </c>
      <c r="BF13" s="6"/>
      <c r="BG13" s="6"/>
      <c r="BH13" s="237"/>
      <c r="BI13" s="10">
        <v>43177</v>
      </c>
      <c r="BJ13" s="10">
        <v>21354</v>
      </c>
      <c r="BK13" s="10">
        <v>14317</v>
      </c>
      <c r="BL13" s="10">
        <v>11304</v>
      </c>
      <c r="BM13" s="10">
        <v>9309</v>
      </c>
      <c r="BN13" s="10">
        <v>10370</v>
      </c>
      <c r="BO13" s="10">
        <v>0</v>
      </c>
      <c r="BP13" s="10">
        <v>0</v>
      </c>
      <c r="BQ13" s="10">
        <v>0</v>
      </c>
      <c r="BR13" s="10">
        <f>ROUND(E13*AA13,0)</f>
        <v>0</v>
      </c>
      <c r="BS13" s="10">
        <f>ROUND(E13*AB13,0)</f>
        <v>0</v>
      </c>
      <c r="BT13" s="39">
        <f t="shared" ref="BT13:BY13" si="10">ROUND($F$13*AC13,0)</f>
        <v>0</v>
      </c>
      <c r="BU13" s="40">
        <f t="shared" si="10"/>
        <v>0</v>
      </c>
      <c r="BV13" s="39">
        <f t="shared" si="10"/>
        <v>0</v>
      </c>
      <c r="BW13" s="39">
        <f t="shared" si="10"/>
        <v>0</v>
      </c>
      <c r="BX13" s="39">
        <f t="shared" si="10"/>
        <v>0</v>
      </c>
      <c r="BY13" s="39">
        <f t="shared" si="10"/>
        <v>0</v>
      </c>
      <c r="BZ13" s="39">
        <f t="shared" ref="BZ13:CF13" si="11">ROUND($G$13*AI13,0)</f>
        <v>0</v>
      </c>
      <c r="CA13" s="39">
        <f t="shared" si="11"/>
        <v>0</v>
      </c>
      <c r="CB13" s="39">
        <f t="shared" si="11"/>
        <v>0</v>
      </c>
      <c r="CC13" s="39">
        <f t="shared" si="11"/>
        <v>0</v>
      </c>
      <c r="CD13" s="39">
        <f t="shared" si="11"/>
        <v>0</v>
      </c>
      <c r="CE13" s="39">
        <f t="shared" si="11"/>
        <v>0</v>
      </c>
      <c r="CF13" s="39">
        <f t="shared" si="11"/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/>
      <c r="CX13" s="39"/>
    </row>
    <row r="14" spans="1:103" x14ac:dyDescent="0.2">
      <c r="C14" s="9"/>
      <c r="D14" s="9"/>
      <c r="E14" s="9"/>
      <c r="F14" s="53"/>
      <c r="G14" s="53"/>
      <c r="H14" s="70"/>
      <c r="I14" s="53"/>
      <c r="J14" s="90"/>
      <c r="K14" s="90"/>
      <c r="L14" s="90"/>
      <c r="M14" s="90"/>
      <c r="N14" s="90"/>
      <c r="O14" s="100"/>
      <c r="P14" s="90"/>
      <c r="Q14" s="237"/>
      <c r="R14" s="3"/>
      <c r="S14" s="3"/>
      <c r="T14" s="3"/>
      <c r="U14" s="3"/>
      <c r="V14" s="3"/>
      <c r="W14" s="3"/>
      <c r="X14" s="3"/>
      <c r="Y14" s="3"/>
      <c r="Z14" s="3"/>
      <c r="AA14" s="3"/>
      <c r="AB14" s="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6"/>
      <c r="AT14" s="38"/>
      <c r="AU14" s="6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237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39"/>
      <c r="BU14" s="40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3" x14ac:dyDescent="0.2">
      <c r="A15" t="s">
        <v>252</v>
      </c>
      <c r="C15" s="9"/>
      <c r="D15" s="9"/>
      <c r="E15" s="9"/>
      <c r="F15" s="53"/>
      <c r="G15" s="53"/>
      <c r="H15" s="70"/>
      <c r="I15" s="53"/>
      <c r="J15" s="90"/>
      <c r="K15" s="90"/>
      <c r="L15" s="100"/>
      <c r="M15" s="100"/>
      <c r="N15" s="100"/>
      <c r="O15" s="100"/>
      <c r="P15" s="100"/>
      <c r="Q15" s="237"/>
      <c r="R15" s="3"/>
      <c r="S15" s="3"/>
      <c r="T15" s="3"/>
      <c r="U15" s="3"/>
      <c r="V15" s="3"/>
      <c r="W15" s="3"/>
      <c r="X15" s="3"/>
      <c r="Y15" s="3"/>
      <c r="Z15" s="3"/>
      <c r="AA15" s="3"/>
      <c r="AB15" s="6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6"/>
      <c r="AT15" s="38"/>
      <c r="AU15" s="6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237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39"/>
      <c r="BU15" s="40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</row>
    <row r="16" spans="1:103" x14ac:dyDescent="0.2">
      <c r="A16" t="s">
        <v>234</v>
      </c>
      <c r="C16" s="9">
        <v>0</v>
      </c>
      <c r="D16" s="9">
        <v>0</v>
      </c>
      <c r="E16" s="9">
        <v>0</v>
      </c>
      <c r="F16" s="53">
        <v>0</v>
      </c>
      <c r="G16" s="53">
        <v>0</v>
      </c>
      <c r="H16" s="53">
        <v>77.22</v>
      </c>
      <c r="I16" s="53">
        <v>77.22</v>
      </c>
      <c r="J16" s="90">
        <v>77.22</v>
      </c>
      <c r="K16" s="90">
        <v>147.75</v>
      </c>
      <c r="L16" s="100">
        <v>107.19</v>
      </c>
      <c r="M16" s="100">
        <v>153.32</v>
      </c>
      <c r="N16" s="100">
        <v>153.32</v>
      </c>
      <c r="O16" s="100">
        <v>18.87</v>
      </c>
      <c r="P16" s="100"/>
      <c r="Q16" s="237"/>
      <c r="R16" s="3">
        <v>223</v>
      </c>
      <c r="S16" s="3">
        <v>118</v>
      </c>
      <c r="T16" s="3">
        <v>175</v>
      </c>
      <c r="U16" s="3">
        <v>122</v>
      </c>
      <c r="V16" s="3">
        <v>131</v>
      </c>
      <c r="W16" s="3">
        <v>75</v>
      </c>
      <c r="X16" s="3">
        <v>66</v>
      </c>
      <c r="Y16" s="3">
        <v>66</v>
      </c>
      <c r="Z16" s="3">
        <v>99</v>
      </c>
      <c r="AA16" s="3">
        <v>62</v>
      </c>
      <c r="AB16" s="6">
        <f>+Y6b!C18</f>
        <v>88</v>
      </c>
      <c r="AC16" s="38">
        <f>+Y7a!C18</f>
        <v>63</v>
      </c>
      <c r="AD16" s="38">
        <f>+Y7b!C18</f>
        <v>76</v>
      </c>
      <c r="AE16" s="38">
        <f>+Y8a!C15</f>
        <v>100</v>
      </c>
      <c r="AF16" s="38">
        <f>+Y8b!C15</f>
        <v>69</v>
      </c>
      <c r="AG16" s="38">
        <f>+Y9a!C15</f>
        <v>72</v>
      </c>
      <c r="AH16" s="38">
        <f>+Y9b!C15</f>
        <v>89</v>
      </c>
      <c r="AI16" s="38">
        <f>+Y10a!C15</f>
        <v>88</v>
      </c>
      <c r="AJ16" s="38">
        <f>+Y10b!C15</f>
        <v>85</v>
      </c>
      <c r="AK16" s="38">
        <f>+Y11a!C15</f>
        <v>75</v>
      </c>
      <c r="AL16" s="38">
        <f>+Y11b!C15</f>
        <v>87</v>
      </c>
      <c r="AM16" s="38">
        <f>+Y12a!C15</f>
        <v>128</v>
      </c>
      <c r="AN16" s="38">
        <f>+Y12b!C15</f>
        <v>100</v>
      </c>
      <c r="AO16" s="38">
        <f>+Y13a!C15</f>
        <v>119</v>
      </c>
      <c r="AP16" s="38">
        <f>+Y13b!C15</f>
        <v>89</v>
      </c>
      <c r="AQ16" s="38">
        <f>+Y14a!C15</f>
        <v>119</v>
      </c>
      <c r="AR16" s="38">
        <f>+Y14b!C15</f>
        <v>140</v>
      </c>
      <c r="AS16" s="6">
        <f>+Y15a!C15</f>
        <v>174</v>
      </c>
      <c r="AT16" s="38">
        <f>+Y15b!C15</f>
        <v>172</v>
      </c>
      <c r="AU16" s="6">
        <f>Y16a!C15</f>
        <v>110</v>
      </c>
      <c r="AV16" s="38">
        <f>Y16b!C15</f>
        <v>141</v>
      </c>
      <c r="AW16" s="38">
        <f>Y17a!C15</f>
        <v>142</v>
      </c>
      <c r="AX16" s="38">
        <f>Y17b!C15</f>
        <v>43</v>
      </c>
      <c r="AY16" s="38">
        <f>Y18a!C15</f>
        <v>48</v>
      </c>
      <c r="AZ16" s="38">
        <f>Y18b!C15</f>
        <v>65</v>
      </c>
      <c r="BA16" s="38">
        <f>Y19a!C15</f>
        <v>42</v>
      </c>
      <c r="BB16" s="38">
        <f>Y19b!C15</f>
        <v>68</v>
      </c>
      <c r="BC16" s="242">
        <f>Y20a!C15</f>
        <v>69</v>
      </c>
      <c r="BD16" s="242">
        <f>Y20b!C15</f>
        <v>72</v>
      </c>
      <c r="BE16" s="6">
        <f>Y21a!C14</f>
        <v>90</v>
      </c>
      <c r="BF16" s="6"/>
      <c r="BG16" s="6"/>
      <c r="BH16" s="237"/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f>ROUND(E16*AA16,0)</f>
        <v>0</v>
      </c>
      <c r="BS16" s="10">
        <f>ROUND(E16*AB16,0)</f>
        <v>0</v>
      </c>
      <c r="BT16" s="39">
        <f t="shared" ref="BT16:BY16" si="12">ROUND($F$16*AC16,0)</f>
        <v>0</v>
      </c>
      <c r="BU16" s="40">
        <f t="shared" si="12"/>
        <v>0</v>
      </c>
      <c r="BV16" s="39">
        <f t="shared" si="12"/>
        <v>0</v>
      </c>
      <c r="BW16" s="39">
        <f t="shared" si="12"/>
        <v>0</v>
      </c>
      <c r="BX16" s="39">
        <f t="shared" si="12"/>
        <v>0</v>
      </c>
      <c r="BY16" s="39">
        <f t="shared" si="12"/>
        <v>0</v>
      </c>
      <c r="BZ16" s="39">
        <f t="shared" ref="BZ16:CE16" si="13">ROUND($G$16*AI16,0)</f>
        <v>0</v>
      </c>
      <c r="CA16" s="39">
        <f t="shared" si="13"/>
        <v>0</v>
      </c>
      <c r="CB16" s="39">
        <f t="shared" si="13"/>
        <v>0</v>
      </c>
      <c r="CC16" s="39">
        <f t="shared" si="13"/>
        <v>0</v>
      </c>
      <c r="CD16" s="39">
        <f t="shared" si="13"/>
        <v>0</v>
      </c>
      <c r="CE16" s="39">
        <f t="shared" si="13"/>
        <v>0</v>
      </c>
      <c r="CF16" s="39">
        <f>ROUND($H$16*AO16,0)</f>
        <v>9189</v>
      </c>
      <c r="CG16" s="39">
        <f>ROUND($H$16*AP16,0)</f>
        <v>6873</v>
      </c>
      <c r="CH16" s="39">
        <f>ROUND($I$16*AQ16,0)</f>
        <v>9189</v>
      </c>
      <c r="CI16" s="39">
        <f>ROUND($I$16*AR16,0)</f>
        <v>10811</v>
      </c>
      <c r="CJ16" s="39">
        <f>ROUND($J$16*AS16,0)</f>
        <v>13436</v>
      </c>
      <c r="CK16" s="39">
        <f>ROUND($J$16*AT16,0)</f>
        <v>13282</v>
      </c>
      <c r="CL16" s="39">
        <f>ROUND($K$16*AU16,0)</f>
        <v>16253</v>
      </c>
      <c r="CM16" s="39">
        <f>ROUND($K$16*AV16,0)</f>
        <v>20833</v>
      </c>
      <c r="CN16" s="39">
        <f>ROUND($L$16*AW16,0)</f>
        <v>15221</v>
      </c>
      <c r="CO16" s="39">
        <f>ROUND($L$16*AX16,0)</f>
        <v>4609</v>
      </c>
      <c r="CP16" s="39">
        <f>ROUND($L$16*AY16,0)</f>
        <v>5145</v>
      </c>
      <c r="CQ16" s="39">
        <f>ROUND($L$16*AZ16,0)</f>
        <v>6967</v>
      </c>
      <c r="CR16" s="39">
        <f>ROUND($M$16*BA16,0)</f>
        <v>6439</v>
      </c>
      <c r="CS16" s="39">
        <f>ROUND($M$16*BB16,0)</f>
        <v>10426</v>
      </c>
      <c r="CT16" s="39">
        <f>ROUND($N$16*BC16,0)</f>
        <v>10579</v>
      </c>
      <c r="CU16" s="39">
        <f>ROUND($N$16*BD16,0)</f>
        <v>11039</v>
      </c>
      <c r="CV16" s="39">
        <f>ROUND($O16*BE16,0)</f>
        <v>1698</v>
      </c>
      <c r="CW16" s="39"/>
      <c r="CX16" s="39"/>
    </row>
    <row r="17" spans="1:102" x14ac:dyDescent="0.2">
      <c r="A17" t="s">
        <v>235</v>
      </c>
      <c r="C17" s="9">
        <v>9.7100000000000009</v>
      </c>
      <c r="D17" s="9">
        <v>1.66</v>
      </c>
      <c r="E17" s="9">
        <v>5.0199999999999996</v>
      </c>
      <c r="F17" s="53">
        <v>4.28</v>
      </c>
      <c r="G17" s="53">
        <v>19.73</v>
      </c>
      <c r="H17" s="53">
        <v>61.68</v>
      </c>
      <c r="I17" s="53">
        <v>61.68</v>
      </c>
      <c r="J17" s="90">
        <v>61.68</v>
      </c>
      <c r="K17" s="90">
        <v>-37.28</v>
      </c>
      <c r="L17" s="100">
        <v>-63.48</v>
      </c>
      <c r="M17" s="100">
        <v>1.1399999999999999</v>
      </c>
      <c r="N17" s="100">
        <v>1.1399999999999999</v>
      </c>
      <c r="O17" s="100">
        <v>0</v>
      </c>
      <c r="P17" s="100"/>
      <c r="Q17" s="237"/>
      <c r="R17" s="3">
        <v>74</v>
      </c>
      <c r="S17" s="3">
        <v>26</v>
      </c>
      <c r="T17" s="3">
        <v>93</v>
      </c>
      <c r="U17" s="3">
        <v>24</v>
      </c>
      <c r="V17" s="3">
        <v>42</v>
      </c>
      <c r="W17" s="3">
        <v>12</v>
      </c>
      <c r="X17" s="3">
        <v>8</v>
      </c>
      <c r="Y17" s="3">
        <v>28</v>
      </c>
      <c r="Z17" s="3">
        <v>21</v>
      </c>
      <c r="AA17" s="3">
        <v>18</v>
      </c>
      <c r="AB17" s="6">
        <f>+Y6b!C19</f>
        <v>46</v>
      </c>
      <c r="AC17" s="38">
        <f>+Y7a!C19</f>
        <v>32</v>
      </c>
      <c r="AD17" s="38">
        <f>+Y7b!C19</f>
        <v>13</v>
      </c>
      <c r="AE17" s="38">
        <f>+Y8a!C16</f>
        <v>7</v>
      </c>
      <c r="AF17" s="38">
        <f>+Y8b!C16</f>
        <v>69</v>
      </c>
      <c r="AG17" s="38">
        <f>+Y9a!C16</f>
        <v>10</v>
      </c>
      <c r="AH17" s="38">
        <f>+Y9b!C16</f>
        <v>72</v>
      </c>
      <c r="AI17" s="38">
        <f>+Y10a!C16</f>
        <v>57</v>
      </c>
      <c r="AJ17" s="38">
        <f>+Y10b!C16</f>
        <v>26</v>
      </c>
      <c r="AK17" s="38">
        <f>+Y11a!C16</f>
        <v>34</v>
      </c>
      <c r="AL17" s="38">
        <f>+Y11b!C16</f>
        <v>46</v>
      </c>
      <c r="AM17" s="38">
        <f>+Y12a!C16</f>
        <v>29</v>
      </c>
      <c r="AN17" s="38">
        <f>+Y12b!C16</f>
        <v>50</v>
      </c>
      <c r="AO17" s="38">
        <f>+Y13a!C16</f>
        <v>56</v>
      </c>
      <c r="AP17" s="38">
        <f>+Y13b!C16</f>
        <v>20</v>
      </c>
      <c r="AQ17" s="38">
        <f>+Y14a!C16</f>
        <v>22</v>
      </c>
      <c r="AR17" s="38">
        <f>+Y14b!C16</f>
        <v>61</v>
      </c>
      <c r="AS17" s="6">
        <f>+Y15a!C16</f>
        <v>31</v>
      </c>
      <c r="AT17" s="38">
        <f>+Y15b!C16</f>
        <v>23</v>
      </c>
      <c r="AU17" s="6">
        <f>Y16a!C16</f>
        <v>6</v>
      </c>
      <c r="AV17" s="38">
        <f>Y16b!C16</f>
        <v>23</v>
      </c>
      <c r="AW17" s="38">
        <f>Y17a!C16</f>
        <v>16</v>
      </c>
      <c r="AX17" s="38">
        <f>Y17b!C16</f>
        <v>4</v>
      </c>
      <c r="AY17" s="38">
        <f>Y18a!C16</f>
        <v>11</v>
      </c>
      <c r="AZ17" s="38">
        <f>Y18b!C16</f>
        <v>6</v>
      </c>
      <c r="BA17" s="38">
        <f>Y19a!C16</f>
        <v>1</v>
      </c>
      <c r="BB17" s="38">
        <f>Y19b!C16</f>
        <v>5</v>
      </c>
      <c r="BC17" s="242">
        <f>Y20a!C16</f>
        <v>4</v>
      </c>
      <c r="BD17" s="242">
        <f>Y20b!C16</f>
        <v>14</v>
      </c>
      <c r="BE17" s="6">
        <v>0</v>
      </c>
      <c r="BF17" s="6"/>
      <c r="BG17" s="6"/>
      <c r="BH17" s="237"/>
      <c r="BI17" s="10">
        <v>719</v>
      </c>
      <c r="BJ17" s="10">
        <v>252</v>
      </c>
      <c r="BK17" s="10">
        <v>154</v>
      </c>
      <c r="BL17" s="10">
        <v>40</v>
      </c>
      <c r="BM17" s="10">
        <v>70</v>
      </c>
      <c r="BN17" s="10">
        <v>60</v>
      </c>
      <c r="BO17" s="10">
        <v>40</v>
      </c>
      <c r="BP17" s="10">
        <v>141</v>
      </c>
      <c r="BQ17" s="10">
        <v>105</v>
      </c>
      <c r="BR17" s="10">
        <f>ROUND(E17*AA17,0)</f>
        <v>90</v>
      </c>
      <c r="BS17" s="10">
        <f>ROUND(E17*AB17,0)</f>
        <v>231</v>
      </c>
      <c r="BT17" s="39">
        <f t="shared" ref="BT17:BY17" si="14">ROUND($F$17*AC17,0)</f>
        <v>137</v>
      </c>
      <c r="BU17" s="40">
        <f t="shared" si="14"/>
        <v>56</v>
      </c>
      <c r="BV17" s="39">
        <f t="shared" si="14"/>
        <v>30</v>
      </c>
      <c r="BW17" s="39">
        <f t="shared" si="14"/>
        <v>295</v>
      </c>
      <c r="BX17" s="39">
        <f t="shared" si="14"/>
        <v>43</v>
      </c>
      <c r="BY17" s="39">
        <f t="shared" si="14"/>
        <v>308</v>
      </c>
      <c r="BZ17" s="39">
        <f t="shared" ref="BZ17:CE17" si="15">ROUND($G$17*AI17,0)</f>
        <v>1125</v>
      </c>
      <c r="CA17" s="39">
        <f t="shared" si="15"/>
        <v>513</v>
      </c>
      <c r="CB17" s="39">
        <f t="shared" si="15"/>
        <v>671</v>
      </c>
      <c r="CC17" s="39">
        <f t="shared" si="15"/>
        <v>908</v>
      </c>
      <c r="CD17" s="39">
        <f t="shared" si="15"/>
        <v>572</v>
      </c>
      <c r="CE17" s="39">
        <f t="shared" si="15"/>
        <v>987</v>
      </c>
      <c r="CF17" s="39">
        <f>ROUND($H$17*AO17,0)</f>
        <v>3454</v>
      </c>
      <c r="CG17" s="39">
        <f>ROUND($H$17*AP17,0)</f>
        <v>1234</v>
      </c>
      <c r="CH17" s="39">
        <f>ROUND($I$17*AQ17,0)</f>
        <v>1357</v>
      </c>
      <c r="CI17" s="39">
        <f>ROUND($I$17*AR17,0)</f>
        <v>3762</v>
      </c>
      <c r="CJ17" s="39">
        <f>ROUND($J$17*AS17,0)</f>
        <v>1912</v>
      </c>
      <c r="CK17" s="39">
        <f>ROUND($J$17*AT17,0)</f>
        <v>1419</v>
      </c>
      <c r="CL17" s="39">
        <f>ROUND($K$17*AU17,0)</f>
        <v>-224</v>
      </c>
      <c r="CM17" s="39">
        <f>ROUND($K$17*AV17,0)</f>
        <v>-857</v>
      </c>
      <c r="CN17" s="39">
        <f>ROUND($L$17*AW17,0)</f>
        <v>-1016</v>
      </c>
      <c r="CO17" s="39">
        <f>ROUND($L$17*AX17,0)</f>
        <v>-254</v>
      </c>
      <c r="CP17" s="39">
        <f>ROUND($L$17*AY17,0)</f>
        <v>-698</v>
      </c>
      <c r="CQ17" s="39">
        <f>ROUND($L$17*AZ17,0)</f>
        <v>-381</v>
      </c>
      <c r="CR17" s="39">
        <f>ROUND($M$17*BA17,0)</f>
        <v>1</v>
      </c>
      <c r="CS17" s="39">
        <f>ROUND($M$17*BB17,0)</f>
        <v>6</v>
      </c>
      <c r="CT17" s="39">
        <f>ROUND($N17*BC17,0)</f>
        <v>5</v>
      </c>
      <c r="CU17" s="39">
        <f>ROUND($N17*BD17,0)</f>
        <v>16</v>
      </c>
      <c r="CV17" s="39">
        <f>ROUND($O17*BE17,0)</f>
        <v>0</v>
      </c>
      <c r="CW17" s="39"/>
      <c r="CX17" s="39"/>
    </row>
    <row r="18" spans="1:102" x14ac:dyDescent="0.2">
      <c r="C18" s="3"/>
      <c r="D18" s="3"/>
      <c r="E18" s="3"/>
      <c r="F18" s="33"/>
      <c r="G18" s="33"/>
      <c r="H18" s="69"/>
      <c r="I18" s="33"/>
      <c r="J18" s="89"/>
      <c r="K18" s="89"/>
      <c r="L18" s="89"/>
      <c r="M18" s="89"/>
      <c r="N18" s="101"/>
      <c r="O18" s="101"/>
      <c r="P18" s="89"/>
      <c r="Q18" s="237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3"/>
      <c r="AD18" s="33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6"/>
      <c r="AT18" s="38"/>
      <c r="AU18" s="6"/>
      <c r="AV18" s="38"/>
      <c r="AW18" s="38"/>
      <c r="AX18" s="38"/>
      <c r="AY18" s="38"/>
      <c r="AZ18" s="38"/>
      <c r="BA18" s="38"/>
      <c r="BB18" s="38"/>
      <c r="BC18" s="242"/>
      <c r="BD18" s="242"/>
      <c r="BE18" s="6"/>
      <c r="BF18" s="6"/>
      <c r="BG18" s="6"/>
      <c r="BH18" s="237"/>
      <c r="BI18" s="3"/>
      <c r="BJ18" s="3"/>
      <c r="BK18" s="3"/>
      <c r="BL18" s="3"/>
      <c r="BM18" s="3"/>
      <c r="BN18" s="3"/>
      <c r="BO18" s="3"/>
      <c r="BP18" s="3"/>
      <c r="BQ18" s="3"/>
      <c r="BR18" s="10"/>
      <c r="BS18" s="10"/>
      <c r="BT18" s="39"/>
      <c r="BU18" s="40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</row>
    <row r="19" spans="1:102" x14ac:dyDescent="0.2">
      <c r="A19" t="s">
        <v>33</v>
      </c>
      <c r="C19" s="9">
        <v>1.58</v>
      </c>
      <c r="D19" s="3" t="s">
        <v>38</v>
      </c>
      <c r="E19" s="3" t="s">
        <v>38</v>
      </c>
      <c r="F19" s="33" t="s">
        <v>38</v>
      </c>
      <c r="G19" s="33" t="s">
        <v>38</v>
      </c>
      <c r="H19" s="69" t="s">
        <v>38</v>
      </c>
      <c r="I19" s="33" t="s">
        <v>38</v>
      </c>
      <c r="J19" s="89" t="s">
        <v>38</v>
      </c>
      <c r="K19" s="89" t="s">
        <v>38</v>
      </c>
      <c r="L19" s="101" t="s">
        <v>38</v>
      </c>
      <c r="M19" s="101" t="s">
        <v>38</v>
      </c>
      <c r="N19" s="101" t="s">
        <v>38</v>
      </c>
      <c r="O19" s="101" t="s">
        <v>38</v>
      </c>
      <c r="P19" s="101"/>
      <c r="Q19" s="237"/>
      <c r="R19" s="3">
        <v>269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6">
        <f>+Y6b!C21</f>
        <v>0</v>
      </c>
      <c r="AC19" s="38">
        <f>+Y7a!C21</f>
        <v>0</v>
      </c>
      <c r="AD19" s="38">
        <f>+Y7b!C21</f>
        <v>0</v>
      </c>
      <c r="AE19" s="38">
        <f>+Y8a!C18</f>
        <v>0</v>
      </c>
      <c r="AF19" s="38">
        <f>+Y8b!C18</f>
        <v>0</v>
      </c>
      <c r="AG19" s="38">
        <f>+Y9a!C18</f>
        <v>0</v>
      </c>
      <c r="AH19" s="38">
        <f>+Y9b!C18</f>
        <v>0</v>
      </c>
      <c r="AI19" s="38">
        <f>+Y10a!C18</f>
        <v>0</v>
      </c>
      <c r="AJ19" s="38">
        <f>+Y10b!C18</f>
        <v>0</v>
      </c>
      <c r="AK19" s="38">
        <f>+Y11a!C18</f>
        <v>0</v>
      </c>
      <c r="AL19" s="38">
        <f>+Y11b!C18</f>
        <v>0</v>
      </c>
      <c r="AM19" s="38">
        <f>+Y12a!C18</f>
        <v>0</v>
      </c>
      <c r="AN19" s="38">
        <f>+Y12b!C18</f>
        <v>0</v>
      </c>
      <c r="AO19" s="38">
        <f>+Y13a!C18</f>
        <v>0</v>
      </c>
      <c r="AP19" s="38">
        <f>+Y13b!C18</f>
        <v>0</v>
      </c>
      <c r="AQ19" s="38">
        <f>+Y14a!C18</f>
        <v>0</v>
      </c>
      <c r="AR19" s="38">
        <f>+Y14b!C18</f>
        <v>0</v>
      </c>
      <c r="AS19" s="6">
        <f>+Y15a!C18</f>
        <v>0</v>
      </c>
      <c r="AT19" s="38">
        <f>+Y15b!C18</f>
        <v>0</v>
      </c>
      <c r="AU19" s="6">
        <f>+Y16a!C18</f>
        <v>0</v>
      </c>
      <c r="AV19" s="38">
        <f>+Y16b!C18</f>
        <v>0</v>
      </c>
      <c r="AW19" s="38">
        <f>+Y17a!C18</f>
        <v>0</v>
      </c>
      <c r="AX19" s="38">
        <f>+Y17b!C18</f>
        <v>0</v>
      </c>
      <c r="AY19" s="38">
        <f>+Y18a!C18</f>
        <v>0</v>
      </c>
      <c r="AZ19" s="38">
        <f>+Y18b!C18</f>
        <v>0</v>
      </c>
      <c r="BA19" s="38">
        <f>Y19a!C18</f>
        <v>0</v>
      </c>
      <c r="BB19" s="38">
        <v>0</v>
      </c>
      <c r="BC19" s="242">
        <v>0</v>
      </c>
      <c r="BD19" s="242">
        <v>0</v>
      </c>
      <c r="BE19" s="6">
        <v>0</v>
      </c>
      <c r="BF19" s="6"/>
      <c r="BG19" s="6"/>
      <c r="BH19" s="237"/>
      <c r="BI19" s="10">
        <v>425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39">
        <v>0</v>
      </c>
      <c r="BU19" s="40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/>
      <c r="CX19" s="39"/>
    </row>
    <row r="20" spans="1:102" x14ac:dyDescent="0.2">
      <c r="C20" s="9"/>
      <c r="D20" s="3"/>
      <c r="E20" s="3"/>
      <c r="F20" s="33"/>
      <c r="G20" s="33"/>
      <c r="H20" s="69"/>
      <c r="I20" s="33"/>
      <c r="J20" s="89"/>
      <c r="K20" s="89"/>
      <c r="L20" s="101"/>
      <c r="M20" s="101"/>
      <c r="N20" s="101"/>
      <c r="O20" s="101"/>
      <c r="P20" s="101"/>
      <c r="Q20" s="237"/>
      <c r="R20" s="3"/>
      <c r="S20" s="3"/>
      <c r="T20" s="3"/>
      <c r="U20" s="3"/>
      <c r="V20" s="3"/>
      <c r="W20" s="3"/>
      <c r="X20" s="3"/>
      <c r="Y20" s="3"/>
      <c r="Z20" s="3"/>
      <c r="AA20" s="3"/>
      <c r="AB20" s="6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6"/>
      <c r="AT20" s="38"/>
      <c r="AU20" s="6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237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39"/>
      <c r="BU20" s="40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</row>
    <row r="21" spans="1:102" x14ac:dyDescent="0.2">
      <c r="A21" t="s">
        <v>236</v>
      </c>
      <c r="C21" s="3"/>
      <c r="D21" s="3"/>
      <c r="E21" s="3"/>
      <c r="F21" s="33"/>
      <c r="G21" s="33"/>
      <c r="H21" s="69"/>
      <c r="I21" s="33"/>
      <c r="J21" s="89"/>
      <c r="K21" s="89"/>
      <c r="L21" s="101"/>
      <c r="M21" s="101"/>
      <c r="N21" s="101"/>
      <c r="O21" s="101"/>
      <c r="P21" s="101"/>
      <c r="Q21" s="237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3"/>
      <c r="AD21" s="33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6"/>
      <c r="AT21" s="38"/>
      <c r="AU21" s="6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237"/>
      <c r="BI21" s="3"/>
      <c r="BJ21" s="3"/>
      <c r="BK21" s="3"/>
      <c r="BL21" s="3"/>
      <c r="BM21" s="3"/>
      <c r="BN21" s="3"/>
      <c r="BO21" s="3"/>
      <c r="BP21" s="3"/>
      <c r="BQ21" s="3"/>
      <c r="BR21" s="10"/>
      <c r="BS21" s="10"/>
      <c r="BT21" s="39"/>
      <c r="BU21" s="40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</row>
    <row r="22" spans="1:102" x14ac:dyDescent="0.2">
      <c r="A22" t="s">
        <v>237</v>
      </c>
      <c r="C22" s="9">
        <v>19.73</v>
      </c>
      <c r="D22" s="9">
        <v>7.22</v>
      </c>
      <c r="E22" s="9">
        <v>44.19</v>
      </c>
      <c r="F22" s="53">
        <v>44.19</v>
      </c>
      <c r="G22" s="53">
        <v>44.19</v>
      </c>
      <c r="H22" s="69" t="s">
        <v>38</v>
      </c>
      <c r="I22" s="33" t="s">
        <v>38</v>
      </c>
      <c r="J22" s="89" t="s">
        <v>38</v>
      </c>
      <c r="K22" s="89" t="s">
        <v>38</v>
      </c>
      <c r="L22" s="101" t="s">
        <v>38</v>
      </c>
      <c r="M22" s="101" t="s">
        <v>38</v>
      </c>
      <c r="N22" s="101" t="s">
        <v>38</v>
      </c>
      <c r="O22" s="101" t="s">
        <v>38</v>
      </c>
      <c r="P22" s="101"/>
      <c r="Q22" s="237"/>
      <c r="R22" s="3">
        <v>539</v>
      </c>
      <c r="S22" s="3">
        <v>123</v>
      </c>
      <c r="T22" s="3">
        <v>220</v>
      </c>
      <c r="U22" s="3">
        <v>21</v>
      </c>
      <c r="V22" s="3">
        <v>108</v>
      </c>
      <c r="W22" s="3">
        <v>99</v>
      </c>
      <c r="X22" s="3">
        <v>140</v>
      </c>
      <c r="Y22" s="3">
        <v>38</v>
      </c>
      <c r="Z22" s="3">
        <v>25</v>
      </c>
      <c r="AA22" s="3">
        <v>23</v>
      </c>
      <c r="AB22" s="6">
        <f>+Y6b!C23</f>
        <v>30</v>
      </c>
      <c r="AC22" s="38">
        <f>+Y7a!C23</f>
        <v>1</v>
      </c>
      <c r="AD22" s="38">
        <f>+Y7b!C23</f>
        <v>0</v>
      </c>
      <c r="AE22" s="38">
        <f>+Y8a!C21</f>
        <v>0</v>
      </c>
      <c r="AF22" s="38">
        <f>+Y8b!C21</f>
        <v>0</v>
      </c>
      <c r="AG22" s="38">
        <f>+Y9a!C21</f>
        <v>0</v>
      </c>
      <c r="AH22" s="38">
        <f>+Y9b!C21</f>
        <v>0</v>
      </c>
      <c r="AI22" s="38">
        <f>+Y10a!C21</f>
        <v>0</v>
      </c>
      <c r="AJ22" s="38">
        <f>+Y10b!C21</f>
        <v>0</v>
      </c>
      <c r="AK22" s="38">
        <f>+Y11a!C21</f>
        <v>0</v>
      </c>
      <c r="AL22" s="38">
        <f>+Y11b!C21</f>
        <v>0</v>
      </c>
      <c r="AM22" s="38">
        <f>+Y12a!C21</f>
        <v>0</v>
      </c>
      <c r="AN22" s="38">
        <f>+Y12b!C21</f>
        <v>0</v>
      </c>
      <c r="AO22" s="38">
        <f>+Y13a!C21</f>
        <v>0</v>
      </c>
      <c r="AP22" s="38">
        <f>+Y13b!C21</f>
        <v>0</v>
      </c>
      <c r="AQ22" s="38">
        <f>+Y14a!C21</f>
        <v>0</v>
      </c>
      <c r="AR22" s="38">
        <f>+Y14b!C21</f>
        <v>0</v>
      </c>
      <c r="AS22" s="6">
        <f>+Y15a!C21</f>
        <v>0</v>
      </c>
      <c r="AT22" s="38">
        <f>+Y15b!C21</f>
        <v>0</v>
      </c>
      <c r="AU22" s="6">
        <f>+Y16a!C21</f>
        <v>0</v>
      </c>
      <c r="AV22" s="38">
        <f>+Y16b!C21</f>
        <v>0</v>
      </c>
      <c r="AW22" s="38">
        <f>+Y17a!C21</f>
        <v>0</v>
      </c>
      <c r="AX22" s="38">
        <f>+Y17b!C21</f>
        <v>0</v>
      </c>
      <c r="AY22" s="38">
        <f>+Y18a!C21</f>
        <v>0</v>
      </c>
      <c r="AZ22" s="38">
        <f>+Y18b!C21</f>
        <v>0</v>
      </c>
      <c r="BA22" s="38">
        <f>Y19a!C21</f>
        <v>0</v>
      </c>
      <c r="BB22" s="38">
        <v>0</v>
      </c>
      <c r="BC22" s="242">
        <v>0</v>
      </c>
      <c r="BD22" s="242">
        <v>0</v>
      </c>
      <c r="BE22" s="6">
        <v>0</v>
      </c>
      <c r="BF22" s="6"/>
      <c r="BG22" s="6"/>
      <c r="BH22" s="237"/>
      <c r="BI22" s="10">
        <v>10634</v>
      </c>
      <c r="BJ22" s="10">
        <v>2427</v>
      </c>
      <c r="BK22" s="10">
        <v>1588</v>
      </c>
      <c r="BL22" s="10">
        <v>152</v>
      </c>
      <c r="BM22" s="10">
        <v>780</v>
      </c>
      <c r="BN22" s="10">
        <v>4375</v>
      </c>
      <c r="BO22" s="10">
        <v>6187</v>
      </c>
      <c r="BP22" s="10">
        <v>1679</v>
      </c>
      <c r="BQ22" s="10">
        <v>1105</v>
      </c>
      <c r="BR22" s="10">
        <f>ROUND(E22*AA22,0)</f>
        <v>1016</v>
      </c>
      <c r="BS22" s="10">
        <f>ROUND(E22*AB22,0)</f>
        <v>1326</v>
      </c>
      <c r="BT22" s="39">
        <f t="shared" ref="BT22:BY22" si="16">ROUND($F$22*AC22,0)</f>
        <v>44</v>
      </c>
      <c r="BU22" s="40">
        <f t="shared" si="16"/>
        <v>0</v>
      </c>
      <c r="BV22" s="39">
        <f t="shared" si="16"/>
        <v>0</v>
      </c>
      <c r="BW22" s="39">
        <f t="shared" si="16"/>
        <v>0</v>
      </c>
      <c r="BX22" s="39">
        <f t="shared" si="16"/>
        <v>0</v>
      </c>
      <c r="BY22" s="39">
        <f t="shared" si="16"/>
        <v>0</v>
      </c>
      <c r="BZ22" s="39">
        <f t="shared" ref="BZ22:CF22" si="17">ROUND($G$22*AI22,0)</f>
        <v>0</v>
      </c>
      <c r="CA22" s="39">
        <f t="shared" si="17"/>
        <v>0</v>
      </c>
      <c r="CB22" s="39">
        <f t="shared" si="17"/>
        <v>0</v>
      </c>
      <c r="CC22" s="39">
        <f t="shared" si="17"/>
        <v>0</v>
      </c>
      <c r="CD22" s="39">
        <f t="shared" si="17"/>
        <v>0</v>
      </c>
      <c r="CE22" s="39">
        <f t="shared" si="17"/>
        <v>0</v>
      </c>
      <c r="CF22" s="39">
        <f t="shared" si="17"/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/>
      <c r="CX22" s="39"/>
    </row>
    <row r="23" spans="1:102" x14ac:dyDescent="0.2">
      <c r="A23" t="s">
        <v>238</v>
      </c>
      <c r="C23" s="9">
        <v>16.690000000000001</v>
      </c>
      <c r="D23" s="9">
        <v>29.11</v>
      </c>
      <c r="E23" s="3" t="s">
        <v>38</v>
      </c>
      <c r="F23" s="33" t="s">
        <v>38</v>
      </c>
      <c r="G23" s="33" t="s">
        <v>38</v>
      </c>
      <c r="H23" s="69" t="s">
        <v>38</v>
      </c>
      <c r="I23" s="33" t="s">
        <v>38</v>
      </c>
      <c r="J23" s="89" t="s">
        <v>38</v>
      </c>
      <c r="K23" s="89" t="s">
        <v>38</v>
      </c>
      <c r="L23" s="101" t="s">
        <v>38</v>
      </c>
      <c r="M23" s="101" t="s">
        <v>38</v>
      </c>
      <c r="N23" s="101" t="s">
        <v>38</v>
      </c>
      <c r="O23" s="101" t="s">
        <v>38</v>
      </c>
      <c r="P23" s="101"/>
      <c r="Q23" s="237"/>
      <c r="R23" s="3">
        <v>527</v>
      </c>
      <c r="S23" s="3">
        <v>124</v>
      </c>
      <c r="T23" s="3">
        <v>186</v>
      </c>
      <c r="U23" s="3">
        <v>26</v>
      </c>
      <c r="V23" s="3">
        <v>64</v>
      </c>
      <c r="W23" s="3">
        <v>2</v>
      </c>
      <c r="X23" s="3">
        <v>0</v>
      </c>
      <c r="Y23" s="3">
        <v>0</v>
      </c>
      <c r="Z23" s="3">
        <v>0</v>
      </c>
      <c r="AA23" s="3">
        <v>0</v>
      </c>
      <c r="AB23" s="6">
        <f>+Y6b!C24</f>
        <v>0</v>
      </c>
      <c r="AC23" s="38">
        <f>+Y7a!C24</f>
        <v>0</v>
      </c>
      <c r="AD23" s="38">
        <f>+Y7b!C24</f>
        <v>0</v>
      </c>
      <c r="AE23" s="38">
        <f>+Y8a!C22</f>
        <v>0</v>
      </c>
      <c r="AF23" s="38">
        <f>+Y8b!C22</f>
        <v>0</v>
      </c>
      <c r="AG23" s="38">
        <f>+Y9a!C22</f>
        <v>0</v>
      </c>
      <c r="AH23" s="38">
        <f>+Y9b!C22</f>
        <v>0</v>
      </c>
      <c r="AI23" s="38">
        <f>+Y10a!C22</f>
        <v>0</v>
      </c>
      <c r="AJ23" s="38">
        <f>+Y10b!C22</f>
        <v>0</v>
      </c>
      <c r="AK23" s="38">
        <f>+Y11a!C22</f>
        <v>0</v>
      </c>
      <c r="AL23" s="38">
        <f>+Y11b!C22</f>
        <v>0</v>
      </c>
      <c r="AM23" s="38">
        <f>+Y12a!C22</f>
        <v>0</v>
      </c>
      <c r="AN23" s="38">
        <f>+Y12b!C22</f>
        <v>0</v>
      </c>
      <c r="AO23" s="38">
        <f>+Y13a!C22</f>
        <v>0</v>
      </c>
      <c r="AP23" s="38">
        <f>+Y13b!C22</f>
        <v>0</v>
      </c>
      <c r="AQ23" s="38">
        <f>+Y14a!C22</f>
        <v>0</v>
      </c>
      <c r="AR23" s="38">
        <f>+Y14b!C22</f>
        <v>0</v>
      </c>
      <c r="AS23" s="6">
        <f>+Y15a!C22</f>
        <v>0</v>
      </c>
      <c r="AT23" s="38">
        <f>+Y15b!C22</f>
        <v>0</v>
      </c>
      <c r="AU23" s="6">
        <f>+Y16a!C22</f>
        <v>0</v>
      </c>
      <c r="AV23" s="38">
        <f>+Y16b!C22</f>
        <v>0</v>
      </c>
      <c r="AW23" s="38">
        <f>+Y17a!C22</f>
        <v>0</v>
      </c>
      <c r="AX23" s="38">
        <f>+Y17b!C22</f>
        <v>0</v>
      </c>
      <c r="AY23" s="38">
        <f>+Y18a!C22</f>
        <v>0</v>
      </c>
      <c r="AZ23" s="38">
        <f>+Y18b!C22</f>
        <v>0</v>
      </c>
      <c r="BA23" s="38">
        <f>Y19a!C22</f>
        <v>0</v>
      </c>
      <c r="BB23" s="38">
        <v>0</v>
      </c>
      <c r="BC23" s="242">
        <v>0</v>
      </c>
      <c r="BD23" s="242">
        <v>0</v>
      </c>
      <c r="BE23" s="6">
        <v>0</v>
      </c>
      <c r="BF23" s="6"/>
      <c r="BG23" s="6"/>
      <c r="BH23" s="237"/>
      <c r="BI23" s="10">
        <v>8796</v>
      </c>
      <c r="BJ23" s="10">
        <v>2070</v>
      </c>
      <c r="BK23" s="10">
        <v>5414</v>
      </c>
      <c r="BL23" s="10">
        <v>757</v>
      </c>
      <c r="BM23" s="10">
        <v>1863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39">
        <v>0</v>
      </c>
      <c r="BU23" s="40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/>
      <c r="CX23" s="39"/>
    </row>
    <row r="24" spans="1:102" x14ac:dyDescent="0.2">
      <c r="C24" s="9"/>
      <c r="D24" s="9"/>
      <c r="E24" s="3"/>
      <c r="F24" s="33"/>
      <c r="G24" s="33"/>
      <c r="H24" s="69"/>
      <c r="I24" s="33"/>
      <c r="J24" s="89"/>
      <c r="K24" s="89"/>
      <c r="L24" s="101"/>
      <c r="M24" s="101"/>
      <c r="N24" s="101"/>
      <c r="O24" s="101"/>
      <c r="P24" s="101"/>
      <c r="Q24" s="237"/>
      <c r="R24" s="3"/>
      <c r="S24" s="3"/>
      <c r="T24" s="3"/>
      <c r="U24" s="3"/>
      <c r="V24" s="3"/>
      <c r="W24" s="3"/>
      <c r="X24" s="3"/>
      <c r="Y24" s="3"/>
      <c r="Z24" s="3"/>
      <c r="AA24" s="3"/>
      <c r="AB24" s="6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6"/>
      <c r="AT24" s="38"/>
      <c r="AU24" s="6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237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39"/>
      <c r="BU24" s="40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</row>
    <row r="25" spans="1:102" x14ac:dyDescent="0.2">
      <c r="A25" s="22" t="s">
        <v>239</v>
      </c>
      <c r="C25" s="3"/>
      <c r="D25" s="3"/>
      <c r="E25" s="3"/>
      <c r="F25" s="33"/>
      <c r="G25" s="33"/>
      <c r="H25" s="69"/>
      <c r="I25" s="33"/>
      <c r="J25" s="89"/>
      <c r="K25" s="89"/>
      <c r="L25" s="101"/>
      <c r="M25" s="101"/>
      <c r="N25" s="101"/>
      <c r="O25" s="101"/>
      <c r="P25" s="101"/>
      <c r="Q25" s="23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3"/>
      <c r="AD25" s="33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6"/>
      <c r="AT25" s="38"/>
      <c r="AU25" s="6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237"/>
      <c r="BI25" s="3"/>
      <c r="BJ25" s="3"/>
      <c r="BK25" s="3"/>
      <c r="BL25" s="3"/>
      <c r="BM25" s="3"/>
      <c r="BN25" s="3"/>
      <c r="BO25" s="3"/>
      <c r="BP25" s="3"/>
      <c r="BQ25" s="3"/>
      <c r="BR25" s="10"/>
      <c r="BS25" s="10"/>
      <c r="BT25" s="39"/>
      <c r="BU25" s="40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x14ac:dyDescent="0.2">
      <c r="A26" s="22" t="s">
        <v>240</v>
      </c>
      <c r="C26" s="9">
        <v>38.86</v>
      </c>
      <c r="D26" s="9">
        <v>32.5</v>
      </c>
      <c r="E26" s="9">
        <v>84.21</v>
      </c>
      <c r="F26" s="53">
        <v>28.92</v>
      </c>
      <c r="G26" s="53">
        <v>79.2</v>
      </c>
      <c r="H26" s="53">
        <v>139.99</v>
      </c>
      <c r="I26" s="53">
        <v>139.99</v>
      </c>
      <c r="J26" s="90">
        <v>139.99</v>
      </c>
      <c r="K26" s="90">
        <v>293.77999999999997</v>
      </c>
      <c r="L26" s="100">
        <v>236.75</v>
      </c>
      <c r="M26" s="100">
        <v>14.8</v>
      </c>
      <c r="N26" s="100">
        <v>32.46</v>
      </c>
      <c r="O26" s="100">
        <v>32.46</v>
      </c>
      <c r="P26" s="100"/>
      <c r="Q26" s="237"/>
      <c r="R26" s="3">
        <v>356</v>
      </c>
      <c r="S26" s="3">
        <v>109</v>
      </c>
      <c r="T26" s="3">
        <v>127</v>
      </c>
      <c r="U26" s="3">
        <v>66</v>
      </c>
      <c r="V26" s="3">
        <v>173</v>
      </c>
      <c r="W26" s="3">
        <v>101</v>
      </c>
      <c r="X26" s="3">
        <v>134</v>
      </c>
      <c r="Y26" s="3">
        <v>45</v>
      </c>
      <c r="Z26" s="3">
        <v>43</v>
      </c>
      <c r="AA26" s="3">
        <v>53</v>
      </c>
      <c r="AB26" s="6">
        <f>+Y6b!C26</f>
        <v>47</v>
      </c>
      <c r="AC26" s="38">
        <f>+Y7a!C26</f>
        <v>43</v>
      </c>
      <c r="AD26" s="38">
        <f>+Y7b!C26</f>
        <v>43</v>
      </c>
      <c r="AE26" s="38">
        <f>+Y8a!C25</f>
        <v>34</v>
      </c>
      <c r="AF26" s="38">
        <f>+Y8b!C25</f>
        <v>29</v>
      </c>
      <c r="AG26" s="38">
        <f>+Y9a!C25</f>
        <v>41</v>
      </c>
      <c r="AH26" s="38">
        <f>+Y9b!C25</f>
        <v>46</v>
      </c>
      <c r="AI26" s="38">
        <f>+Y10a!C25</f>
        <v>34</v>
      </c>
      <c r="AJ26" s="38">
        <f>+Y10b!C25</f>
        <v>40</v>
      </c>
      <c r="AK26" s="38">
        <f>+Y11a!C25</f>
        <v>48</v>
      </c>
      <c r="AL26" s="38">
        <f>+Y11b!C25</f>
        <v>45</v>
      </c>
      <c r="AM26" s="38">
        <f>+Y12a!C25</f>
        <v>50</v>
      </c>
      <c r="AN26" s="38">
        <f>+Y12b!C25</f>
        <v>45</v>
      </c>
      <c r="AO26" s="38">
        <f>+Y13a!C25</f>
        <v>61</v>
      </c>
      <c r="AP26" s="38">
        <f>+Y13b!C25</f>
        <v>74</v>
      </c>
      <c r="AQ26" s="38">
        <f>+Y14a!C25</f>
        <v>61</v>
      </c>
      <c r="AR26" s="38">
        <f>+Y14b!C25</f>
        <v>99</v>
      </c>
      <c r="AS26" s="6">
        <f>+Y15a!C25</f>
        <v>97</v>
      </c>
      <c r="AT26" s="38">
        <f>+Y15b!C25</f>
        <v>136</v>
      </c>
      <c r="AU26" s="6">
        <f>Y16a!C25</f>
        <v>94</v>
      </c>
      <c r="AV26" s="38">
        <f>Y16b!C25</f>
        <v>114</v>
      </c>
      <c r="AW26" s="38">
        <f>Y17a!C25</f>
        <v>110</v>
      </c>
      <c r="AX26" s="38">
        <f>Y17b!C25</f>
        <v>112</v>
      </c>
      <c r="AY26" s="38">
        <f>Y18a!C25</f>
        <v>96</v>
      </c>
      <c r="AZ26" s="38">
        <f>Y18b!C25</f>
        <v>94</v>
      </c>
      <c r="BA26" s="38">
        <f>Y19a!C25</f>
        <v>104</v>
      </c>
      <c r="BB26" s="38">
        <f>Y19b!C19</f>
        <v>125</v>
      </c>
      <c r="BC26" s="242">
        <f>Y20a!C18</f>
        <v>113</v>
      </c>
      <c r="BD26" s="242">
        <f>Y20b!C18</f>
        <v>123</v>
      </c>
      <c r="BE26" s="6">
        <f>Y21a!C16</f>
        <v>0</v>
      </c>
      <c r="BF26" s="6"/>
      <c r="BG26" s="6"/>
      <c r="BH26" s="237"/>
      <c r="BI26" s="10">
        <v>13834</v>
      </c>
      <c r="BJ26" s="10">
        <v>4236</v>
      </c>
      <c r="BK26" s="10">
        <v>4128</v>
      </c>
      <c r="BL26" s="10">
        <v>2145</v>
      </c>
      <c r="BM26" s="10">
        <v>5623</v>
      </c>
      <c r="BN26" s="10">
        <v>8505</v>
      </c>
      <c r="BO26" s="10">
        <v>11284</v>
      </c>
      <c r="BP26" s="10">
        <v>3789</v>
      </c>
      <c r="BQ26" s="10">
        <v>3621</v>
      </c>
      <c r="BR26" s="10">
        <f>ROUND(E26*AA26,0)</f>
        <v>4463</v>
      </c>
      <c r="BS26" s="10">
        <f>ROUND(E26*AB26,0)</f>
        <v>3958</v>
      </c>
      <c r="BT26" s="39">
        <f t="shared" ref="BT26:BY26" si="18">ROUND($F$26*AC26,0)</f>
        <v>1244</v>
      </c>
      <c r="BU26" s="40">
        <f t="shared" si="18"/>
        <v>1244</v>
      </c>
      <c r="BV26" s="39">
        <f t="shared" si="18"/>
        <v>983</v>
      </c>
      <c r="BW26" s="39">
        <f t="shared" si="18"/>
        <v>839</v>
      </c>
      <c r="BX26" s="39">
        <f t="shared" si="18"/>
        <v>1186</v>
      </c>
      <c r="BY26" s="39">
        <f t="shared" si="18"/>
        <v>1330</v>
      </c>
      <c r="BZ26" s="39">
        <f t="shared" ref="BZ26:CE26" si="19">ROUND($G$26*AI26,0)</f>
        <v>2693</v>
      </c>
      <c r="CA26" s="39">
        <f t="shared" si="19"/>
        <v>3168</v>
      </c>
      <c r="CB26" s="39">
        <f t="shared" si="19"/>
        <v>3802</v>
      </c>
      <c r="CC26" s="39">
        <f t="shared" si="19"/>
        <v>3564</v>
      </c>
      <c r="CD26" s="39">
        <f t="shared" si="19"/>
        <v>3960</v>
      </c>
      <c r="CE26" s="39">
        <f t="shared" si="19"/>
        <v>3564</v>
      </c>
      <c r="CF26" s="39">
        <f>ROUND($H$26*AO26,0)</f>
        <v>8539</v>
      </c>
      <c r="CG26" s="39">
        <f>ROUND($H$26*AP26,0)</f>
        <v>10359</v>
      </c>
      <c r="CH26" s="39">
        <f>ROUND($I$26*AQ26,0)</f>
        <v>8539</v>
      </c>
      <c r="CI26" s="39">
        <f>ROUND($I$26*AR26,0)</f>
        <v>13859</v>
      </c>
      <c r="CJ26" s="39">
        <f>ROUND($J$26*AS26,0)</f>
        <v>13579</v>
      </c>
      <c r="CK26" s="39">
        <f>ROUND($J$26*AT26,0)</f>
        <v>19039</v>
      </c>
      <c r="CL26" s="39">
        <f>ROUND($K$26*AU26,0)</f>
        <v>27615</v>
      </c>
      <c r="CM26" s="39">
        <f>ROUND($K$26*AV26,0)</f>
        <v>33491</v>
      </c>
      <c r="CN26" s="39">
        <f>ROUND($L$26*AW26,0)</f>
        <v>26043</v>
      </c>
      <c r="CO26" s="39">
        <f>ROUND($L$26*AX26,0)</f>
        <v>26516</v>
      </c>
      <c r="CP26" s="39">
        <f>ROUND($L$26*AY26,0)</f>
        <v>22728</v>
      </c>
      <c r="CQ26" s="39">
        <f>ROUND($L$26*AZ26,0)</f>
        <v>22255</v>
      </c>
      <c r="CR26" s="39">
        <f>ROUND($M$26*BA26,0)</f>
        <v>1539</v>
      </c>
      <c r="CS26" s="39">
        <f>ROUND($M$26*BB26,0)</f>
        <v>1850</v>
      </c>
      <c r="CT26" s="39">
        <f>ROUND($N26*BC26,0)</f>
        <v>3668</v>
      </c>
      <c r="CU26" s="39">
        <f>ROUND($N26*BD26,0)</f>
        <v>3993</v>
      </c>
      <c r="CV26" s="39">
        <f>ROUND($O26*BE26,0)</f>
        <v>0</v>
      </c>
      <c r="CW26" s="39"/>
      <c r="CX26" s="39"/>
    </row>
    <row r="27" spans="1:102" x14ac:dyDescent="0.2">
      <c r="C27" s="9"/>
      <c r="D27" s="9"/>
      <c r="E27" s="9"/>
      <c r="F27" s="53"/>
      <c r="G27" s="53"/>
      <c r="H27" s="53"/>
      <c r="I27" s="53"/>
      <c r="J27" s="90"/>
      <c r="K27" s="90"/>
      <c r="L27" s="100"/>
      <c r="M27" s="100"/>
      <c r="N27" s="100"/>
      <c r="O27" s="100"/>
      <c r="P27" s="100"/>
      <c r="Q27" s="237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6"/>
      <c r="AT27" s="38"/>
      <c r="AU27" s="6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237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39"/>
      <c r="BU27" s="40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</row>
    <row r="28" spans="1:102" x14ac:dyDescent="0.2">
      <c r="A28" t="s">
        <v>149</v>
      </c>
      <c r="C28" s="3"/>
      <c r="D28" s="3"/>
      <c r="E28" s="3"/>
      <c r="F28" s="33"/>
      <c r="G28" s="33"/>
      <c r="H28" s="33"/>
      <c r="I28" s="33"/>
      <c r="J28" s="89"/>
      <c r="K28" s="89"/>
      <c r="L28" s="101"/>
      <c r="M28" s="101"/>
      <c r="N28" s="101"/>
      <c r="O28" s="101"/>
      <c r="P28" s="101"/>
      <c r="Q28" s="237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3"/>
      <c r="AD28" s="33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6"/>
      <c r="AT28" s="38"/>
      <c r="AU28" s="6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237"/>
      <c r="BI28" s="3"/>
      <c r="BJ28" s="3"/>
      <c r="BK28" s="3"/>
      <c r="BL28" s="3"/>
      <c r="BM28" s="3"/>
      <c r="BN28" s="3"/>
      <c r="BO28" s="3"/>
      <c r="BP28" s="3"/>
      <c r="BQ28" s="3"/>
      <c r="BR28" s="10"/>
      <c r="BS28" s="10"/>
      <c r="BT28" s="39"/>
      <c r="BU28" s="40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02" x14ac:dyDescent="0.2">
      <c r="A29" s="22" t="s">
        <v>241</v>
      </c>
      <c r="B29" s="22"/>
      <c r="C29" s="3" t="s">
        <v>38</v>
      </c>
      <c r="D29" s="3" t="s">
        <v>38</v>
      </c>
      <c r="E29" s="9">
        <v>44.42</v>
      </c>
      <c r="F29" s="53">
        <v>4.0599999999999996</v>
      </c>
      <c r="G29" s="53">
        <v>124.96</v>
      </c>
      <c r="H29" s="53">
        <v>111.55</v>
      </c>
      <c r="I29" s="53">
        <v>111.55</v>
      </c>
      <c r="J29" s="90">
        <v>111.55</v>
      </c>
      <c r="K29" s="90">
        <v>94.01</v>
      </c>
      <c r="L29" s="100">
        <v>82.96</v>
      </c>
      <c r="M29" s="100">
        <v>88.57</v>
      </c>
      <c r="N29" s="100">
        <v>88.57</v>
      </c>
      <c r="O29" s="100">
        <v>88.57</v>
      </c>
      <c r="P29" s="100"/>
      <c r="Q29" s="237"/>
      <c r="R29" s="3">
        <v>0</v>
      </c>
      <c r="S29" s="3">
        <v>0</v>
      </c>
      <c r="T29" s="3">
        <v>0</v>
      </c>
      <c r="U29" s="3">
        <v>0</v>
      </c>
      <c r="V29" s="3">
        <v>33</v>
      </c>
      <c r="W29" s="3">
        <v>98</v>
      </c>
      <c r="X29" s="3">
        <v>123</v>
      </c>
      <c r="Y29" s="3">
        <v>101</v>
      </c>
      <c r="Z29" s="3">
        <v>94</v>
      </c>
      <c r="AA29" s="3">
        <v>83</v>
      </c>
      <c r="AB29" s="6">
        <f>+Y6b!C28</f>
        <v>92</v>
      </c>
      <c r="AC29" s="38">
        <f>+Y7a!C28</f>
        <v>57</v>
      </c>
      <c r="AD29" s="38">
        <f>+Y7b!C28</f>
        <v>61</v>
      </c>
      <c r="AE29" s="38">
        <f>+Y8a!C28</f>
        <v>46</v>
      </c>
      <c r="AF29" s="38">
        <f>+Y8b!C28</f>
        <v>64</v>
      </c>
      <c r="AG29" s="38">
        <f>+Y9a!C28</f>
        <v>68</v>
      </c>
      <c r="AH29" s="38">
        <f>+Y9b!C28</f>
        <v>70</v>
      </c>
      <c r="AI29" s="38">
        <f>+Y10a!C28</f>
        <v>67</v>
      </c>
      <c r="AJ29" s="38">
        <f>+Y10b!C28</f>
        <v>83</v>
      </c>
      <c r="AK29" s="38">
        <f>+Y11a!C28</f>
        <v>90</v>
      </c>
      <c r="AL29" s="38">
        <f>+Y11b!C28</f>
        <v>94</v>
      </c>
      <c r="AM29" s="38">
        <f>+Y12a!C28</f>
        <v>84</v>
      </c>
      <c r="AN29" s="38">
        <f>+Y12b!C28</f>
        <v>129</v>
      </c>
      <c r="AO29" s="38">
        <f>+Y13a!C28</f>
        <v>95</v>
      </c>
      <c r="AP29" s="38">
        <f>+Y13b!C28</f>
        <v>108</v>
      </c>
      <c r="AQ29" s="38">
        <f>+Y14a!C28</f>
        <v>88</v>
      </c>
      <c r="AR29" s="38">
        <f>+Y14b!C28</f>
        <v>103</v>
      </c>
      <c r="AS29" s="6">
        <v>40</v>
      </c>
      <c r="AT29" s="38">
        <f>+Y15b!C28</f>
        <v>119</v>
      </c>
      <c r="AU29" s="6">
        <f>Y16a!C28</f>
        <v>68</v>
      </c>
      <c r="AV29" s="38">
        <f>Y16b!C28</f>
        <v>92</v>
      </c>
      <c r="AW29" s="38">
        <f>Y17a!C28</f>
        <v>79</v>
      </c>
      <c r="AX29" s="38">
        <f>Y17b!C28</f>
        <v>76</v>
      </c>
      <c r="AY29" s="38">
        <f>Y18a!C28</f>
        <v>67</v>
      </c>
      <c r="AZ29" s="38">
        <f>Y18b!C28</f>
        <v>59</v>
      </c>
      <c r="BA29" s="38">
        <f>Y19a!C28</f>
        <v>56</v>
      </c>
      <c r="BB29" s="38">
        <f>Y19b!C22</f>
        <v>93</v>
      </c>
      <c r="BC29" s="242">
        <f>Y20a!C21</f>
        <v>74</v>
      </c>
      <c r="BD29" s="242">
        <f>Y20b!C21</f>
        <v>81</v>
      </c>
      <c r="BE29" s="6">
        <f>Y21a!C19</f>
        <v>0</v>
      </c>
      <c r="BF29" s="6"/>
      <c r="BG29" s="6"/>
      <c r="BH29" s="237"/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4353</v>
      </c>
      <c r="BO29" s="10">
        <v>5464</v>
      </c>
      <c r="BP29" s="10">
        <v>4486</v>
      </c>
      <c r="BQ29" s="10">
        <v>4175</v>
      </c>
      <c r="BR29" s="10">
        <f>ROUND(E29*AA29,0)</f>
        <v>3687</v>
      </c>
      <c r="BS29" s="10">
        <f>ROUND(E29*AB29,0)</f>
        <v>4087</v>
      </c>
      <c r="BT29" s="39">
        <f t="shared" ref="BT29:BY29" si="20">ROUND($F$29*AC29,0)</f>
        <v>231</v>
      </c>
      <c r="BU29" s="40">
        <f t="shared" si="20"/>
        <v>248</v>
      </c>
      <c r="BV29" s="39">
        <f t="shared" si="20"/>
        <v>187</v>
      </c>
      <c r="BW29" s="39">
        <f t="shared" si="20"/>
        <v>260</v>
      </c>
      <c r="BX29" s="39">
        <f t="shared" si="20"/>
        <v>276</v>
      </c>
      <c r="BY29" s="39">
        <f t="shared" si="20"/>
        <v>284</v>
      </c>
      <c r="BZ29" s="39">
        <f t="shared" ref="BZ29:CE29" si="21">ROUND($G$29*AI29,0)</f>
        <v>8372</v>
      </c>
      <c r="CA29" s="39">
        <f t="shared" si="21"/>
        <v>10372</v>
      </c>
      <c r="CB29" s="39">
        <f t="shared" si="21"/>
        <v>11246</v>
      </c>
      <c r="CC29" s="39">
        <f t="shared" si="21"/>
        <v>11746</v>
      </c>
      <c r="CD29" s="39">
        <f t="shared" si="21"/>
        <v>10497</v>
      </c>
      <c r="CE29" s="39">
        <f t="shared" si="21"/>
        <v>16120</v>
      </c>
      <c r="CF29" s="39">
        <f>ROUND($H$29*AO29,0)</f>
        <v>10597</v>
      </c>
      <c r="CG29" s="39">
        <f>ROUND($H$29*AP29,0)</f>
        <v>12047</v>
      </c>
      <c r="CH29" s="39">
        <f>ROUND($I$29*AQ29,0)</f>
        <v>9816</v>
      </c>
      <c r="CI29" s="39">
        <f>ROUND($I$29*AR29,0)</f>
        <v>11490</v>
      </c>
      <c r="CJ29" s="39">
        <f>ROUND($J$29*AS29,0)</f>
        <v>4462</v>
      </c>
      <c r="CK29" s="39">
        <f>ROUND($J$29*AT29,0)</f>
        <v>13274</v>
      </c>
      <c r="CL29" s="39">
        <f>ROUND($K$29*AU29,0)</f>
        <v>6393</v>
      </c>
      <c r="CM29" s="39">
        <f>ROUND($K$29*AV29,0)</f>
        <v>8649</v>
      </c>
      <c r="CN29" s="39">
        <f>ROUND($L$29*AW29,0)</f>
        <v>6554</v>
      </c>
      <c r="CO29" s="39">
        <f>ROUND($L$29*AX29,0)</f>
        <v>6305</v>
      </c>
      <c r="CP29" s="39">
        <f>ROUND($L$29*AY29,0)</f>
        <v>5558</v>
      </c>
      <c r="CQ29" s="39">
        <f>ROUND($L$29*AZ29,0)</f>
        <v>4895</v>
      </c>
      <c r="CR29" s="39">
        <f>ROUND($M$29*BA29,0)</f>
        <v>4960</v>
      </c>
      <c r="CS29" s="39">
        <f>ROUND($M$29*BB29,0)</f>
        <v>8237</v>
      </c>
      <c r="CT29" s="39">
        <f>ROUND($N29*BC29,0)</f>
        <v>6554</v>
      </c>
      <c r="CU29" s="39">
        <f>ROUND($N29*BD29,0)</f>
        <v>7174</v>
      </c>
      <c r="CV29" s="39">
        <f>ROUND($O29*BE29,0)</f>
        <v>0</v>
      </c>
      <c r="CW29" s="39"/>
      <c r="CX29" s="39"/>
    </row>
    <row r="30" spans="1:102" x14ac:dyDescent="0.2">
      <c r="A30" s="22" t="s">
        <v>242</v>
      </c>
      <c r="B30" s="22"/>
      <c r="C30" s="3"/>
      <c r="D30" s="3"/>
      <c r="E30" s="9"/>
      <c r="F30" s="53">
        <v>0.41</v>
      </c>
      <c r="G30" s="53">
        <v>0.41</v>
      </c>
      <c r="H30" s="33" t="s">
        <v>38</v>
      </c>
      <c r="I30" s="33" t="s">
        <v>38</v>
      </c>
      <c r="J30" s="89" t="s">
        <v>38</v>
      </c>
      <c r="K30" s="89" t="s">
        <v>38</v>
      </c>
      <c r="L30" s="101" t="s">
        <v>38</v>
      </c>
      <c r="M30" s="101" t="s">
        <v>38</v>
      </c>
      <c r="N30" s="101" t="s">
        <v>38</v>
      </c>
      <c r="O30" s="101" t="s">
        <v>38</v>
      </c>
      <c r="P30" s="101"/>
      <c r="Q30" s="237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38"/>
      <c r="AD30" s="38"/>
      <c r="AE30" s="38">
        <f>+Y8a!C29</f>
        <v>0</v>
      </c>
      <c r="AF30" s="38">
        <f>+Y8b!C29</f>
        <v>1</v>
      </c>
      <c r="AG30" s="38">
        <f>+Y9a!C29</f>
        <v>1</v>
      </c>
      <c r="AH30" s="38">
        <f>+Y9b!C29</f>
        <v>0</v>
      </c>
      <c r="AI30" s="38">
        <f>+Y10a!C29</f>
        <v>0</v>
      </c>
      <c r="AJ30" s="38">
        <f>+Y10b!C29</f>
        <v>0</v>
      </c>
      <c r="AK30" s="38">
        <f>+Y11a!C29</f>
        <v>0</v>
      </c>
      <c r="AL30" s="38">
        <f>+Y11b!C29</f>
        <v>0</v>
      </c>
      <c r="AM30" s="38">
        <f>+Y12a!C29</f>
        <v>0</v>
      </c>
      <c r="AN30" s="38">
        <f>+Y12b!C29</f>
        <v>0</v>
      </c>
      <c r="AO30" s="38">
        <f>+Y13a!C29</f>
        <v>0</v>
      </c>
      <c r="AP30" s="38">
        <f>+Y13b!C29</f>
        <v>0</v>
      </c>
      <c r="AQ30" s="38">
        <f>+Y14a!C29</f>
        <v>0</v>
      </c>
      <c r="AR30" s="38">
        <f>+Y14b!C29</f>
        <v>0</v>
      </c>
      <c r="AS30" s="6">
        <v>0</v>
      </c>
      <c r="AT30" s="38">
        <f>+Y15b!C29</f>
        <v>0</v>
      </c>
      <c r="AU30" s="38">
        <f>+Y16a!C29</f>
        <v>0</v>
      </c>
      <c r="AV30" s="38">
        <f>+Y16b!C29</f>
        <v>0</v>
      </c>
      <c r="AW30" s="38">
        <f>+Y17a!C29</f>
        <v>0</v>
      </c>
      <c r="AX30" s="38">
        <f>+Y17b!C29</f>
        <v>0</v>
      </c>
      <c r="AY30" s="38">
        <f>+Y18a!C29</f>
        <v>0</v>
      </c>
      <c r="AZ30" s="38">
        <f>+Y18b!C29</f>
        <v>0</v>
      </c>
      <c r="BA30" s="38">
        <f>Y19a!C29</f>
        <v>0</v>
      </c>
      <c r="BB30" s="78">
        <f>Y19b!C23</f>
        <v>0</v>
      </c>
      <c r="BC30" s="264">
        <f>Y20a!C22</f>
        <v>0</v>
      </c>
      <c r="BD30" s="264">
        <f>Y20a!D22</f>
        <v>0</v>
      </c>
      <c r="BE30" s="43">
        <f>Y21a!C20</f>
        <v>0</v>
      </c>
      <c r="BF30" s="43"/>
      <c r="BG30" s="6"/>
      <c r="BH30" s="237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39"/>
      <c r="BU30" s="32"/>
      <c r="BV30" s="39">
        <f>ROUND($F$30*AE30,0)</f>
        <v>0</v>
      </c>
      <c r="BW30" s="39">
        <f>ROUND($F$30*AF30,0)</f>
        <v>0</v>
      </c>
      <c r="BX30" s="39">
        <f>ROUND($F$30*AG30,0)</f>
        <v>0</v>
      </c>
      <c r="BY30" s="39">
        <f>ROUND($F$30*AH30,0)</f>
        <v>0</v>
      </c>
      <c r="BZ30" s="39">
        <f t="shared" ref="BZ30:CF30" si="22">ROUND($G$30*AI30,0)</f>
        <v>0</v>
      </c>
      <c r="CA30" s="39">
        <f t="shared" si="22"/>
        <v>0</v>
      </c>
      <c r="CB30" s="39">
        <f t="shared" si="22"/>
        <v>0</v>
      </c>
      <c r="CC30" s="39">
        <f t="shared" si="22"/>
        <v>0</v>
      </c>
      <c r="CD30" s="39">
        <f t="shared" si="22"/>
        <v>0</v>
      </c>
      <c r="CE30" s="39">
        <f t="shared" si="22"/>
        <v>0</v>
      </c>
      <c r="CF30" s="39">
        <f t="shared" si="22"/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/>
      <c r="CX30" s="39"/>
    </row>
    <row r="31" spans="1:102" x14ac:dyDescent="0.2">
      <c r="A31" s="22"/>
      <c r="B31" s="22"/>
      <c r="C31" s="3"/>
      <c r="D31" s="3"/>
      <c r="E31" s="9"/>
      <c r="F31" s="53"/>
      <c r="G31" s="53"/>
      <c r="H31" s="53"/>
      <c r="I31" s="53"/>
      <c r="J31" s="90"/>
      <c r="K31" s="90"/>
      <c r="L31" s="100"/>
      <c r="M31" s="100"/>
      <c r="N31" s="100"/>
      <c r="O31" s="100"/>
      <c r="P31" s="100"/>
      <c r="Q31" s="237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6"/>
      <c r="AT31" s="38"/>
      <c r="AU31" s="6"/>
      <c r="AV31" s="38"/>
      <c r="AW31" s="38"/>
      <c r="AX31" s="38"/>
      <c r="AY31" s="38"/>
      <c r="AZ31" s="38"/>
      <c r="BA31" s="38"/>
      <c r="BB31" s="78"/>
      <c r="BC31" s="78"/>
      <c r="BD31" s="78"/>
      <c r="BE31" s="78"/>
      <c r="BF31" s="78"/>
      <c r="BG31" s="38"/>
      <c r="BH31" s="237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39"/>
      <c r="BU31" s="32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</row>
    <row r="32" spans="1:102" x14ac:dyDescent="0.2">
      <c r="A32" s="22" t="s">
        <v>209</v>
      </c>
      <c r="B32" s="22"/>
      <c r="C32" s="3"/>
      <c r="D32" s="3"/>
      <c r="E32" s="9"/>
      <c r="F32" s="53">
        <v>21.06</v>
      </c>
      <c r="G32" s="53">
        <v>42.08</v>
      </c>
      <c r="H32" s="53">
        <v>49.77</v>
      </c>
      <c r="I32" s="53">
        <v>49.77</v>
      </c>
      <c r="J32" s="90">
        <v>49.77</v>
      </c>
      <c r="K32" s="90">
        <v>14.66</v>
      </c>
      <c r="L32" s="100">
        <v>6.37</v>
      </c>
      <c r="M32" s="100">
        <v>15.59</v>
      </c>
      <c r="N32" s="100">
        <v>15.59</v>
      </c>
      <c r="O32" s="100">
        <v>15.59</v>
      </c>
      <c r="P32" s="100"/>
      <c r="Q32" s="237"/>
      <c r="R32" s="3"/>
      <c r="S32" s="3"/>
      <c r="T32" s="3"/>
      <c r="U32" s="3"/>
      <c r="V32" s="3"/>
      <c r="W32" s="3"/>
      <c r="X32" s="3"/>
      <c r="Y32" s="3"/>
      <c r="Z32" s="3"/>
      <c r="AA32" s="3"/>
      <c r="AB32" s="6"/>
      <c r="AC32" s="38"/>
      <c r="AD32" s="38"/>
      <c r="AE32" s="38">
        <f>+Y8a!C31</f>
        <v>101</v>
      </c>
      <c r="AF32" s="38">
        <f>+Y8b!C31</f>
        <v>441</v>
      </c>
      <c r="AG32" s="38">
        <f>+Y9a!C31</f>
        <v>334</v>
      </c>
      <c r="AH32" s="38">
        <f>+Y9b!C31</f>
        <v>391</v>
      </c>
      <c r="AI32" s="38">
        <f>+Y10a!C31</f>
        <v>371</v>
      </c>
      <c r="AJ32" s="38">
        <f>+Y10b!C31</f>
        <v>351</v>
      </c>
      <c r="AK32" s="38">
        <f>+Y11a!C31</f>
        <v>440</v>
      </c>
      <c r="AL32" s="38">
        <f>+Y11b!C31</f>
        <v>560</v>
      </c>
      <c r="AM32" s="38">
        <f>+Y12a!C31</f>
        <v>515</v>
      </c>
      <c r="AN32" s="38">
        <f>+Y12b!C31</f>
        <v>485</v>
      </c>
      <c r="AO32" s="38">
        <f>+Y13a!C31</f>
        <v>560</v>
      </c>
      <c r="AP32" s="38">
        <f>+Y13b!C31</f>
        <v>440</v>
      </c>
      <c r="AQ32" s="38">
        <f>+Y14a!C31</f>
        <v>425</v>
      </c>
      <c r="AR32" s="38">
        <f>+Y14b!C31</f>
        <v>375</v>
      </c>
      <c r="AS32" s="6">
        <f>+Y15a!C31</f>
        <v>501</v>
      </c>
      <c r="AT32" s="38">
        <f>+Y15b!C31</f>
        <v>699</v>
      </c>
      <c r="AU32" s="6">
        <f>Y16a!C31</f>
        <v>645</v>
      </c>
      <c r="AV32" s="38">
        <f>Y16b!C31</f>
        <v>556</v>
      </c>
      <c r="AW32" s="38">
        <f>Y17a!C31</f>
        <v>646</v>
      </c>
      <c r="AX32" s="38">
        <f>Y17b!C31</f>
        <v>554</v>
      </c>
      <c r="AY32" s="38">
        <f>Y18a!C31</f>
        <v>598</v>
      </c>
      <c r="AZ32" s="38">
        <f>Y18b!C31</f>
        <v>602</v>
      </c>
      <c r="BA32" s="38">
        <f>Y19a!C31</f>
        <v>590</v>
      </c>
      <c r="BB32" s="78">
        <f>Y19b!C12</f>
        <v>1412</v>
      </c>
      <c r="BC32" s="264">
        <f>Y20a!C12</f>
        <v>937</v>
      </c>
      <c r="BD32" s="264">
        <f>Y20b!C12</f>
        <v>1103</v>
      </c>
      <c r="BE32" s="43">
        <f>Y21a!C12</f>
        <v>0</v>
      </c>
      <c r="BF32" s="43"/>
      <c r="BG32" s="6"/>
      <c r="BH32" s="237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39"/>
      <c r="BU32" s="32"/>
      <c r="BV32" s="39">
        <f>ROUND($F$32*AE32,0)</f>
        <v>2127</v>
      </c>
      <c r="BW32" s="39">
        <f>ROUND($F$32*AF32,0)</f>
        <v>9287</v>
      </c>
      <c r="BX32" s="39">
        <f>ROUND($F$32*AG32,0)</f>
        <v>7034</v>
      </c>
      <c r="BY32" s="39">
        <f>ROUND($F$32*AH32,0)</f>
        <v>8234</v>
      </c>
      <c r="BZ32" s="39">
        <f t="shared" ref="BZ32:CE32" si="23">ROUND($G$32*AI32,0)</f>
        <v>15612</v>
      </c>
      <c r="CA32" s="39">
        <f t="shared" si="23"/>
        <v>14770</v>
      </c>
      <c r="CB32" s="39">
        <f t="shared" si="23"/>
        <v>18515</v>
      </c>
      <c r="CC32" s="39">
        <f t="shared" si="23"/>
        <v>23565</v>
      </c>
      <c r="CD32" s="39">
        <f t="shared" si="23"/>
        <v>21671</v>
      </c>
      <c r="CE32" s="39">
        <f t="shared" si="23"/>
        <v>20409</v>
      </c>
      <c r="CF32" s="39">
        <f>ROUND($H$32*AO32,0)</f>
        <v>27871</v>
      </c>
      <c r="CG32" s="39">
        <f>ROUND($H$32*AP32,0)</f>
        <v>21899</v>
      </c>
      <c r="CH32" s="39">
        <f>ROUND($I$32*AQ32,0)</f>
        <v>21152</v>
      </c>
      <c r="CI32" s="39">
        <f>ROUND($I$32*AR32,0)</f>
        <v>18664</v>
      </c>
      <c r="CJ32" s="39">
        <f>ROUND($J$32*AS32,0)</f>
        <v>24935</v>
      </c>
      <c r="CK32" s="39">
        <f>ROUND($J$32*AT32,0)</f>
        <v>34789</v>
      </c>
      <c r="CL32" s="39">
        <f>ROUND($K$32*AU32,0)</f>
        <v>9456</v>
      </c>
      <c r="CM32" s="39">
        <f>ROUND($K$32*AV32,0)</f>
        <v>8151</v>
      </c>
      <c r="CN32" s="39">
        <f>ROUND($L$32*AW32,0)</f>
        <v>4115</v>
      </c>
      <c r="CO32" s="39">
        <f>ROUND($L$32*AX32,0)</f>
        <v>3529</v>
      </c>
      <c r="CP32" s="39">
        <f>ROUND($L$32*AY32,0)</f>
        <v>3809</v>
      </c>
      <c r="CQ32" s="39">
        <f>ROUND($L$32*AZ32,0)</f>
        <v>3835</v>
      </c>
      <c r="CR32" s="39">
        <f>ROUND($M$32*BA32,0)</f>
        <v>9198</v>
      </c>
      <c r="CS32" s="183">
        <f>ROUND($M$32*BB32,0)</f>
        <v>22013</v>
      </c>
      <c r="CT32" s="183">
        <f>ROUND($N32*BC32,0)</f>
        <v>14608</v>
      </c>
      <c r="CU32" s="183">
        <f>ROUND($N32*BD32,0)</f>
        <v>17196</v>
      </c>
      <c r="CV32" s="183">
        <f>ROUND($O32*BE32,0)</f>
        <v>0</v>
      </c>
      <c r="CW32" s="183"/>
      <c r="CX32" s="39"/>
    </row>
    <row r="33" spans="1:102" x14ac:dyDescent="0.2">
      <c r="B33" s="22"/>
      <c r="C33" s="3"/>
      <c r="D33" s="3"/>
      <c r="E33" s="9"/>
      <c r="F33" s="53"/>
      <c r="G33" s="53"/>
      <c r="H33" s="53"/>
      <c r="I33" s="53"/>
      <c r="J33" s="90"/>
      <c r="K33" s="90"/>
      <c r="L33" s="90"/>
      <c r="M33" s="90"/>
      <c r="N33" s="100"/>
      <c r="O33" s="100"/>
      <c r="P33" s="90"/>
      <c r="Q33" s="237"/>
      <c r="R33" s="3"/>
      <c r="S33" s="3"/>
      <c r="T33" s="3"/>
      <c r="U33" s="3"/>
      <c r="V33" s="3"/>
      <c r="W33" s="3"/>
      <c r="X33" s="3"/>
      <c r="Y33" s="3"/>
      <c r="Z33" s="3"/>
      <c r="AA33" s="3"/>
      <c r="AB33" s="6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6"/>
      <c r="AT33" s="38"/>
      <c r="AU33" s="6"/>
      <c r="AV33" s="38"/>
      <c r="AW33" s="38"/>
      <c r="AX33" s="38"/>
      <c r="AY33" s="38"/>
      <c r="AZ33" s="38"/>
      <c r="BA33" s="38">
        <f>Y19a!C32</f>
        <v>0</v>
      </c>
      <c r="BB33" s="78">
        <f>Y19b!C24</f>
        <v>0</v>
      </c>
      <c r="BC33" s="264"/>
      <c r="BD33" s="264"/>
      <c r="BE33" s="43"/>
      <c r="BF33" s="43"/>
      <c r="BG33" s="6"/>
      <c r="BH33" s="237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39"/>
      <c r="BU33" s="32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183"/>
      <c r="CT33" s="183"/>
      <c r="CU33" s="183"/>
      <c r="CV33" s="183"/>
      <c r="CW33" s="183"/>
      <c r="CX33" s="39"/>
    </row>
    <row r="34" spans="1:102" x14ac:dyDescent="0.2">
      <c r="A34" t="s">
        <v>348</v>
      </c>
      <c r="B34" s="22"/>
      <c r="C34" s="3"/>
      <c r="D34" s="3"/>
      <c r="E34" s="9"/>
      <c r="F34" s="53"/>
      <c r="G34" s="53"/>
      <c r="H34" s="53"/>
      <c r="I34" s="53"/>
      <c r="J34" s="90"/>
      <c r="K34" s="90"/>
      <c r="L34" s="100"/>
      <c r="M34" s="100"/>
      <c r="N34" s="100">
        <v>35.97</v>
      </c>
      <c r="O34" s="100">
        <v>35.97</v>
      </c>
      <c r="P34" s="100"/>
      <c r="Q34" s="237"/>
      <c r="R34" s="3"/>
      <c r="S34" s="3"/>
      <c r="T34" s="3"/>
      <c r="U34" s="3"/>
      <c r="V34" s="3"/>
      <c r="W34" s="3"/>
      <c r="X34" s="3"/>
      <c r="Y34" s="3"/>
      <c r="Z34" s="3"/>
      <c r="AA34" s="3"/>
      <c r="AB34" s="6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6"/>
      <c r="AT34" s="38"/>
      <c r="AU34" s="6"/>
      <c r="AV34" s="38"/>
      <c r="AW34" s="38"/>
      <c r="AX34" s="38"/>
      <c r="AY34" s="38"/>
      <c r="AZ34" s="38"/>
      <c r="BA34" s="38"/>
      <c r="BB34" s="78"/>
      <c r="BC34" s="78">
        <f>Y20a!C24</f>
        <v>335</v>
      </c>
      <c r="BD34" s="78">
        <f>Y20b!C24</f>
        <v>260</v>
      </c>
      <c r="BE34" s="78">
        <v>0</v>
      </c>
      <c r="BF34" s="78"/>
      <c r="BG34" s="38"/>
      <c r="BH34" s="237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39"/>
      <c r="BU34" s="32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183"/>
      <c r="CT34" s="183">
        <f t="shared" ref="CT34:CU34" si="24">ROUND($N34*BC34,0)</f>
        <v>12050</v>
      </c>
      <c r="CU34" s="183">
        <f t="shared" si="24"/>
        <v>9352</v>
      </c>
      <c r="CV34" s="183">
        <v>0</v>
      </c>
      <c r="CW34" s="183"/>
      <c r="CX34" s="39"/>
    </row>
    <row r="35" spans="1:102" x14ac:dyDescent="0.2">
      <c r="A35" t="s">
        <v>353</v>
      </c>
      <c r="B35" s="22"/>
      <c r="C35" s="3"/>
      <c r="D35" s="3"/>
      <c r="E35" s="9"/>
      <c r="F35" s="53"/>
      <c r="G35" s="53"/>
      <c r="H35" s="53"/>
      <c r="I35" s="53">
        <v>478.1</v>
      </c>
      <c r="J35" s="91">
        <v>478.1</v>
      </c>
      <c r="K35" s="92">
        <v>78.12</v>
      </c>
      <c r="L35" s="102">
        <v>39.299999999999997</v>
      </c>
      <c r="M35" s="102">
        <v>25.97</v>
      </c>
      <c r="N35" s="102" t="s">
        <v>38</v>
      </c>
      <c r="O35" s="102" t="s">
        <v>38</v>
      </c>
      <c r="P35" s="102"/>
      <c r="Q35" s="237"/>
      <c r="R35" s="3"/>
      <c r="S35" s="3"/>
      <c r="T35" s="3"/>
      <c r="U35" s="3"/>
      <c r="V35" s="3"/>
      <c r="W35" s="3"/>
      <c r="X35" s="3"/>
      <c r="Y35" s="3"/>
      <c r="Z35" s="3"/>
      <c r="AA35" s="3"/>
      <c r="AB35" s="6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f>+Y14a!C34</f>
        <v>28</v>
      </c>
      <c r="AR35" s="38">
        <f>+Y14b!C34</f>
        <v>63</v>
      </c>
      <c r="AS35" s="6">
        <f>+Y15a!C34</f>
        <v>97</v>
      </c>
      <c r="AT35" s="38">
        <f>+Y15b!C34</f>
        <v>155</v>
      </c>
      <c r="AU35" s="6">
        <f>Y16a!C34</f>
        <v>154</v>
      </c>
      <c r="AV35" s="38">
        <f>Y16b!C34</f>
        <v>121</v>
      </c>
      <c r="AW35" s="38">
        <f>Y17a!C34</f>
        <v>88</v>
      </c>
      <c r="AX35" s="38">
        <f>Y17b!C34</f>
        <v>73</v>
      </c>
      <c r="AY35" s="38">
        <f>Y18a!C34</f>
        <v>84</v>
      </c>
      <c r="AZ35" s="38">
        <f>Y18b!C34</f>
        <v>90</v>
      </c>
      <c r="BA35" s="38">
        <f>Y19a!C34</f>
        <v>82</v>
      </c>
      <c r="BB35" s="78">
        <f>Y19b!C26</f>
        <v>116</v>
      </c>
      <c r="BC35" s="264">
        <v>0</v>
      </c>
      <c r="BD35" s="264">
        <v>0</v>
      </c>
      <c r="BE35" s="43">
        <v>0</v>
      </c>
      <c r="BF35" s="43"/>
      <c r="BG35" s="6"/>
      <c r="BH35" s="237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39"/>
      <c r="BU35" s="32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>
        <f>ROUND($I$35*AQ35,0)</f>
        <v>13387</v>
      </c>
      <c r="CI35" s="39">
        <f>ROUND($I$35*AR35,0)</f>
        <v>30120</v>
      </c>
      <c r="CJ35" s="39">
        <f>ROUND($J$35*AS35,0)</f>
        <v>46376</v>
      </c>
      <c r="CK35" s="39">
        <f>ROUND($J$35*AT35,0)</f>
        <v>74106</v>
      </c>
      <c r="CL35" s="39">
        <f>ROUND($K$35*AU35,0)</f>
        <v>12030</v>
      </c>
      <c r="CM35" s="39">
        <f>ROUND($K$35*AV35,0)</f>
        <v>9453</v>
      </c>
      <c r="CN35" s="39">
        <f>ROUND($L$35*AW35,0)</f>
        <v>3458</v>
      </c>
      <c r="CO35" s="39">
        <f>ROUND($L$35*AX35,0)</f>
        <v>2869</v>
      </c>
      <c r="CP35" s="39">
        <f>ROUND($L$35*AY35,0)</f>
        <v>3301</v>
      </c>
      <c r="CQ35" s="39">
        <f>ROUND($L$35*AZ35,0)</f>
        <v>3537</v>
      </c>
      <c r="CR35" s="39">
        <f>ROUND($M$35*BA35,0)</f>
        <v>2130</v>
      </c>
      <c r="CS35" s="183">
        <f>ROUND($M$35*BB35,0)</f>
        <v>3013</v>
      </c>
      <c r="CT35" s="183">
        <v>0</v>
      </c>
      <c r="CU35" s="183">
        <v>0</v>
      </c>
      <c r="CV35" s="183">
        <v>0</v>
      </c>
      <c r="CW35" s="183"/>
      <c r="CX35" s="39"/>
    </row>
    <row r="36" spans="1:102" x14ac:dyDescent="0.2">
      <c r="A36" t="s">
        <v>349</v>
      </c>
      <c r="B36" s="22"/>
      <c r="C36" s="3"/>
      <c r="D36" s="3"/>
      <c r="E36" s="9"/>
      <c r="F36" s="53"/>
      <c r="G36" s="53"/>
      <c r="H36" s="53"/>
      <c r="I36" s="53">
        <v>0</v>
      </c>
      <c r="J36" s="90">
        <v>0</v>
      </c>
      <c r="K36" s="90">
        <v>118.08</v>
      </c>
      <c r="L36" s="100">
        <v>88.56</v>
      </c>
      <c r="M36" s="100">
        <v>10.9</v>
      </c>
      <c r="N36" s="100" t="s">
        <v>38</v>
      </c>
      <c r="O36" s="100" t="s">
        <v>38</v>
      </c>
      <c r="P36" s="100"/>
      <c r="Q36" s="237"/>
      <c r="R36" s="3"/>
      <c r="S36" s="3"/>
      <c r="T36" s="3"/>
      <c r="U36" s="3"/>
      <c r="V36" s="3"/>
      <c r="W36" s="3"/>
      <c r="X36" s="3"/>
      <c r="Y36" s="3"/>
      <c r="Z36" s="3"/>
      <c r="AA36" s="3"/>
      <c r="AB36" s="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>
        <f>+Y14a!C35</f>
        <v>61</v>
      </c>
      <c r="AR36" s="38">
        <f>+Y14b!C35</f>
        <v>156</v>
      </c>
      <c r="AS36" s="6">
        <f>+Y15a!C35</f>
        <v>272</v>
      </c>
      <c r="AT36" s="38">
        <f>+Y15b!C35</f>
        <v>237</v>
      </c>
      <c r="AU36" s="6">
        <f>Y16a!C35</f>
        <v>212</v>
      </c>
      <c r="AV36" s="38">
        <f>Y16b!C35</f>
        <v>194</v>
      </c>
      <c r="AW36" s="38">
        <f>Y17a!C35</f>
        <v>217</v>
      </c>
      <c r="AX36" s="38">
        <f>Y17b!C35</f>
        <v>209</v>
      </c>
      <c r="AY36" s="38">
        <f>Y18a!C35</f>
        <v>207</v>
      </c>
      <c r="AZ36" s="38">
        <f>Y18b!C35</f>
        <v>171</v>
      </c>
      <c r="BA36" s="38">
        <f>Y19a!C35</f>
        <v>249</v>
      </c>
      <c r="BB36" s="78">
        <f>Y19b!C27</f>
        <v>144</v>
      </c>
      <c r="BC36" s="264">
        <v>0</v>
      </c>
      <c r="BD36" s="264">
        <v>0</v>
      </c>
      <c r="BE36" s="43">
        <v>0</v>
      </c>
      <c r="BF36" s="43"/>
      <c r="BG36" s="6"/>
      <c r="BH36" s="237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39"/>
      <c r="BU36" s="32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>
        <f>ROUND($I$36*AQ36,0)</f>
        <v>0</v>
      </c>
      <c r="CI36" s="39">
        <f>ROUND($I$36*AR36,0)</f>
        <v>0</v>
      </c>
      <c r="CJ36" s="39">
        <f>ROUND($I$36*AS36,0)</f>
        <v>0</v>
      </c>
      <c r="CK36" s="39">
        <f>ROUND($I$36*AT36,0)</f>
        <v>0</v>
      </c>
      <c r="CL36" s="39">
        <f>ROUND($K$36*AU36,0)</f>
        <v>25033</v>
      </c>
      <c r="CM36" s="39">
        <f>ROUND($K$36*AV36,0)</f>
        <v>22908</v>
      </c>
      <c r="CN36" s="39">
        <f>ROUND($L$36*AW36,0)</f>
        <v>19218</v>
      </c>
      <c r="CO36" s="39">
        <f>ROUND($L$36*AX36,0)</f>
        <v>18509</v>
      </c>
      <c r="CP36" s="39">
        <f>ROUND($L$36*AY36,0)</f>
        <v>18332</v>
      </c>
      <c r="CQ36" s="39">
        <f>ROUND($L$36*AZ36,0)</f>
        <v>15144</v>
      </c>
      <c r="CR36" s="39">
        <f>ROUND($M$36*BA36,0)</f>
        <v>2714</v>
      </c>
      <c r="CS36" s="183">
        <f>ROUND($M$36*BB36,0)</f>
        <v>1570</v>
      </c>
      <c r="CT36" s="183">
        <v>0</v>
      </c>
      <c r="CU36" s="183">
        <v>0</v>
      </c>
      <c r="CV36" s="183">
        <v>0</v>
      </c>
      <c r="CW36" s="183"/>
      <c r="CX36" s="39"/>
    </row>
    <row r="37" spans="1:102" x14ac:dyDescent="0.2">
      <c r="A37" s="22"/>
      <c r="B37" s="22"/>
      <c r="C37" s="3"/>
      <c r="D37" s="3"/>
      <c r="E37" s="9"/>
      <c r="F37" s="53"/>
      <c r="G37" s="53"/>
      <c r="H37" s="53"/>
      <c r="I37" s="53"/>
      <c r="J37" s="90"/>
      <c r="K37" s="90"/>
      <c r="L37" s="100"/>
      <c r="M37" s="100"/>
      <c r="N37" s="100"/>
      <c r="O37" s="100"/>
      <c r="P37" s="100"/>
      <c r="Q37" s="237"/>
      <c r="R37" s="3"/>
      <c r="S37" s="3"/>
      <c r="T37" s="3"/>
      <c r="U37" s="3"/>
      <c r="V37" s="3"/>
      <c r="W37" s="3"/>
      <c r="X37" s="3"/>
      <c r="Y37" s="3"/>
      <c r="Z37" s="3"/>
      <c r="AA37" s="3"/>
      <c r="AB37" s="6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6"/>
      <c r="AT37" s="38"/>
      <c r="AU37" s="6"/>
      <c r="AV37" s="38"/>
      <c r="AW37" s="38"/>
      <c r="AX37" s="38"/>
      <c r="AY37" s="38"/>
      <c r="AZ37" s="38"/>
      <c r="BA37" s="38"/>
      <c r="BB37" s="78"/>
      <c r="BC37" s="78"/>
      <c r="BD37" s="78"/>
      <c r="BE37" s="78"/>
      <c r="BF37" s="78"/>
      <c r="BG37" s="38"/>
      <c r="BH37" s="237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39"/>
      <c r="BU37" s="32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183"/>
      <c r="CT37" s="183"/>
      <c r="CU37" s="183"/>
      <c r="CV37" s="183"/>
      <c r="CW37" s="183"/>
      <c r="CX37" s="39"/>
    </row>
    <row r="38" spans="1:102" ht="25.5" x14ac:dyDescent="0.2">
      <c r="A38" s="60" t="s">
        <v>350</v>
      </c>
      <c r="B38" s="22"/>
      <c r="C38" s="3"/>
      <c r="D38" s="3"/>
      <c r="E38" s="9"/>
      <c r="F38" s="53"/>
      <c r="G38" s="53"/>
      <c r="H38" s="53"/>
      <c r="I38" s="53">
        <v>4.9800000000000004</v>
      </c>
      <c r="J38" s="91">
        <v>4.9800000000000004</v>
      </c>
      <c r="K38" s="92">
        <v>1.72</v>
      </c>
      <c r="L38" s="102">
        <v>3.17</v>
      </c>
      <c r="M38" s="102">
        <v>1.41</v>
      </c>
      <c r="N38" s="102">
        <v>1.39</v>
      </c>
      <c r="O38" s="102">
        <v>1.39</v>
      </c>
      <c r="P38" s="102"/>
      <c r="Q38" s="237"/>
      <c r="R38" s="3"/>
      <c r="S38" s="3"/>
      <c r="T38" s="3"/>
      <c r="U38" s="3"/>
      <c r="V38" s="3"/>
      <c r="W38" s="3"/>
      <c r="X38" s="3"/>
      <c r="Y38" s="3"/>
      <c r="Z38" s="3"/>
      <c r="AA38" s="3"/>
      <c r="AB38" s="6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>
        <f>+Y14a!C37</f>
        <v>0</v>
      </c>
      <c r="AR38" s="38">
        <f>+Y14b!C37</f>
        <v>1130</v>
      </c>
      <c r="AS38" s="6">
        <f>+Y15a!C37</f>
        <v>488</v>
      </c>
      <c r="AT38" s="38">
        <f>+Y15b!C37</f>
        <v>1059</v>
      </c>
      <c r="AU38" s="6">
        <f>Y16a!C37</f>
        <v>938</v>
      </c>
      <c r="AV38" s="38">
        <f>Y16b!C37</f>
        <v>958</v>
      </c>
      <c r="AW38" s="38">
        <f>Y17a!C37</f>
        <v>525</v>
      </c>
      <c r="AX38" s="38">
        <f>Y17b!C37</f>
        <v>1562</v>
      </c>
      <c r="AY38" s="38">
        <f>Y18a!C37</f>
        <v>589</v>
      </c>
      <c r="AZ38" s="38">
        <f>Y18b!C37</f>
        <v>1641</v>
      </c>
      <c r="BA38" s="38">
        <f>Y19a!C37</f>
        <v>603</v>
      </c>
      <c r="BB38" s="38">
        <f>Y19b!C29</f>
        <v>1572</v>
      </c>
      <c r="BC38" s="242">
        <f>Y20a!C26</f>
        <v>583</v>
      </c>
      <c r="BD38" s="242">
        <f>Y20b!C26</f>
        <v>1500</v>
      </c>
      <c r="BE38" s="6">
        <f>Y21a!C24</f>
        <v>700</v>
      </c>
      <c r="BF38" s="6"/>
      <c r="BG38" s="6"/>
      <c r="BH38" s="237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39"/>
      <c r="BU38" s="32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>
        <f>ROUND($I$38*AQ38,0)</f>
        <v>0</v>
      </c>
      <c r="CI38" s="39">
        <f>ROUND($I$38*AR38,0)</f>
        <v>5627</v>
      </c>
      <c r="CJ38" s="39">
        <f>ROUND($J$38*AS38,0)</f>
        <v>2430</v>
      </c>
      <c r="CK38" s="39">
        <f>ROUND($J$38*AT38,0)</f>
        <v>5274</v>
      </c>
      <c r="CL38" s="39">
        <f>ROUND($K$38*AU38,0)</f>
        <v>1613</v>
      </c>
      <c r="CM38" s="39">
        <f>ROUND($K$38*AV38,0)</f>
        <v>1648</v>
      </c>
      <c r="CN38" s="39">
        <f>ROUND($L$38*AW38,0)</f>
        <v>1664</v>
      </c>
      <c r="CO38" s="39">
        <f>ROUND($L$38*AX38,0)</f>
        <v>4952</v>
      </c>
      <c r="CP38" s="39">
        <f>ROUND($L$38*AY38,0)</f>
        <v>1867</v>
      </c>
      <c r="CQ38" s="39">
        <f>ROUND($L$38*AZ38,0)</f>
        <v>5202</v>
      </c>
      <c r="CR38" s="39">
        <f>ROUND($M$38*BA38,0)</f>
        <v>850</v>
      </c>
      <c r="CS38" s="183">
        <f>ROUND($M$38*BB38,0)</f>
        <v>2217</v>
      </c>
      <c r="CT38" s="183">
        <f>ROUND($N38*BC38,0)</f>
        <v>810</v>
      </c>
      <c r="CU38" s="183">
        <f>ROUND($N38*BD38,0)</f>
        <v>2085</v>
      </c>
      <c r="CV38" s="183">
        <f>ROUND($O38*BE38,0)</f>
        <v>973</v>
      </c>
      <c r="CW38" s="183"/>
      <c r="CX38" s="39"/>
    </row>
    <row r="39" spans="1:102" x14ac:dyDescent="0.2">
      <c r="B39" s="22"/>
      <c r="C39" s="3"/>
      <c r="D39" s="3"/>
      <c r="E39" s="9"/>
      <c r="F39" s="53"/>
      <c r="G39" s="53"/>
      <c r="H39" s="53"/>
      <c r="I39" s="53"/>
      <c r="J39" s="91"/>
      <c r="K39" s="90"/>
      <c r="L39" s="90"/>
      <c r="M39" s="90"/>
      <c r="N39" s="100"/>
      <c r="O39" s="100"/>
      <c r="P39" s="90"/>
      <c r="Q39" s="237"/>
      <c r="R39" s="3"/>
      <c r="S39" s="3"/>
      <c r="T39" s="3"/>
      <c r="U39" s="3"/>
      <c r="V39" s="3"/>
      <c r="W39" s="3"/>
      <c r="X39" s="3"/>
      <c r="Y39" s="3"/>
      <c r="Z39" s="3"/>
      <c r="AA39" s="3"/>
      <c r="AB39" s="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6"/>
      <c r="AT39" s="38"/>
      <c r="AU39" s="6"/>
      <c r="AV39" s="38"/>
      <c r="AW39" s="38"/>
      <c r="AX39" s="38"/>
      <c r="AY39" s="38"/>
      <c r="AZ39" s="38"/>
      <c r="BA39" s="38"/>
      <c r="BB39" s="38"/>
      <c r="BC39" s="242"/>
      <c r="BD39" s="242"/>
      <c r="BE39" s="6"/>
      <c r="BF39" s="6"/>
      <c r="BG39" s="6"/>
      <c r="BH39" s="237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39"/>
      <c r="BU39" s="32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</row>
    <row r="40" spans="1:102" x14ac:dyDescent="0.2">
      <c r="A40" s="22" t="s">
        <v>351</v>
      </c>
      <c r="B40" s="22"/>
      <c r="C40" s="3"/>
      <c r="D40" s="97"/>
      <c r="E40" s="99"/>
      <c r="F40" s="53"/>
      <c r="G40" s="53"/>
      <c r="H40" s="53"/>
      <c r="I40" s="53">
        <v>4.99</v>
      </c>
      <c r="J40" s="91">
        <v>4.99</v>
      </c>
      <c r="K40" s="92">
        <v>3.92</v>
      </c>
      <c r="L40" s="102">
        <v>4.7699999999999996</v>
      </c>
      <c r="M40" s="102">
        <v>0.87</v>
      </c>
      <c r="N40" s="102">
        <v>0.76</v>
      </c>
      <c r="O40" s="102">
        <v>0.76</v>
      </c>
      <c r="P40" s="102"/>
      <c r="Q40" s="237"/>
      <c r="R40" s="3"/>
      <c r="S40" s="3"/>
      <c r="T40" s="3"/>
      <c r="U40" s="3"/>
      <c r="V40" s="3"/>
      <c r="W40" s="3"/>
      <c r="X40" s="3"/>
      <c r="Y40" s="3"/>
      <c r="Z40" s="3"/>
      <c r="AA40" s="3"/>
      <c r="AB40" s="6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>
        <f>+Y14a!C39</f>
        <v>926</v>
      </c>
      <c r="AR40" s="38">
        <f>+Y14b!C39</f>
        <v>2818</v>
      </c>
      <c r="AS40" s="6">
        <f>+Y15a!C39</f>
        <v>2644</v>
      </c>
      <c r="AT40" s="38">
        <f>+Y15b!C39</f>
        <v>2167</v>
      </c>
      <c r="AU40" s="6">
        <f>Y16a!C39</f>
        <v>2518</v>
      </c>
      <c r="AV40" s="38">
        <f>Y16b!C39</f>
        <v>2397</v>
      </c>
      <c r="AW40" s="38">
        <f>Y17a!C39</f>
        <v>2335</v>
      </c>
      <c r="AX40" s="38">
        <f>Y17b!C39</f>
        <v>3306</v>
      </c>
      <c r="AY40" s="38">
        <f>Y18a!C39</f>
        <v>2291</v>
      </c>
      <c r="AZ40" s="38">
        <f>Y18b!C39</f>
        <v>2725</v>
      </c>
      <c r="BA40" s="38">
        <f>Y19a!C39</f>
        <v>1915</v>
      </c>
      <c r="BB40" s="38">
        <f>Y19b!C31</f>
        <v>3590</v>
      </c>
      <c r="BC40" s="242">
        <f>Y20a!C28</f>
        <v>2477</v>
      </c>
      <c r="BD40" s="242">
        <f>Y20b!C28</f>
        <v>2523</v>
      </c>
      <c r="BE40" s="6">
        <f>Y21a!C26</f>
        <v>2300</v>
      </c>
      <c r="BF40" s="6"/>
      <c r="BG40" s="6"/>
      <c r="BH40" s="237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39"/>
      <c r="BU40" s="32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>
        <f>ROUND($I$40*AQ40,0)</f>
        <v>4621</v>
      </c>
      <c r="CI40" s="39">
        <f>ROUND($I$40*AR40,0)</f>
        <v>14062</v>
      </c>
      <c r="CJ40" s="39">
        <f>ROUND($J$40*AS40,0)</f>
        <v>13194</v>
      </c>
      <c r="CK40" s="39">
        <f>ROUND($J$40*AT40,0)</f>
        <v>10813</v>
      </c>
      <c r="CL40" s="39">
        <f>ROUND($K$40*AU40,0)</f>
        <v>9871</v>
      </c>
      <c r="CM40" s="39">
        <f>ROUND($K$40*AV40,0)</f>
        <v>9396</v>
      </c>
      <c r="CN40" s="39">
        <f>ROUND($L$40*AW40,0)</f>
        <v>11138</v>
      </c>
      <c r="CO40" s="39">
        <f>ROUND($L$40*AX40,0)</f>
        <v>15770</v>
      </c>
      <c r="CP40" s="39">
        <f>ROUND($L$40*AY40,0)</f>
        <v>10928</v>
      </c>
      <c r="CQ40" s="39">
        <f>ROUND($L$40*AZ40,0)</f>
        <v>12998</v>
      </c>
      <c r="CR40" s="39">
        <f>ROUND($M$40*BA40,0)</f>
        <v>1666</v>
      </c>
      <c r="CS40" s="39">
        <f>ROUND($M$40*BB40,0)</f>
        <v>3123</v>
      </c>
      <c r="CT40" s="39">
        <f>ROUND($N40*BC40,0)</f>
        <v>1883</v>
      </c>
      <c r="CU40" s="39">
        <f>ROUND($N40*BD40,0)</f>
        <v>1917</v>
      </c>
      <c r="CV40" s="39">
        <f>ROUND($O40*BE40,0)</f>
        <v>1748</v>
      </c>
      <c r="CW40" s="39"/>
      <c r="CX40" s="39"/>
    </row>
    <row r="41" spans="1:102" x14ac:dyDescent="0.2">
      <c r="A41" s="22"/>
      <c r="B41" s="22"/>
      <c r="C41" s="3"/>
      <c r="D41" s="3"/>
      <c r="E41" s="9"/>
      <c r="F41" s="53"/>
      <c r="G41" s="53"/>
      <c r="H41" s="53"/>
      <c r="I41" s="53"/>
      <c r="J41" s="91"/>
      <c r="K41" s="92"/>
      <c r="L41" s="102"/>
      <c r="M41" s="102"/>
      <c r="N41" s="102"/>
      <c r="O41" s="244"/>
      <c r="P41" s="102"/>
      <c r="Q41" s="237"/>
      <c r="R41" s="3"/>
      <c r="S41" s="3"/>
      <c r="T41" s="3"/>
      <c r="U41" s="3"/>
      <c r="V41" s="3"/>
      <c r="W41" s="3"/>
      <c r="X41" s="3"/>
      <c r="Y41" s="3"/>
      <c r="Z41" s="3"/>
      <c r="AA41" s="3"/>
      <c r="AB41" s="6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6"/>
      <c r="AT41" s="38"/>
      <c r="AU41" s="6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237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39"/>
      <c r="BU41" s="32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</row>
    <row r="42" spans="1:102" x14ac:dyDescent="0.2">
      <c r="A42" s="22" t="s">
        <v>386</v>
      </c>
      <c r="B42" s="22"/>
      <c r="C42" s="3"/>
      <c r="D42" s="3"/>
      <c r="E42" s="9"/>
      <c r="F42" s="53"/>
      <c r="G42" s="53"/>
      <c r="H42" s="53"/>
      <c r="I42" s="53"/>
      <c r="J42" s="91"/>
      <c r="K42" s="92"/>
      <c r="L42" s="102"/>
      <c r="M42" s="102"/>
      <c r="N42" s="102"/>
      <c r="O42" s="244"/>
      <c r="P42" s="102"/>
      <c r="Q42" s="237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6"/>
      <c r="AT42" s="38"/>
      <c r="AU42" s="6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237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39"/>
      <c r="BU42" s="32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</row>
    <row r="43" spans="1:102" x14ac:dyDescent="0.2">
      <c r="A43" s="22" t="s">
        <v>393</v>
      </c>
      <c r="B43" s="22"/>
      <c r="C43" s="3"/>
      <c r="D43" s="3"/>
      <c r="E43" s="9"/>
      <c r="F43" s="53"/>
      <c r="G43" s="53"/>
      <c r="H43" s="53"/>
      <c r="I43" s="53"/>
      <c r="J43" s="91">
        <v>0.69</v>
      </c>
      <c r="K43" s="92">
        <v>0.31</v>
      </c>
      <c r="L43" s="102">
        <v>0.85</v>
      </c>
      <c r="M43" s="102">
        <v>0.67</v>
      </c>
      <c r="N43" s="102">
        <v>0.67</v>
      </c>
      <c r="O43" s="102">
        <v>0.32</v>
      </c>
      <c r="P43" s="102"/>
      <c r="Q43" s="237"/>
      <c r="R43" s="3"/>
      <c r="S43" s="3"/>
      <c r="T43" s="3"/>
      <c r="U43" s="3"/>
      <c r="V43" s="3"/>
      <c r="W43" s="3"/>
      <c r="X43" s="3"/>
      <c r="Y43" s="3"/>
      <c r="Z43" s="3"/>
      <c r="AA43" s="3"/>
      <c r="AB43" s="6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6"/>
      <c r="AT43" s="38">
        <f>Y15b!C42</f>
        <v>0</v>
      </c>
      <c r="AU43" s="38">
        <f>Y16a!C42</f>
        <v>77764</v>
      </c>
      <c r="AV43" s="38">
        <f>Y16b!C42</f>
        <v>55928</v>
      </c>
      <c r="AW43" s="38">
        <f>Y17a!C42</f>
        <v>51481</v>
      </c>
      <c r="AX43" s="38">
        <f>Y17b!C42</f>
        <v>84738</v>
      </c>
      <c r="AY43" s="38">
        <f>Y18a!C42</f>
        <v>100849</v>
      </c>
      <c r="AZ43" s="38">
        <f>Y18b!C42</f>
        <v>105916</v>
      </c>
      <c r="BA43" s="38">
        <f>Y19a!C42</f>
        <v>160760</v>
      </c>
      <c r="BB43" s="38">
        <f>Y19b!C34</f>
        <v>201783</v>
      </c>
      <c r="BC43" s="242">
        <f>Y20a!C31</f>
        <v>227199</v>
      </c>
      <c r="BD43" s="242">
        <f>Y20b!C31</f>
        <v>265214</v>
      </c>
      <c r="BE43" s="6">
        <f>Y21a!C29</f>
        <v>187500</v>
      </c>
      <c r="BF43" s="6"/>
      <c r="BG43" s="6"/>
      <c r="BH43" s="237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39"/>
      <c r="BU43" s="32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>
        <f>ROUND($J$43*AT43,0)</f>
        <v>0</v>
      </c>
      <c r="CL43" s="39">
        <f>ROUND($K$43*AU43,0)</f>
        <v>24107</v>
      </c>
      <c r="CM43" s="39">
        <f>ROUND($K$43*AV43,0)</f>
        <v>17338</v>
      </c>
      <c r="CN43" s="39">
        <f>ROUND($L$43*AW43,0)</f>
        <v>43759</v>
      </c>
      <c r="CO43" s="39">
        <f>ROUND($L$43*AX43,0)</f>
        <v>72027</v>
      </c>
      <c r="CP43" s="39">
        <f>ROUND($L$43*AY43,0)</f>
        <v>85722</v>
      </c>
      <c r="CQ43" s="39">
        <f>ROUND($L$43*AZ43,0)</f>
        <v>90029</v>
      </c>
      <c r="CR43" s="39">
        <f>ROUND($M$43*BA43,0)</f>
        <v>107709</v>
      </c>
      <c r="CS43" s="39">
        <f>ROUND($M$43*BB43,0)</f>
        <v>135195</v>
      </c>
      <c r="CT43" s="39">
        <f t="shared" ref="CT43:CT51" si="25">ROUND($N43*BC43,0)</f>
        <v>152223</v>
      </c>
      <c r="CU43" s="39">
        <f t="shared" ref="CU43:CU51" si="26">ROUND($N43*BD43,0)</f>
        <v>177693</v>
      </c>
      <c r="CV43" s="39">
        <f>ROUND($O43*BE43,0)</f>
        <v>60000</v>
      </c>
      <c r="CW43" s="39"/>
      <c r="CX43" s="39"/>
    </row>
    <row r="44" spans="1:102" ht="12.75" customHeight="1" x14ac:dyDescent="0.2">
      <c r="A44" t="s">
        <v>459</v>
      </c>
      <c r="B44" s="22"/>
      <c r="C44" s="3"/>
      <c r="D44" s="3"/>
      <c r="E44" s="9"/>
      <c r="F44" s="53"/>
      <c r="G44" s="53"/>
      <c r="H44" s="53"/>
      <c r="I44" s="53"/>
      <c r="J44" s="91">
        <v>1.05</v>
      </c>
      <c r="K44" s="92">
        <v>0.34</v>
      </c>
      <c r="L44" s="102">
        <v>1.1599999999999999</v>
      </c>
      <c r="M44" s="102">
        <v>0.9</v>
      </c>
      <c r="N44" s="102">
        <v>0.9</v>
      </c>
      <c r="O44" s="102">
        <v>0.9</v>
      </c>
      <c r="P44" s="102"/>
      <c r="Q44" s="237"/>
      <c r="R44" s="3"/>
      <c r="S44" s="3"/>
      <c r="T44" s="3"/>
      <c r="U44" s="3"/>
      <c r="V44" s="3"/>
      <c r="W44" s="3"/>
      <c r="X44" s="3"/>
      <c r="Y44" s="3"/>
      <c r="Z44" s="3"/>
      <c r="AA44" s="3"/>
      <c r="AB44" s="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6"/>
      <c r="AT44" s="38">
        <f>Y15b!C43</f>
        <v>0</v>
      </c>
      <c r="AU44" s="38">
        <f>Y16a!C43</f>
        <v>0</v>
      </c>
      <c r="AV44" s="38">
        <f>Y16b!C43</f>
        <v>0</v>
      </c>
      <c r="AW44" s="38">
        <f>Y17a!C43</f>
        <v>0</v>
      </c>
      <c r="AX44" s="38">
        <f>Y17b!C43</f>
        <v>0</v>
      </c>
      <c r="AY44" s="38">
        <f>Y18a!C43</f>
        <v>12552</v>
      </c>
      <c r="AZ44" s="38">
        <f>Y18b!C43</f>
        <v>12826</v>
      </c>
      <c r="BA44" s="38">
        <f>Y19a!C43</f>
        <v>12519</v>
      </c>
      <c r="BB44" s="38">
        <f>Y19b!C35</f>
        <v>7901</v>
      </c>
      <c r="BC44" s="242">
        <f>Y20a!C32</f>
        <v>1667</v>
      </c>
      <c r="BD44" s="242">
        <f>Y20b!C32</f>
        <v>0</v>
      </c>
      <c r="BE44" s="6">
        <v>0</v>
      </c>
      <c r="BF44" s="6"/>
      <c r="BG44" s="6"/>
      <c r="BH44" s="237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39"/>
      <c r="BU44" s="32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>
        <f>ROUND($J$44*AT44,0)</f>
        <v>0</v>
      </c>
      <c r="CL44" s="39">
        <f>ROUND($K$44*AU44,0)</f>
        <v>0</v>
      </c>
      <c r="CM44" s="39">
        <f>ROUND($K$44*AV44,0)</f>
        <v>0</v>
      </c>
      <c r="CN44" s="39">
        <f>ROUND($L$44*AW44,0)</f>
        <v>0</v>
      </c>
      <c r="CO44" s="39">
        <f>ROUND($L$44*AX44,0)</f>
        <v>0</v>
      </c>
      <c r="CP44" s="39">
        <f>ROUND($L$44*AY44,0)</f>
        <v>14560</v>
      </c>
      <c r="CQ44" s="39">
        <f>ROUND($L$44*AZ44,0)</f>
        <v>14878</v>
      </c>
      <c r="CR44" s="39">
        <f>ROUND($M$44*BA44,0)</f>
        <v>11267</v>
      </c>
      <c r="CS44" s="39">
        <f>ROUND($M$44*BB44,0)</f>
        <v>7111</v>
      </c>
      <c r="CT44" s="39">
        <f t="shared" si="25"/>
        <v>1500</v>
      </c>
      <c r="CU44" s="39">
        <f t="shared" si="26"/>
        <v>0</v>
      </c>
      <c r="CV44" s="39">
        <f t="shared" ref="CV44:CV52" si="27">ROUND($O44*BE44,0)</f>
        <v>0</v>
      </c>
      <c r="CW44" s="39"/>
      <c r="CX44" s="39"/>
    </row>
    <row r="45" spans="1:102" x14ac:dyDescent="0.2">
      <c r="A45" t="s">
        <v>400</v>
      </c>
      <c r="B45" s="22"/>
      <c r="C45" s="3"/>
      <c r="D45" s="3"/>
      <c r="E45" s="9"/>
      <c r="F45" s="53"/>
      <c r="G45" s="53"/>
      <c r="H45" s="53"/>
      <c r="I45" s="53"/>
      <c r="J45" s="91">
        <v>0</v>
      </c>
      <c r="K45" s="92">
        <v>-0.76</v>
      </c>
      <c r="L45" s="102">
        <v>-0.76</v>
      </c>
      <c r="M45" s="102">
        <v>-2.91</v>
      </c>
      <c r="N45" s="102">
        <v>-2.91</v>
      </c>
      <c r="O45" s="102">
        <v>0.93</v>
      </c>
      <c r="P45" s="102"/>
      <c r="Q45" s="237"/>
      <c r="R45" s="3"/>
      <c r="S45" s="3"/>
      <c r="T45" s="3"/>
      <c r="U45" s="3"/>
      <c r="V45" s="3"/>
      <c r="W45" s="3"/>
      <c r="X45" s="3"/>
      <c r="Y45" s="3"/>
      <c r="Z45" s="3"/>
      <c r="AA45" s="3"/>
      <c r="AB45" s="6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6"/>
      <c r="AT45" s="38">
        <f>Y15b!C44</f>
        <v>0</v>
      </c>
      <c r="AU45" s="38">
        <f>Y16a!C44</f>
        <v>0</v>
      </c>
      <c r="AV45" s="38">
        <f>Y16b!C44</f>
        <v>0</v>
      </c>
      <c r="AW45" s="38">
        <f>Y17a!C44</f>
        <v>0</v>
      </c>
      <c r="AX45" s="38">
        <f>Y17b!C44</f>
        <v>12</v>
      </c>
      <c r="AY45" s="38">
        <f>Y18a!C44</f>
        <v>0</v>
      </c>
      <c r="AZ45" s="38">
        <f>Y18b!C44</f>
        <v>115</v>
      </c>
      <c r="BA45" s="38">
        <f>Y19a!C44</f>
        <v>248</v>
      </c>
      <c r="BB45" s="38">
        <f>Y19b!C36</f>
        <v>6645</v>
      </c>
      <c r="BC45" s="242">
        <f>Y20a!C33</f>
        <v>7869</v>
      </c>
      <c r="BD45" s="242">
        <f>Y20b!C33</f>
        <v>22260</v>
      </c>
      <c r="BE45" s="6">
        <f>Y21a!C30</f>
        <v>15000</v>
      </c>
      <c r="BF45" s="6"/>
      <c r="BG45" s="6"/>
      <c r="BH45" s="237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39"/>
      <c r="BU45" s="32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>
        <f>ROUND($J$45*AT45,0)</f>
        <v>0</v>
      </c>
      <c r="CL45" s="39">
        <f>ROUND($K$45*AU45,0)</f>
        <v>0</v>
      </c>
      <c r="CM45" s="39">
        <f>ROUND($K$45*AV45,0)</f>
        <v>0</v>
      </c>
      <c r="CN45" s="39">
        <f>ROUND($L$45*AW45,0)</f>
        <v>0</v>
      </c>
      <c r="CO45" s="39">
        <f>ROUND($L$45*AX45,0)</f>
        <v>-9</v>
      </c>
      <c r="CP45" s="39">
        <f>ROUND($L$45*AY45,0)</f>
        <v>0</v>
      </c>
      <c r="CQ45" s="39">
        <f>ROUND($L$45*AZ45,0)</f>
        <v>-87</v>
      </c>
      <c r="CR45" s="39">
        <f>ROUND($M45*BA45,0)</f>
        <v>-722</v>
      </c>
      <c r="CS45" s="39">
        <f>ROUND($M45*BB45,0)</f>
        <v>-19337</v>
      </c>
      <c r="CT45" s="39">
        <f t="shared" si="25"/>
        <v>-22899</v>
      </c>
      <c r="CU45" s="39">
        <f t="shared" si="26"/>
        <v>-64777</v>
      </c>
      <c r="CV45" s="39">
        <f>ROUND($O45*BE45,0)</f>
        <v>13950</v>
      </c>
      <c r="CW45" s="39"/>
      <c r="CX45" s="39"/>
    </row>
    <row r="46" spans="1:102" x14ac:dyDescent="0.2">
      <c r="A46" t="s">
        <v>509</v>
      </c>
      <c r="B46" s="22"/>
      <c r="C46" s="3"/>
      <c r="D46" s="3"/>
      <c r="E46" s="9"/>
      <c r="F46" s="53"/>
      <c r="G46" s="53"/>
      <c r="H46" s="53"/>
      <c r="I46" s="53"/>
      <c r="J46" s="91"/>
      <c r="K46" s="92"/>
      <c r="L46" s="102"/>
      <c r="M46" s="102">
        <v>0.76</v>
      </c>
      <c r="N46" s="102">
        <v>0.76</v>
      </c>
      <c r="O46" s="102">
        <v>1.0900000000000001</v>
      </c>
      <c r="P46" s="102"/>
      <c r="Q46" s="237"/>
      <c r="R46" s="3"/>
      <c r="S46" s="3"/>
      <c r="T46" s="3"/>
      <c r="U46" s="3"/>
      <c r="V46" s="3"/>
      <c r="W46" s="3"/>
      <c r="X46" s="3"/>
      <c r="Y46" s="3"/>
      <c r="Z46" s="3"/>
      <c r="AA46" s="3"/>
      <c r="AB46" s="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6"/>
      <c r="AT46" s="38"/>
      <c r="AU46" s="38"/>
      <c r="AV46" s="38"/>
      <c r="AW46" s="38"/>
      <c r="AX46" s="38"/>
      <c r="AY46" s="38"/>
      <c r="AZ46" s="38"/>
      <c r="BA46" s="38"/>
      <c r="BB46" s="38"/>
      <c r="BC46" s="242">
        <f>Y20a!C34</f>
        <v>2854</v>
      </c>
      <c r="BD46" s="242">
        <f>Y20b!C34</f>
        <v>6167</v>
      </c>
      <c r="BE46" s="6">
        <f>Y21a!C31</f>
        <v>3750</v>
      </c>
      <c r="BF46" s="6"/>
      <c r="BG46" s="6"/>
      <c r="BH46" s="237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39"/>
      <c r="BU46" s="32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>
        <f t="shared" ref="CK46:CK51" si="28">ROUND($J$45*AT46,0)</f>
        <v>0</v>
      </c>
      <c r="CL46" s="39">
        <f t="shared" ref="CL46:CL51" si="29">ROUND($K$45*AU46,0)</f>
        <v>0</v>
      </c>
      <c r="CM46" s="39">
        <f t="shared" ref="CM46:CM51" si="30">ROUND($K$45*AV46,0)</f>
        <v>0</v>
      </c>
      <c r="CN46" s="39">
        <f t="shared" ref="CN46:CN51" si="31">ROUND($L$45*AW46,0)</f>
        <v>0</v>
      </c>
      <c r="CO46" s="39">
        <f t="shared" ref="CO46:CO51" si="32">ROUND($L$45*AX46,0)</f>
        <v>0</v>
      </c>
      <c r="CP46" s="39">
        <f t="shared" ref="CP46:CP51" si="33">ROUND($L$45*AY46,0)</f>
        <v>0</v>
      </c>
      <c r="CQ46" s="39">
        <f t="shared" ref="CQ46:CQ51" si="34">ROUND($L$45*AZ46,0)</f>
        <v>0</v>
      </c>
      <c r="CR46" s="39">
        <f t="shared" ref="CR46:CR51" si="35">ROUND($M46*BA46,0)</f>
        <v>0</v>
      </c>
      <c r="CS46" s="39">
        <f t="shared" ref="CS46:CS51" si="36">ROUND($M46*BB46,0)</f>
        <v>0</v>
      </c>
      <c r="CT46" s="39">
        <f t="shared" si="25"/>
        <v>2169</v>
      </c>
      <c r="CU46" s="39">
        <f t="shared" si="26"/>
        <v>4687</v>
      </c>
      <c r="CV46" s="39">
        <f t="shared" si="27"/>
        <v>4088</v>
      </c>
      <c r="CW46" s="39"/>
      <c r="CX46" s="39"/>
    </row>
    <row r="47" spans="1:102" x14ac:dyDescent="0.2">
      <c r="A47" s="108" t="s">
        <v>570</v>
      </c>
      <c r="B47" s="22"/>
      <c r="C47" s="3"/>
      <c r="D47" s="3"/>
      <c r="E47" s="9"/>
      <c r="F47" s="53"/>
      <c r="G47" s="53"/>
      <c r="H47" s="53"/>
      <c r="I47" s="53"/>
      <c r="J47" s="91"/>
      <c r="K47" s="92"/>
      <c r="L47" s="102"/>
      <c r="M47" s="102">
        <v>-9.11</v>
      </c>
      <c r="N47" s="102">
        <v>-9.11</v>
      </c>
      <c r="O47" s="102">
        <v>-3.76</v>
      </c>
      <c r="P47" s="102"/>
      <c r="Q47" s="237"/>
      <c r="R47" s="3"/>
      <c r="S47" s="3"/>
      <c r="T47" s="3"/>
      <c r="U47" s="3"/>
      <c r="V47" s="3"/>
      <c r="W47" s="3"/>
      <c r="X47" s="3"/>
      <c r="Y47" s="3"/>
      <c r="Z47" s="3"/>
      <c r="AA47" s="3"/>
      <c r="AB47" s="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6"/>
      <c r="AT47" s="38"/>
      <c r="AU47" s="38"/>
      <c r="AV47" s="38"/>
      <c r="AW47" s="38"/>
      <c r="AX47" s="38"/>
      <c r="AY47" s="38"/>
      <c r="AZ47" s="38"/>
      <c r="BA47" s="38"/>
      <c r="BB47" s="38"/>
      <c r="BC47" s="242">
        <f>Y20a!C35</f>
        <v>67</v>
      </c>
      <c r="BD47" s="242">
        <f>Y20b!C35</f>
        <v>250</v>
      </c>
      <c r="BE47" s="6">
        <f>Y21a!C32</f>
        <v>402</v>
      </c>
      <c r="BF47" s="6"/>
      <c r="BG47" s="6"/>
      <c r="BH47" s="237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39"/>
      <c r="BU47" s="32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>
        <f t="shared" si="28"/>
        <v>0</v>
      </c>
      <c r="CL47" s="39">
        <f t="shared" si="29"/>
        <v>0</v>
      </c>
      <c r="CM47" s="39">
        <f t="shared" si="30"/>
        <v>0</v>
      </c>
      <c r="CN47" s="39">
        <f t="shared" si="31"/>
        <v>0</v>
      </c>
      <c r="CO47" s="39">
        <f t="shared" si="32"/>
        <v>0</v>
      </c>
      <c r="CP47" s="39">
        <f t="shared" si="33"/>
        <v>0</v>
      </c>
      <c r="CQ47" s="39">
        <f t="shared" si="34"/>
        <v>0</v>
      </c>
      <c r="CR47" s="39">
        <f t="shared" si="35"/>
        <v>0</v>
      </c>
      <c r="CS47" s="39">
        <f t="shared" si="36"/>
        <v>0</v>
      </c>
      <c r="CT47" s="39">
        <f t="shared" si="25"/>
        <v>-610</v>
      </c>
      <c r="CU47" s="39">
        <f t="shared" si="26"/>
        <v>-2278</v>
      </c>
      <c r="CV47" s="39">
        <f>ROUND($O47*BE47,0)</f>
        <v>-1512</v>
      </c>
      <c r="CW47" s="39"/>
      <c r="CX47" s="39"/>
    </row>
    <row r="48" spans="1:102" x14ac:dyDescent="0.2">
      <c r="A48" s="108" t="s">
        <v>571</v>
      </c>
      <c r="B48" s="22"/>
      <c r="C48" s="3"/>
      <c r="D48" s="3"/>
      <c r="E48" s="9"/>
      <c r="F48" s="53"/>
      <c r="G48" s="53"/>
      <c r="H48" s="53"/>
      <c r="I48" s="53"/>
      <c r="J48" s="91"/>
      <c r="K48" s="92"/>
      <c r="L48" s="102"/>
      <c r="M48" s="102">
        <v>7.0000000000000007E-2</v>
      </c>
      <c r="N48" s="102">
        <v>7.0000000000000007E-2</v>
      </c>
      <c r="O48" s="102">
        <v>0.26</v>
      </c>
      <c r="P48" s="102"/>
      <c r="Q48" s="237"/>
      <c r="R48" s="3"/>
      <c r="S48" s="3"/>
      <c r="T48" s="3"/>
      <c r="U48" s="3"/>
      <c r="V48" s="3"/>
      <c r="W48" s="3"/>
      <c r="X48" s="3"/>
      <c r="Y48" s="3"/>
      <c r="Z48" s="3"/>
      <c r="AA48" s="3"/>
      <c r="AB48" s="6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6"/>
      <c r="AT48" s="38"/>
      <c r="AU48" s="38"/>
      <c r="AV48" s="38"/>
      <c r="AW48" s="38"/>
      <c r="AX48" s="38"/>
      <c r="AY48" s="38"/>
      <c r="AZ48" s="38"/>
      <c r="BA48" s="38"/>
      <c r="BB48" s="38"/>
      <c r="BC48" s="242">
        <f>Y20a!C36</f>
        <v>48</v>
      </c>
      <c r="BD48" s="242">
        <f>Y20b!C36</f>
        <v>225</v>
      </c>
      <c r="BE48" s="6">
        <f>Y21a!C33</f>
        <v>102</v>
      </c>
      <c r="BF48" s="6"/>
      <c r="BG48" s="6"/>
      <c r="BH48" s="237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39"/>
      <c r="BU48" s="32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>
        <f t="shared" si="28"/>
        <v>0</v>
      </c>
      <c r="CL48" s="39">
        <f t="shared" si="29"/>
        <v>0</v>
      </c>
      <c r="CM48" s="39">
        <f t="shared" si="30"/>
        <v>0</v>
      </c>
      <c r="CN48" s="39">
        <f t="shared" si="31"/>
        <v>0</v>
      </c>
      <c r="CO48" s="39">
        <f t="shared" si="32"/>
        <v>0</v>
      </c>
      <c r="CP48" s="39">
        <f t="shared" si="33"/>
        <v>0</v>
      </c>
      <c r="CQ48" s="39">
        <f t="shared" si="34"/>
        <v>0</v>
      </c>
      <c r="CR48" s="39">
        <f t="shared" si="35"/>
        <v>0</v>
      </c>
      <c r="CS48" s="39">
        <f t="shared" si="36"/>
        <v>0</v>
      </c>
      <c r="CT48" s="39">
        <f t="shared" si="25"/>
        <v>3</v>
      </c>
      <c r="CU48" s="39">
        <f t="shared" si="26"/>
        <v>16</v>
      </c>
      <c r="CV48" s="39">
        <f t="shared" si="27"/>
        <v>27</v>
      </c>
      <c r="CW48" s="39"/>
      <c r="CX48" s="39"/>
    </row>
    <row r="49" spans="1:102" x14ac:dyDescent="0.2">
      <c r="A49" s="108" t="s">
        <v>572</v>
      </c>
      <c r="B49" s="22"/>
      <c r="C49" s="3"/>
      <c r="D49" s="3"/>
      <c r="E49" s="9"/>
      <c r="F49" s="53"/>
      <c r="G49" s="53"/>
      <c r="H49" s="53"/>
      <c r="I49" s="53"/>
      <c r="J49" s="91"/>
      <c r="K49" s="92"/>
      <c r="L49" s="102"/>
      <c r="M49" s="102">
        <v>-1.2</v>
      </c>
      <c r="N49" s="102">
        <v>-1.2</v>
      </c>
      <c r="O49" s="102">
        <v>-1.2</v>
      </c>
      <c r="P49" s="102"/>
      <c r="Q49" s="237"/>
      <c r="R49" s="3"/>
      <c r="S49" s="3"/>
      <c r="T49" s="3"/>
      <c r="U49" s="3"/>
      <c r="V49" s="3"/>
      <c r="W49" s="3"/>
      <c r="X49" s="3"/>
      <c r="Y49" s="3"/>
      <c r="Z49" s="3"/>
      <c r="AA49" s="3"/>
      <c r="AB49" s="6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6"/>
      <c r="AT49" s="38"/>
      <c r="AU49" s="38"/>
      <c r="AV49" s="38"/>
      <c r="AW49" s="38"/>
      <c r="AX49" s="38"/>
      <c r="AY49" s="38"/>
      <c r="AZ49" s="38"/>
      <c r="BA49" s="38"/>
      <c r="BB49" s="38"/>
      <c r="BC49" s="242">
        <f>Y20a!C37</f>
        <v>52</v>
      </c>
      <c r="BD49" s="242">
        <f>Y20b!C37</f>
        <v>225</v>
      </c>
      <c r="BE49" s="6">
        <v>0</v>
      </c>
      <c r="BF49" s="6"/>
      <c r="BG49" s="6"/>
      <c r="BH49" s="237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39"/>
      <c r="BU49" s="32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>
        <f t="shared" si="28"/>
        <v>0</v>
      </c>
      <c r="CL49" s="39">
        <f t="shared" si="29"/>
        <v>0</v>
      </c>
      <c r="CM49" s="39">
        <f t="shared" si="30"/>
        <v>0</v>
      </c>
      <c r="CN49" s="39">
        <f t="shared" si="31"/>
        <v>0</v>
      </c>
      <c r="CO49" s="39">
        <f t="shared" si="32"/>
        <v>0</v>
      </c>
      <c r="CP49" s="39">
        <f t="shared" si="33"/>
        <v>0</v>
      </c>
      <c r="CQ49" s="39">
        <f t="shared" si="34"/>
        <v>0</v>
      </c>
      <c r="CR49" s="39">
        <f t="shared" si="35"/>
        <v>0</v>
      </c>
      <c r="CS49" s="39">
        <f t="shared" si="36"/>
        <v>0</v>
      </c>
      <c r="CT49" s="39">
        <f t="shared" si="25"/>
        <v>-62</v>
      </c>
      <c r="CU49" s="39">
        <f t="shared" si="26"/>
        <v>-270</v>
      </c>
      <c r="CV49" s="39">
        <f t="shared" si="27"/>
        <v>0</v>
      </c>
      <c r="CW49" s="39"/>
      <c r="CX49" s="39"/>
    </row>
    <row r="50" spans="1:102" x14ac:dyDescent="0.2">
      <c r="A50" s="108" t="s">
        <v>573</v>
      </c>
      <c r="B50" s="22"/>
      <c r="C50" s="3"/>
      <c r="D50" s="3"/>
      <c r="E50" s="9"/>
      <c r="F50" s="53"/>
      <c r="G50" s="53"/>
      <c r="H50" s="53"/>
      <c r="I50" s="53"/>
      <c r="J50" s="91"/>
      <c r="K50" s="92"/>
      <c r="L50" s="102"/>
      <c r="M50" s="102">
        <v>-2.93</v>
      </c>
      <c r="N50" s="102">
        <v>-2.93</v>
      </c>
      <c r="O50" s="102">
        <v>-2.93</v>
      </c>
      <c r="P50" s="102"/>
      <c r="Q50" s="237"/>
      <c r="R50" s="3"/>
      <c r="S50" s="3"/>
      <c r="T50" s="3"/>
      <c r="U50" s="3"/>
      <c r="V50" s="3"/>
      <c r="W50" s="3"/>
      <c r="X50" s="3"/>
      <c r="Y50" s="3"/>
      <c r="Z50" s="3"/>
      <c r="AA50" s="3"/>
      <c r="AB50" s="6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6"/>
      <c r="AT50" s="38"/>
      <c r="AU50" s="38"/>
      <c r="AV50" s="38"/>
      <c r="AW50" s="38"/>
      <c r="AX50" s="38"/>
      <c r="AY50" s="38"/>
      <c r="AZ50" s="38"/>
      <c r="BA50" s="38"/>
      <c r="BB50" s="38"/>
      <c r="BC50" s="242">
        <f>Y20a!C38</f>
        <v>7</v>
      </c>
      <c r="BD50" s="242">
        <f>Y20b!C38</f>
        <v>35</v>
      </c>
      <c r="BE50" s="6">
        <v>0</v>
      </c>
      <c r="BF50" s="6"/>
      <c r="BG50" s="6"/>
      <c r="BH50" s="237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39"/>
      <c r="BU50" s="32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>
        <f t="shared" si="28"/>
        <v>0</v>
      </c>
      <c r="CL50" s="39">
        <f t="shared" si="29"/>
        <v>0</v>
      </c>
      <c r="CM50" s="39">
        <f t="shared" si="30"/>
        <v>0</v>
      </c>
      <c r="CN50" s="39">
        <f t="shared" si="31"/>
        <v>0</v>
      </c>
      <c r="CO50" s="39">
        <f t="shared" si="32"/>
        <v>0</v>
      </c>
      <c r="CP50" s="39">
        <f t="shared" si="33"/>
        <v>0</v>
      </c>
      <c r="CQ50" s="39">
        <f t="shared" si="34"/>
        <v>0</v>
      </c>
      <c r="CR50" s="39">
        <f t="shared" si="35"/>
        <v>0</v>
      </c>
      <c r="CS50" s="39">
        <f t="shared" si="36"/>
        <v>0</v>
      </c>
      <c r="CT50" s="39">
        <f t="shared" si="25"/>
        <v>-21</v>
      </c>
      <c r="CU50" s="39">
        <f t="shared" si="26"/>
        <v>-103</v>
      </c>
      <c r="CV50" s="39">
        <f t="shared" si="27"/>
        <v>0</v>
      </c>
      <c r="CW50" s="39"/>
      <c r="CX50" s="39"/>
    </row>
    <row r="51" spans="1:102" x14ac:dyDescent="0.2">
      <c r="A51" s="108" t="s">
        <v>574</v>
      </c>
      <c r="B51" s="22"/>
      <c r="C51" s="3"/>
      <c r="D51" s="3"/>
      <c r="E51" s="9"/>
      <c r="F51" s="53"/>
      <c r="G51" s="53"/>
      <c r="H51" s="53"/>
      <c r="I51" s="53"/>
      <c r="J51" s="91"/>
      <c r="K51" s="92"/>
      <c r="L51" s="102"/>
      <c r="M51" s="102">
        <v>3.54</v>
      </c>
      <c r="N51" s="102">
        <v>3.54</v>
      </c>
      <c r="O51" s="102">
        <v>3.54</v>
      </c>
      <c r="P51" s="102"/>
      <c r="Q51" s="237"/>
      <c r="R51" s="3"/>
      <c r="S51" s="3"/>
      <c r="T51" s="3"/>
      <c r="U51" s="3"/>
      <c r="V51" s="3"/>
      <c r="W51" s="3"/>
      <c r="X51" s="3"/>
      <c r="Y51" s="3"/>
      <c r="Z51" s="3"/>
      <c r="AA51" s="3"/>
      <c r="AB51" s="6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6"/>
      <c r="AT51" s="38"/>
      <c r="AU51" s="38"/>
      <c r="AV51" s="38"/>
      <c r="AW51" s="38"/>
      <c r="AX51" s="38"/>
      <c r="AY51" s="38"/>
      <c r="AZ51" s="38"/>
      <c r="BA51" s="38"/>
      <c r="BB51" s="38"/>
      <c r="BC51" s="242">
        <f>Y20a!C39</f>
        <v>1</v>
      </c>
      <c r="BD51" s="242">
        <f>Y20b!C39</f>
        <v>5</v>
      </c>
      <c r="BE51" s="6">
        <v>0</v>
      </c>
      <c r="BF51" s="6"/>
      <c r="BG51" s="6"/>
      <c r="BH51" s="237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39"/>
      <c r="BU51" s="32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>
        <f t="shared" si="28"/>
        <v>0</v>
      </c>
      <c r="CL51" s="39">
        <f t="shared" si="29"/>
        <v>0</v>
      </c>
      <c r="CM51" s="39">
        <f t="shared" si="30"/>
        <v>0</v>
      </c>
      <c r="CN51" s="39">
        <f t="shared" si="31"/>
        <v>0</v>
      </c>
      <c r="CO51" s="39">
        <f t="shared" si="32"/>
        <v>0</v>
      </c>
      <c r="CP51" s="39">
        <f t="shared" si="33"/>
        <v>0</v>
      </c>
      <c r="CQ51" s="39">
        <f t="shared" si="34"/>
        <v>0</v>
      </c>
      <c r="CR51" s="39">
        <f t="shared" si="35"/>
        <v>0</v>
      </c>
      <c r="CS51" s="39">
        <f t="shared" si="36"/>
        <v>0</v>
      </c>
      <c r="CT51" s="39">
        <f t="shared" si="25"/>
        <v>4</v>
      </c>
      <c r="CU51" s="39">
        <f t="shared" si="26"/>
        <v>18</v>
      </c>
      <c r="CV51" s="39">
        <f t="shared" si="27"/>
        <v>0</v>
      </c>
      <c r="CW51" s="39"/>
      <c r="CX51" s="39"/>
    </row>
    <row r="52" spans="1:102" x14ac:dyDescent="0.2">
      <c r="A52" s="108" t="s">
        <v>575</v>
      </c>
      <c r="B52" s="22"/>
      <c r="C52" s="3"/>
      <c r="D52" s="3"/>
      <c r="E52" s="9"/>
      <c r="F52" s="53"/>
      <c r="G52" s="53"/>
      <c r="H52" s="53"/>
      <c r="I52" s="53"/>
      <c r="J52" s="91"/>
      <c r="K52" s="92"/>
      <c r="L52" s="102"/>
      <c r="M52" s="102"/>
      <c r="N52" s="102"/>
      <c r="O52" s="102">
        <v>1.25</v>
      </c>
      <c r="P52" s="102"/>
      <c r="Q52" s="237"/>
      <c r="R52" s="3"/>
      <c r="S52" s="3"/>
      <c r="T52" s="3"/>
      <c r="U52" s="3"/>
      <c r="V52" s="3"/>
      <c r="W52" s="3"/>
      <c r="X52" s="3"/>
      <c r="Y52" s="3"/>
      <c r="Z52" s="3"/>
      <c r="AA52" s="3"/>
      <c r="AB52" s="6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6"/>
      <c r="AT52" s="38"/>
      <c r="AU52" s="38"/>
      <c r="AV52" s="38"/>
      <c r="AW52" s="38"/>
      <c r="AX52" s="38"/>
      <c r="AY52" s="38"/>
      <c r="AZ52" s="38"/>
      <c r="BA52" s="38"/>
      <c r="BB52" s="38"/>
      <c r="BC52" s="242"/>
      <c r="BD52" s="242"/>
      <c r="BE52" s="6">
        <f>Y21a!C34</f>
        <v>24</v>
      </c>
      <c r="BF52" s="6"/>
      <c r="BG52" s="6"/>
      <c r="BH52" s="237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39"/>
      <c r="BU52" s="32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>
        <f t="shared" si="27"/>
        <v>30</v>
      </c>
      <c r="CW52" s="39"/>
      <c r="CX52" s="39"/>
    </row>
    <row r="53" spans="1:102" x14ac:dyDescent="0.2">
      <c r="B53" s="22"/>
      <c r="C53" s="3"/>
      <c r="D53" s="3"/>
      <c r="E53" s="9"/>
      <c r="F53" s="53"/>
      <c r="G53" s="53"/>
      <c r="H53" s="53"/>
      <c r="I53" s="53"/>
      <c r="J53" s="91"/>
      <c r="K53" s="92"/>
      <c r="L53" s="102"/>
      <c r="M53" s="102"/>
      <c r="N53" s="102"/>
      <c r="O53" s="244"/>
      <c r="P53" s="102"/>
      <c r="Q53" s="237"/>
      <c r="R53" s="3"/>
      <c r="S53" s="3"/>
      <c r="T53" s="3"/>
      <c r="U53" s="3"/>
      <c r="V53" s="3"/>
      <c r="W53" s="3"/>
      <c r="X53" s="3"/>
      <c r="Y53" s="3"/>
      <c r="Z53" s="3"/>
      <c r="AA53" s="3"/>
      <c r="AB53" s="6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6"/>
      <c r="AT53" s="38"/>
      <c r="AU53" s="38"/>
      <c r="AV53" s="38"/>
      <c r="AW53" s="38"/>
      <c r="AX53" s="38"/>
      <c r="AY53" s="38"/>
      <c r="AZ53" s="38"/>
      <c r="BA53" s="38"/>
      <c r="BB53" s="38"/>
      <c r="BC53" s="242"/>
      <c r="BD53" s="242"/>
      <c r="BE53" s="6"/>
      <c r="BF53" s="6"/>
      <c r="BG53" s="6"/>
      <c r="BH53" s="237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39"/>
      <c r="BU53" s="32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x14ac:dyDescent="0.2">
      <c r="A54" s="22"/>
      <c r="B54" s="22"/>
      <c r="C54" s="3"/>
      <c r="D54" s="3"/>
      <c r="E54" s="9"/>
      <c r="F54" s="53"/>
      <c r="G54" s="53"/>
      <c r="H54" s="53"/>
      <c r="I54" s="53"/>
      <c r="J54" s="91"/>
      <c r="K54" s="92"/>
      <c r="L54" s="102"/>
      <c r="M54" s="102"/>
      <c r="N54" s="102"/>
      <c r="O54" s="244"/>
      <c r="P54" s="102"/>
      <c r="Q54" s="237"/>
      <c r="R54" s="3"/>
      <c r="S54" s="3"/>
      <c r="T54" s="3"/>
      <c r="U54" s="3"/>
      <c r="V54" s="3"/>
      <c r="W54" s="3"/>
      <c r="X54" s="3"/>
      <c r="Y54" s="3"/>
      <c r="Z54" s="3"/>
      <c r="AA54" s="3"/>
      <c r="AB54" s="6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6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237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39"/>
      <c r="BU54" s="32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2" x14ac:dyDescent="0.2">
      <c r="A55" s="22" t="s">
        <v>388</v>
      </c>
      <c r="B55" s="22"/>
      <c r="C55" s="3"/>
      <c r="D55" s="3"/>
      <c r="E55" s="9"/>
      <c r="F55" s="53"/>
      <c r="G55" s="53"/>
      <c r="H55" s="53"/>
      <c r="I55" s="53"/>
      <c r="J55" s="91"/>
      <c r="K55" s="92"/>
      <c r="L55" s="102"/>
      <c r="M55" s="102"/>
      <c r="N55" s="102"/>
      <c r="O55" s="244"/>
      <c r="P55" s="102"/>
      <c r="Q55" s="237"/>
      <c r="R55" s="3"/>
      <c r="S55" s="3"/>
      <c r="T55" s="3"/>
      <c r="U55" s="3"/>
      <c r="V55" s="3"/>
      <c r="W55" s="3"/>
      <c r="X55" s="3"/>
      <c r="Y55" s="3"/>
      <c r="Z55" s="3"/>
      <c r="AA55" s="3"/>
      <c r="AB55" s="6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6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237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39"/>
      <c r="BU55" s="32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</row>
    <row r="56" spans="1:102" x14ac:dyDescent="0.2">
      <c r="A56" s="22" t="s">
        <v>242</v>
      </c>
      <c r="B56" s="22"/>
      <c r="C56" s="3"/>
      <c r="D56" s="3"/>
      <c r="E56" s="9"/>
      <c r="F56" s="53"/>
      <c r="G56" s="53"/>
      <c r="H56" s="53"/>
      <c r="I56" s="53"/>
      <c r="J56" s="91">
        <v>1.31</v>
      </c>
      <c r="K56" s="92">
        <v>1.31</v>
      </c>
      <c r="L56" s="102">
        <v>-5.36</v>
      </c>
      <c r="M56" s="102" t="s">
        <v>38</v>
      </c>
      <c r="N56" s="102" t="s">
        <v>38</v>
      </c>
      <c r="O56" s="102" t="s">
        <v>38</v>
      </c>
      <c r="P56" s="102"/>
      <c r="Q56" s="237"/>
      <c r="R56" s="3"/>
      <c r="S56" s="3"/>
      <c r="T56" s="3"/>
      <c r="U56" s="3"/>
      <c r="V56" s="3"/>
      <c r="W56" s="3"/>
      <c r="X56" s="3"/>
      <c r="Y56" s="3"/>
      <c r="Z56" s="3"/>
      <c r="AA56" s="3"/>
      <c r="AB56" s="6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6"/>
      <c r="AT56" s="38">
        <f>Y15b!C47</f>
        <v>0</v>
      </c>
      <c r="AU56" s="38">
        <f>Y16a!C47</f>
        <v>64</v>
      </c>
      <c r="AV56" s="38">
        <f>Y16b!C47</f>
        <v>168</v>
      </c>
      <c r="AW56" s="38">
        <f>Y17a!C47</f>
        <v>147</v>
      </c>
      <c r="AX56" s="38">
        <f>Y17b!C47</f>
        <v>75</v>
      </c>
      <c r="AY56" s="38">
        <f>Y18a!C47</f>
        <v>0</v>
      </c>
      <c r="AZ56" s="38">
        <f>Y18b!C47</f>
        <v>0</v>
      </c>
      <c r="BA56" s="38">
        <f>Y19a!C47</f>
        <v>0</v>
      </c>
      <c r="BB56" s="38">
        <f>Y19b!C39</f>
        <v>0</v>
      </c>
      <c r="BC56" s="242">
        <f>+Y20a!C48</f>
        <v>0</v>
      </c>
      <c r="BD56" s="242">
        <f>Y20b!C42</f>
        <v>0</v>
      </c>
      <c r="BE56" s="6">
        <v>0</v>
      </c>
      <c r="BF56" s="6"/>
      <c r="BG56" s="6"/>
      <c r="BH56" s="237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39"/>
      <c r="BU56" s="32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>
        <f>ROUND($J$56*AT56,0)</f>
        <v>0</v>
      </c>
      <c r="CL56" s="39">
        <f>ROUND($K$56*AU56,0)</f>
        <v>84</v>
      </c>
      <c r="CM56" s="39">
        <f>ROUND($K$56*AV56,0)</f>
        <v>220</v>
      </c>
      <c r="CN56" s="39">
        <f>ROUND($L$56*AW56,0)</f>
        <v>-788</v>
      </c>
      <c r="CO56" s="39">
        <f>ROUND($L$56*AX56,0)</f>
        <v>-402</v>
      </c>
      <c r="CP56" s="39">
        <f>ROUND($L$56*AY56,0)</f>
        <v>0</v>
      </c>
      <c r="CQ56" s="39">
        <f>ROUND($L$56*AZ56,0)</f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/>
      <c r="CX56" s="39"/>
    </row>
    <row r="57" spans="1:102" x14ac:dyDescent="0.2">
      <c r="A57" s="22" t="s">
        <v>241</v>
      </c>
      <c r="B57" s="22"/>
      <c r="C57" s="3"/>
      <c r="D57" s="3"/>
      <c r="E57" s="9"/>
      <c r="F57" s="53"/>
      <c r="G57" s="53"/>
      <c r="H57" s="53"/>
      <c r="I57" s="53"/>
      <c r="J57" s="91">
        <v>11.38</v>
      </c>
      <c r="K57" s="92">
        <v>11.38</v>
      </c>
      <c r="L57" s="102">
        <v>-0.78</v>
      </c>
      <c r="M57" s="102" t="s">
        <v>38</v>
      </c>
      <c r="N57" s="102" t="s">
        <v>38</v>
      </c>
      <c r="O57" s="102" t="s">
        <v>38</v>
      </c>
      <c r="P57" s="102"/>
      <c r="Q57" s="237"/>
      <c r="R57" s="3"/>
      <c r="S57" s="3"/>
      <c r="T57" s="3"/>
      <c r="U57" s="3"/>
      <c r="V57" s="3"/>
      <c r="W57" s="3"/>
      <c r="X57" s="3"/>
      <c r="Y57" s="3"/>
      <c r="Z57" s="3"/>
      <c r="AA57" s="3"/>
      <c r="AB57" s="6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6"/>
      <c r="AT57" s="38">
        <f>Y15b!C48</f>
        <v>28</v>
      </c>
      <c r="AU57" s="38">
        <f>Y16a!C48</f>
        <v>290</v>
      </c>
      <c r="AV57" s="38">
        <f>Y16b!C48</f>
        <v>440</v>
      </c>
      <c r="AW57" s="38">
        <f>Y17a!C48</f>
        <v>324</v>
      </c>
      <c r="AX57" s="38">
        <f>Y17b!C48</f>
        <v>458</v>
      </c>
      <c r="AY57" s="38">
        <f>Y18a!C48</f>
        <v>69</v>
      </c>
      <c r="AZ57" s="38">
        <f>Y18b!C48</f>
        <v>87</v>
      </c>
      <c r="BA57" s="38">
        <f>Y19a!C48</f>
        <v>52</v>
      </c>
      <c r="BB57" s="38">
        <f>Y19b!C40</f>
        <v>162</v>
      </c>
      <c r="BC57" s="242">
        <f>+Y20a!C49</f>
        <v>0</v>
      </c>
      <c r="BD57" s="242">
        <f>Y20b!C43</f>
        <v>0</v>
      </c>
      <c r="BE57" s="6">
        <v>0</v>
      </c>
      <c r="BF57" s="6"/>
      <c r="BG57" s="6"/>
      <c r="BH57" s="237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39"/>
      <c r="BU57" s="32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>
        <f>ROUND($J$57*AT57,0)</f>
        <v>319</v>
      </c>
      <c r="CL57" s="39">
        <f>ROUND($K$57*AU57,0)</f>
        <v>3300</v>
      </c>
      <c r="CM57" s="39">
        <f>ROUND($K$57*AV57,0)</f>
        <v>5007</v>
      </c>
      <c r="CN57" s="39">
        <f>ROUND($L$57*AW57,0)</f>
        <v>-253</v>
      </c>
      <c r="CO57" s="39">
        <f>ROUND($L$57*AX57,0)</f>
        <v>-357</v>
      </c>
      <c r="CP57" s="39">
        <f>ROUND($L$57*AY57,0)</f>
        <v>-54</v>
      </c>
      <c r="CQ57" s="39">
        <f>ROUND($L$57*AZ57,0)</f>
        <v>-68</v>
      </c>
      <c r="CR57" s="39">
        <v>0</v>
      </c>
      <c r="CS57" s="39">
        <v>0</v>
      </c>
      <c r="CT57" s="39">
        <v>0</v>
      </c>
      <c r="CU57" s="39">
        <v>0</v>
      </c>
      <c r="CV57" s="39">
        <v>0</v>
      </c>
      <c r="CW57" s="39"/>
      <c r="CX57" s="39"/>
    </row>
    <row r="58" spans="1:102" x14ac:dyDescent="0.2">
      <c r="A58" s="22"/>
      <c r="B58" s="22"/>
      <c r="C58" s="3"/>
      <c r="D58" s="3"/>
      <c r="E58" s="9"/>
      <c r="F58" s="53"/>
      <c r="G58" s="53"/>
      <c r="H58" s="53"/>
      <c r="I58" s="53"/>
      <c r="J58" s="91"/>
      <c r="K58" s="92"/>
      <c r="L58" s="102"/>
      <c r="M58" s="102"/>
      <c r="N58" s="102"/>
      <c r="O58" s="244"/>
      <c r="P58" s="102"/>
      <c r="Q58" s="237"/>
      <c r="R58" s="3"/>
      <c r="S58" s="3"/>
      <c r="T58" s="3"/>
      <c r="U58" s="3"/>
      <c r="V58" s="3"/>
      <c r="W58" s="3"/>
      <c r="X58" s="3"/>
      <c r="Y58" s="3"/>
      <c r="Z58" s="3"/>
      <c r="AA58" s="3"/>
      <c r="AB58" s="6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6"/>
      <c r="AT58" s="38"/>
      <c r="AU58" s="6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237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39"/>
      <c r="BU58" s="32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</row>
    <row r="59" spans="1:102" x14ac:dyDescent="0.2">
      <c r="A59" s="22" t="s">
        <v>391</v>
      </c>
      <c r="B59" s="22"/>
      <c r="C59" s="3"/>
      <c r="D59" s="3"/>
      <c r="E59" s="9"/>
      <c r="F59" s="53"/>
      <c r="G59" s="53"/>
      <c r="H59" s="53"/>
      <c r="I59" s="53"/>
      <c r="J59" s="91"/>
      <c r="K59" s="92"/>
      <c r="L59" s="102"/>
      <c r="M59" s="102"/>
      <c r="N59" s="102"/>
      <c r="O59" s="244"/>
      <c r="P59" s="102"/>
      <c r="Q59" s="237"/>
      <c r="R59" s="3"/>
      <c r="S59" s="3"/>
      <c r="T59" s="3"/>
      <c r="U59" s="3"/>
      <c r="V59" s="3"/>
      <c r="W59" s="3"/>
      <c r="X59" s="3"/>
      <c r="Y59" s="3"/>
      <c r="Z59" s="3"/>
      <c r="AA59" s="3"/>
      <c r="AB59" s="6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6"/>
      <c r="AT59" s="38"/>
      <c r="AU59" s="6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237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39"/>
      <c r="BU59" s="32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102" x14ac:dyDescent="0.2">
      <c r="A60" t="s">
        <v>208</v>
      </c>
      <c r="B60" s="22"/>
      <c r="C60" s="3"/>
      <c r="D60" s="3"/>
      <c r="E60" s="9"/>
      <c r="F60" s="53"/>
      <c r="G60" s="53"/>
      <c r="H60" s="53"/>
      <c r="I60" s="53"/>
      <c r="J60" s="91">
        <v>0</v>
      </c>
      <c r="K60" s="92">
        <v>0</v>
      </c>
      <c r="L60" s="92">
        <v>0</v>
      </c>
      <c r="M60" s="92">
        <v>0</v>
      </c>
      <c r="N60" s="102">
        <v>0</v>
      </c>
      <c r="O60" s="102">
        <v>0</v>
      </c>
      <c r="P60" s="92"/>
      <c r="Q60" s="237"/>
      <c r="R60" s="3"/>
      <c r="S60" s="3"/>
      <c r="T60" s="3"/>
      <c r="U60" s="3"/>
      <c r="V60" s="3"/>
      <c r="W60" s="3"/>
      <c r="X60" s="3"/>
      <c r="Y60" s="3"/>
      <c r="Z60" s="3"/>
      <c r="AA60" s="3"/>
      <c r="AB60" s="6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6"/>
      <c r="AT60" s="38"/>
      <c r="AU60" s="6">
        <f>Y16a!C51</f>
        <v>0</v>
      </c>
      <c r="AV60" s="38">
        <f>Y16b!C51</f>
        <v>6</v>
      </c>
      <c r="AW60" s="38">
        <f>Y17a!C51</f>
        <v>36</v>
      </c>
      <c r="AX60" s="38">
        <f>Y17b!C51</f>
        <v>23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/>
      <c r="BG60" s="38"/>
      <c r="BH60" s="237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39"/>
      <c r="BU60" s="32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>
        <f>ROUND($K$60*AU60,0)</f>
        <v>0</v>
      </c>
      <c r="CM60" s="39">
        <f>ROUND($K$60*AV60,0)</f>
        <v>0</v>
      </c>
      <c r="CN60" s="39">
        <f>ROUND($L$60*AW60,0)</f>
        <v>0</v>
      </c>
      <c r="CO60" s="39">
        <f>ROUND($L$60*AX60,0)</f>
        <v>0</v>
      </c>
      <c r="CP60" s="39">
        <f>ROUND($L$60*AY60,0)</f>
        <v>0</v>
      </c>
      <c r="CQ60" s="39">
        <f>ROUND($L$60*AZ60,0)</f>
        <v>0</v>
      </c>
      <c r="CR60" s="39">
        <f>ROUND($M$60*BA60,0)</f>
        <v>0</v>
      </c>
      <c r="CS60" s="39">
        <f>ROUND($M$60*BB60,0)</f>
        <v>0</v>
      </c>
      <c r="CT60" s="39">
        <f>ROUND($M60*BC60,0)</f>
        <v>0</v>
      </c>
      <c r="CU60" s="39">
        <f>ROUND($M60*BD60,0)</f>
        <v>0</v>
      </c>
      <c r="CV60" s="39">
        <f>ROUND($O60*BE60,0)</f>
        <v>0</v>
      </c>
      <c r="CW60" s="39"/>
      <c r="CX60" s="39"/>
    </row>
    <row r="61" spans="1:102" x14ac:dyDescent="0.2">
      <c r="A61" t="s">
        <v>397</v>
      </c>
      <c r="B61" s="22"/>
      <c r="C61" s="3"/>
      <c r="D61" s="3"/>
      <c r="E61" s="9"/>
      <c r="F61" s="53"/>
      <c r="G61" s="53"/>
      <c r="H61" s="53"/>
      <c r="I61" s="53"/>
      <c r="J61" s="91">
        <v>0</v>
      </c>
      <c r="K61" s="92">
        <v>0</v>
      </c>
      <c r="L61" s="92">
        <v>0</v>
      </c>
      <c r="M61" s="92">
        <v>0</v>
      </c>
      <c r="N61" s="102">
        <v>0</v>
      </c>
      <c r="O61" s="102">
        <v>0</v>
      </c>
      <c r="P61" s="92"/>
      <c r="Q61" s="237"/>
      <c r="R61" s="3"/>
      <c r="S61" s="3"/>
      <c r="T61" s="3"/>
      <c r="U61" s="3"/>
      <c r="V61" s="3"/>
      <c r="W61" s="3"/>
      <c r="X61" s="3"/>
      <c r="Y61" s="3"/>
      <c r="Z61" s="3"/>
      <c r="AA61" s="3"/>
      <c r="AB61" s="6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6"/>
      <c r="AT61" s="38"/>
      <c r="AU61" s="6">
        <f>Y16a!C52</f>
        <v>0</v>
      </c>
      <c r="AV61" s="38">
        <f>Y16b!C52</f>
        <v>4</v>
      </c>
      <c r="AW61" s="38">
        <f>Y17a!C52</f>
        <v>32</v>
      </c>
      <c r="AX61" s="38">
        <f>Y17b!C52</f>
        <v>16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/>
      <c r="BG61" s="38"/>
      <c r="BH61" s="237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39"/>
      <c r="BU61" s="32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>
        <f>ROUND($K$61*AU61,0)</f>
        <v>0</v>
      </c>
      <c r="CM61" s="39">
        <f>ROUND($K$61*AV61,0)</f>
        <v>0</v>
      </c>
      <c r="CN61" s="39">
        <f>ROUND($L$61*AW61,0)</f>
        <v>0</v>
      </c>
      <c r="CO61" s="39">
        <f>ROUND($L$61*AX61,0)</f>
        <v>0</v>
      </c>
      <c r="CP61" s="39">
        <f>ROUND($L$61*AY61,0)</f>
        <v>0</v>
      </c>
      <c r="CQ61" s="39">
        <f>ROUND($L$61*AZ61,0)</f>
        <v>0</v>
      </c>
      <c r="CR61" s="39">
        <f>ROUND($M$61*BA61,0)</f>
        <v>0</v>
      </c>
      <c r="CS61" s="39">
        <f>ROUND($M$61*BB61,0)</f>
        <v>0</v>
      </c>
      <c r="CT61" s="39">
        <f>ROUND($M61*BC61,0)</f>
        <v>0</v>
      </c>
      <c r="CU61" s="39">
        <f>ROUND($M61*BD61,0)</f>
        <v>0</v>
      </c>
      <c r="CV61" s="39">
        <f>ROUND($O61*BE61,0)</f>
        <v>0</v>
      </c>
      <c r="CW61" s="39"/>
      <c r="CX61" s="39"/>
    </row>
    <row r="62" spans="1:102" x14ac:dyDescent="0.2">
      <c r="B62" s="22"/>
      <c r="C62" s="3"/>
      <c r="D62" s="3"/>
      <c r="E62" s="9"/>
      <c r="F62" s="53"/>
      <c r="G62" s="53"/>
      <c r="H62" s="53"/>
      <c r="I62" s="53"/>
      <c r="J62" s="91"/>
      <c r="K62" s="92"/>
      <c r="L62" s="102"/>
      <c r="M62" s="102"/>
      <c r="N62" s="102"/>
      <c r="O62" s="244"/>
      <c r="P62" s="92"/>
      <c r="Q62" s="237"/>
      <c r="R62" s="3"/>
      <c r="S62" s="3"/>
      <c r="T62" s="3"/>
      <c r="U62" s="3"/>
      <c r="V62" s="3"/>
      <c r="W62" s="3"/>
      <c r="X62" s="3"/>
      <c r="Y62" s="3"/>
      <c r="Z62" s="3"/>
      <c r="AA62" s="3"/>
      <c r="AB62" s="6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6"/>
      <c r="AT62" s="38"/>
      <c r="AU62" s="6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237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39"/>
      <c r="BU62" s="32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</row>
    <row r="63" spans="1:102" x14ac:dyDescent="0.2">
      <c r="A63" t="s">
        <v>515</v>
      </c>
      <c r="B63" s="22"/>
      <c r="C63" s="3"/>
      <c r="D63" s="3"/>
      <c r="E63" s="9"/>
      <c r="F63" s="53"/>
      <c r="G63" s="53"/>
      <c r="H63" s="53"/>
      <c r="I63" s="53"/>
      <c r="J63" s="91"/>
      <c r="K63" s="92"/>
      <c r="L63" s="102"/>
      <c r="M63" s="102">
        <v>0.54</v>
      </c>
      <c r="N63" s="102">
        <v>0.54</v>
      </c>
      <c r="O63" s="102">
        <v>1.1399999999999999</v>
      </c>
      <c r="P63" s="102"/>
      <c r="Q63" s="237"/>
      <c r="R63" s="3"/>
      <c r="S63" s="3"/>
      <c r="T63" s="3"/>
      <c r="U63" s="3"/>
      <c r="V63" s="3"/>
      <c r="W63" s="3"/>
      <c r="X63" s="3"/>
      <c r="Y63" s="3"/>
      <c r="Z63" s="3"/>
      <c r="AA63" s="3"/>
      <c r="AB63" s="6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6"/>
      <c r="AT63" s="38"/>
      <c r="AU63" s="38"/>
      <c r="AV63" s="38"/>
      <c r="AW63" s="38"/>
      <c r="AX63" s="38"/>
      <c r="AY63" s="38"/>
      <c r="AZ63" s="38"/>
      <c r="BA63" s="38"/>
      <c r="BB63" s="38"/>
      <c r="BC63" s="242">
        <f>Y20a!C53</f>
        <v>30000</v>
      </c>
      <c r="BD63" s="242">
        <f>Y20b!C53</f>
        <v>0</v>
      </c>
      <c r="BE63" s="6">
        <f>Y21a!C48</f>
        <v>30000</v>
      </c>
      <c r="BF63" s="6"/>
      <c r="BG63" s="6"/>
      <c r="BH63" s="237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39"/>
      <c r="BU63" s="32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>
        <f t="shared" ref="CK63:CK65" si="37">ROUND($J$45*AT63,0)</f>
        <v>0</v>
      </c>
      <c r="CL63" s="39">
        <f t="shared" ref="CL63:CL65" si="38">ROUND($K$45*AU63,0)</f>
        <v>0</v>
      </c>
      <c r="CM63" s="39">
        <f t="shared" ref="CM63:CM65" si="39">ROUND($K$45*AV63,0)</f>
        <v>0</v>
      </c>
      <c r="CN63" s="39">
        <f t="shared" ref="CN63:CN65" si="40">ROUND($L$45*AW63,0)</f>
        <v>0</v>
      </c>
      <c r="CO63" s="39">
        <f t="shared" ref="CO63:CO65" si="41">ROUND($L$45*AX63,0)</f>
        <v>0</v>
      </c>
      <c r="CP63" s="39">
        <f t="shared" ref="CP63:CP65" si="42">ROUND($L$45*AY63,0)</f>
        <v>0</v>
      </c>
      <c r="CQ63" s="39">
        <f t="shared" ref="CQ63:CQ65" si="43">ROUND($L$45*AZ63,0)</f>
        <v>0</v>
      </c>
      <c r="CR63" s="39">
        <f t="shared" ref="CR63:CS65" si="44">ROUND($M$45*BA63,0)</f>
        <v>0</v>
      </c>
      <c r="CS63" s="39">
        <f t="shared" si="44"/>
        <v>0</v>
      </c>
      <c r="CT63" s="39">
        <f>ROUND($N63*BC63,0)</f>
        <v>16200</v>
      </c>
      <c r="CU63" s="39">
        <f>ROUND($N63*BD63,0)</f>
        <v>0</v>
      </c>
      <c r="CV63" s="39">
        <f>ROUND($O63*BE63,0)</f>
        <v>34200</v>
      </c>
      <c r="CW63" s="39"/>
      <c r="CX63" s="39"/>
    </row>
    <row r="64" spans="1:102" x14ac:dyDescent="0.2">
      <c r="B64" s="22"/>
      <c r="C64" s="3"/>
      <c r="D64" s="3"/>
      <c r="E64" s="9"/>
      <c r="F64" s="53"/>
      <c r="G64" s="53"/>
      <c r="H64" s="53"/>
      <c r="I64" s="53"/>
      <c r="J64" s="91"/>
      <c r="K64" s="92"/>
      <c r="L64" s="102"/>
      <c r="M64" s="102"/>
      <c r="N64" s="102"/>
      <c r="O64" s="244"/>
      <c r="P64" s="102"/>
      <c r="Q64" s="237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6"/>
      <c r="AT64" s="38"/>
      <c r="AU64" s="38"/>
      <c r="AV64" s="38"/>
      <c r="AW64" s="38"/>
      <c r="AX64" s="38"/>
      <c r="AY64" s="38"/>
      <c r="AZ64" s="38"/>
      <c r="BA64" s="38"/>
      <c r="BB64" s="38"/>
      <c r="BC64" s="242"/>
      <c r="BD64" s="242"/>
      <c r="BE64" s="6"/>
      <c r="BF64" s="6"/>
      <c r="BG64" s="6"/>
      <c r="BH64" s="237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39"/>
      <c r="BU64" s="32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>
        <f t="shared" si="37"/>
        <v>0</v>
      </c>
      <c r="CL64" s="39">
        <f t="shared" si="38"/>
        <v>0</v>
      </c>
      <c r="CM64" s="39">
        <f t="shared" si="39"/>
        <v>0</v>
      </c>
      <c r="CN64" s="39">
        <f t="shared" si="40"/>
        <v>0</v>
      </c>
      <c r="CO64" s="39">
        <f t="shared" si="41"/>
        <v>0</v>
      </c>
      <c r="CP64" s="39">
        <f t="shared" si="42"/>
        <v>0</v>
      </c>
      <c r="CQ64" s="39">
        <f t="shared" si="43"/>
        <v>0</v>
      </c>
      <c r="CR64" s="39">
        <f t="shared" si="44"/>
        <v>0</v>
      </c>
      <c r="CS64" s="39">
        <f t="shared" si="44"/>
        <v>0</v>
      </c>
      <c r="CT64" s="39">
        <f t="shared" ref="CT64:CU64" si="45">ROUND($M64*BC64,0)</f>
        <v>0</v>
      </c>
      <c r="CU64" s="39">
        <f t="shared" si="45"/>
        <v>0</v>
      </c>
      <c r="CV64" s="39"/>
      <c r="CW64" s="39"/>
      <c r="CX64" s="39"/>
    </row>
    <row r="65" spans="1:102" x14ac:dyDescent="0.2">
      <c r="A65" t="s">
        <v>517</v>
      </c>
      <c r="B65" s="22"/>
      <c r="C65" s="3"/>
      <c r="D65" s="3"/>
      <c r="E65" s="9"/>
      <c r="F65" s="53"/>
      <c r="G65" s="53"/>
      <c r="H65" s="53"/>
      <c r="I65" s="53"/>
      <c r="J65" s="91"/>
      <c r="K65" s="92"/>
      <c r="L65" s="102"/>
      <c r="M65" s="102">
        <v>7.39</v>
      </c>
      <c r="N65" s="102">
        <v>7.39</v>
      </c>
      <c r="O65" s="102">
        <v>1.1200000000000001</v>
      </c>
      <c r="P65" s="102"/>
      <c r="Q65" s="237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6"/>
      <c r="AT65" s="38"/>
      <c r="AU65" s="38"/>
      <c r="AV65" s="38"/>
      <c r="AW65" s="38"/>
      <c r="AX65" s="38"/>
      <c r="AY65" s="38"/>
      <c r="AZ65" s="38"/>
      <c r="BA65" s="38"/>
      <c r="BB65" s="38"/>
      <c r="BC65" s="242">
        <f>Y20a!C56</f>
        <v>136</v>
      </c>
      <c r="BD65" s="242">
        <f>Y20b!C56</f>
        <v>400</v>
      </c>
      <c r="BE65" s="6">
        <f>Y21a!C50</f>
        <v>288</v>
      </c>
      <c r="BF65" s="6"/>
      <c r="BG65" s="6"/>
      <c r="BH65" s="237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39"/>
      <c r="BU65" s="32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>
        <f t="shared" si="37"/>
        <v>0</v>
      </c>
      <c r="CL65" s="39">
        <f t="shared" si="38"/>
        <v>0</v>
      </c>
      <c r="CM65" s="39">
        <f t="shared" si="39"/>
        <v>0</v>
      </c>
      <c r="CN65" s="39">
        <f t="shared" si="40"/>
        <v>0</v>
      </c>
      <c r="CO65" s="39">
        <f t="shared" si="41"/>
        <v>0</v>
      </c>
      <c r="CP65" s="39">
        <f t="shared" si="42"/>
        <v>0</v>
      </c>
      <c r="CQ65" s="39">
        <f t="shared" si="43"/>
        <v>0</v>
      </c>
      <c r="CR65" s="39">
        <f t="shared" si="44"/>
        <v>0</v>
      </c>
      <c r="CS65" s="39">
        <f t="shared" si="44"/>
        <v>0</v>
      </c>
      <c r="CT65" s="39">
        <f>ROUND($N65*BC65,0)</f>
        <v>1005</v>
      </c>
      <c r="CU65" s="39">
        <f>ROUND($N65*BD65,0)</f>
        <v>2956</v>
      </c>
      <c r="CV65" s="39">
        <f>ROUND($O65*BE65,0)</f>
        <v>323</v>
      </c>
      <c r="CW65" s="39"/>
      <c r="CX65" s="39"/>
    </row>
    <row r="66" spans="1:102" x14ac:dyDescent="0.2">
      <c r="A66" s="22"/>
      <c r="B66" s="22"/>
      <c r="C66" s="3"/>
      <c r="D66" s="3"/>
      <c r="E66" s="9"/>
      <c r="F66" s="53"/>
      <c r="G66" s="53"/>
      <c r="H66" s="53"/>
      <c r="I66" s="53"/>
      <c r="J66" s="90"/>
      <c r="K66" s="90"/>
      <c r="L66" s="100"/>
      <c r="M66" s="100"/>
      <c r="N66" s="100"/>
      <c r="O66" s="100"/>
      <c r="P66" s="90"/>
      <c r="Q66" s="237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D66" s="108"/>
      <c r="BH66" s="237"/>
      <c r="BI66" s="33" t="s">
        <v>150</v>
      </c>
      <c r="BJ66" s="33" t="s">
        <v>150</v>
      </c>
      <c r="BK66" s="33" t="s">
        <v>150</v>
      </c>
      <c r="BL66" s="33" t="s">
        <v>150</v>
      </c>
      <c r="BM66" s="33" t="s">
        <v>150</v>
      </c>
      <c r="BN66" s="33" t="s">
        <v>150</v>
      </c>
      <c r="BO66" s="33" t="s">
        <v>150</v>
      </c>
      <c r="BP66" s="33" t="s">
        <v>150</v>
      </c>
      <c r="BQ66" s="33" t="s">
        <v>150</v>
      </c>
      <c r="BR66" s="33" t="s">
        <v>150</v>
      </c>
      <c r="BS66" s="33" t="s">
        <v>150</v>
      </c>
      <c r="BT66" s="33" t="s">
        <v>150</v>
      </c>
      <c r="BU66" s="33" t="s">
        <v>150</v>
      </c>
      <c r="BV66" s="33" t="s">
        <v>150</v>
      </c>
      <c r="BW66" s="33" t="s">
        <v>150</v>
      </c>
      <c r="BX66" s="33" t="s">
        <v>150</v>
      </c>
      <c r="BY66" s="33" t="s">
        <v>150</v>
      </c>
      <c r="BZ66" s="33" t="s">
        <v>150</v>
      </c>
      <c r="CA66" s="33" t="s">
        <v>150</v>
      </c>
      <c r="CB66" s="33" t="s">
        <v>150</v>
      </c>
      <c r="CC66" s="33" t="s">
        <v>150</v>
      </c>
      <c r="CD66" s="33" t="s">
        <v>150</v>
      </c>
      <c r="CV66" s="33"/>
      <c r="CW66" s="33"/>
      <c r="CX66" s="33"/>
    </row>
    <row r="67" spans="1:102" x14ac:dyDescent="0.2">
      <c r="A67" s="245" t="s">
        <v>557</v>
      </c>
      <c r="B67" s="22"/>
      <c r="C67" s="3"/>
      <c r="D67" s="3"/>
      <c r="E67" s="9"/>
      <c r="F67" s="53"/>
      <c r="G67" s="53"/>
      <c r="H67" s="53"/>
      <c r="I67" s="53"/>
      <c r="J67" s="90"/>
      <c r="K67" s="90"/>
      <c r="L67" s="90"/>
      <c r="M67" s="90"/>
      <c r="N67" s="90"/>
      <c r="O67" s="102">
        <v>104.5</v>
      </c>
      <c r="P67" s="90"/>
      <c r="Q67" s="237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D67" s="108"/>
      <c r="BE67" s="4">
        <f>Y21a!C40</f>
        <v>66</v>
      </c>
      <c r="BH67" s="237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9">
        <f>ROUND($O67*BE67,0)</f>
        <v>6897</v>
      </c>
      <c r="CW67" s="33"/>
      <c r="CX67" s="33"/>
    </row>
    <row r="68" spans="1:102" x14ac:dyDescent="0.2">
      <c r="A68" s="22"/>
      <c r="B68" s="22"/>
      <c r="C68" s="3"/>
      <c r="D68" s="3"/>
      <c r="E68" s="9"/>
      <c r="F68" s="53"/>
      <c r="G68" s="53"/>
      <c r="H68" s="53"/>
      <c r="I68" s="53"/>
      <c r="J68" s="90"/>
      <c r="K68" s="90"/>
      <c r="L68" s="90"/>
      <c r="M68" s="90"/>
      <c r="N68" s="90"/>
      <c r="O68" s="102"/>
      <c r="P68" s="90"/>
      <c r="Q68" s="237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D68" s="108"/>
      <c r="BH68" s="237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</row>
    <row r="69" spans="1:102" x14ac:dyDescent="0.2">
      <c r="A69" s="245" t="s">
        <v>558</v>
      </c>
      <c r="B69" s="22"/>
      <c r="C69" s="3"/>
      <c r="D69" s="3"/>
      <c r="E69" s="9"/>
      <c r="F69" s="53"/>
      <c r="G69" s="53"/>
      <c r="H69" s="53"/>
      <c r="I69" s="53"/>
      <c r="J69" s="90"/>
      <c r="K69" s="90"/>
      <c r="L69" s="90"/>
      <c r="M69" s="90"/>
      <c r="N69" s="90"/>
      <c r="O69" s="102">
        <v>31.5</v>
      </c>
      <c r="P69" s="90"/>
      <c r="Q69" s="237"/>
      <c r="R69" s="3"/>
      <c r="S69" s="3"/>
      <c r="T69" s="3"/>
      <c r="U69" s="3"/>
      <c r="V69" s="3"/>
      <c r="W69" s="3"/>
      <c r="X69" s="3"/>
      <c r="Y69" s="3"/>
      <c r="Z69" s="3"/>
      <c r="AA69" s="3"/>
      <c r="AB69" s="6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D69" s="108"/>
      <c r="BE69" s="4">
        <f>Y21a!C43</f>
        <v>1254</v>
      </c>
      <c r="BH69" s="237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9">
        <f>ROUND($O69*BE69,0)</f>
        <v>39501</v>
      </c>
      <c r="CW69" s="33"/>
      <c r="CX69" s="33"/>
    </row>
    <row r="70" spans="1:102" x14ac:dyDescent="0.2">
      <c r="A70" s="22"/>
      <c r="B70" s="22"/>
      <c r="C70" s="3"/>
      <c r="D70" s="3"/>
      <c r="E70" s="9"/>
      <c r="F70" s="53"/>
      <c r="G70" s="53"/>
      <c r="H70" s="53"/>
      <c r="I70" s="53"/>
      <c r="J70" s="90"/>
      <c r="K70" s="90"/>
      <c r="L70" s="90"/>
      <c r="M70" s="90"/>
      <c r="N70" s="90"/>
      <c r="O70" s="102"/>
      <c r="P70" s="90"/>
      <c r="Q70" s="237"/>
      <c r="R70" s="3"/>
      <c r="S70" s="3"/>
      <c r="T70" s="3"/>
      <c r="U70" s="3"/>
      <c r="V70" s="3"/>
      <c r="W70" s="3"/>
      <c r="X70" s="3"/>
      <c r="Y70" s="3"/>
      <c r="Z70" s="3"/>
      <c r="AA70" s="3"/>
      <c r="AB70" s="6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D70" s="108"/>
      <c r="BH70" s="237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</row>
    <row r="71" spans="1:102" x14ac:dyDescent="0.2">
      <c r="A71" s="22"/>
      <c r="B71" s="22"/>
      <c r="C71" s="3"/>
      <c r="D71" s="3"/>
      <c r="E71" s="9"/>
      <c r="F71" s="53"/>
      <c r="G71" s="53"/>
      <c r="H71" s="53"/>
      <c r="I71" s="53"/>
      <c r="J71" s="90"/>
      <c r="K71" s="90"/>
      <c r="L71" s="90"/>
      <c r="M71" s="90"/>
      <c r="N71" s="90"/>
      <c r="O71" s="100"/>
      <c r="P71" s="90"/>
      <c r="Q71" s="237"/>
      <c r="R71" s="3"/>
      <c r="S71" s="3"/>
      <c r="T71" s="3"/>
      <c r="U71" s="3"/>
      <c r="V71" s="3"/>
      <c r="W71" s="3"/>
      <c r="X71" s="3"/>
      <c r="Y71" s="3"/>
      <c r="Z71" s="3"/>
      <c r="AA71" s="3"/>
      <c r="AB71" s="6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D71" s="108"/>
      <c r="BH71" s="237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</row>
    <row r="72" spans="1:102" x14ac:dyDescent="0.2">
      <c r="A72" s="22"/>
      <c r="B72" s="22"/>
      <c r="C72" s="3"/>
      <c r="D72" s="3"/>
      <c r="E72" s="9"/>
      <c r="F72" s="53"/>
      <c r="G72" s="53"/>
      <c r="H72" s="53"/>
      <c r="I72" s="53"/>
      <c r="J72" s="90"/>
      <c r="K72" s="90"/>
      <c r="L72" s="90"/>
      <c r="M72" s="90"/>
      <c r="N72" s="90"/>
      <c r="O72" s="100"/>
      <c r="P72" s="90"/>
      <c r="Q72" s="237"/>
      <c r="R72" s="3"/>
      <c r="S72" s="3"/>
      <c r="T72" s="3"/>
      <c r="U72" s="3"/>
      <c r="V72" s="3"/>
      <c r="W72" s="3"/>
      <c r="X72" s="3"/>
      <c r="Y72" s="3"/>
      <c r="Z72" s="3"/>
      <c r="AA72" s="3"/>
      <c r="AB72" s="6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D72" s="108"/>
      <c r="BH72" s="237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 t="s">
        <v>150</v>
      </c>
      <c r="CF72" s="33" t="s">
        <v>150</v>
      </c>
      <c r="CG72" s="33" t="s">
        <v>150</v>
      </c>
      <c r="CH72" s="33" t="s">
        <v>150</v>
      </c>
      <c r="CI72" s="33" t="s">
        <v>150</v>
      </c>
      <c r="CJ72" s="33" t="s">
        <v>150</v>
      </c>
      <c r="CK72" s="33" t="s">
        <v>150</v>
      </c>
      <c r="CL72" s="33" t="s">
        <v>150</v>
      </c>
      <c r="CM72" s="33" t="s">
        <v>150</v>
      </c>
      <c r="CN72" s="33" t="s">
        <v>150</v>
      </c>
      <c r="CO72" s="33" t="s">
        <v>150</v>
      </c>
      <c r="CP72" s="33" t="s">
        <v>150</v>
      </c>
      <c r="CQ72" s="33" t="s">
        <v>150</v>
      </c>
      <c r="CR72" s="33" t="s">
        <v>150</v>
      </c>
      <c r="CS72" s="33" t="s">
        <v>150</v>
      </c>
      <c r="CT72" s="33" t="s">
        <v>150</v>
      </c>
      <c r="CU72" s="33" t="s">
        <v>150</v>
      </c>
      <c r="CV72" s="33" t="s">
        <v>150</v>
      </c>
      <c r="CW72" s="33"/>
      <c r="CX72" s="33"/>
    </row>
    <row r="73" spans="1:102" x14ac:dyDescent="0.2">
      <c r="A73" t="s">
        <v>39</v>
      </c>
      <c r="C73" s="3"/>
      <c r="D73" s="3"/>
      <c r="E73" s="3"/>
      <c r="F73" s="3"/>
      <c r="G73" s="3"/>
      <c r="H73" s="69"/>
      <c r="I73" s="33"/>
      <c r="J73" s="89"/>
      <c r="K73" s="89"/>
      <c r="L73" s="89"/>
      <c r="M73" s="89"/>
      <c r="N73" s="89"/>
      <c r="O73" s="101"/>
      <c r="P73" s="89"/>
      <c r="Q73" s="237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3"/>
      <c r="AH73" s="33"/>
      <c r="AI73" s="33"/>
      <c r="AJ73" s="33"/>
      <c r="AK73" s="3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243"/>
      <c r="BC73" s="242">
        <f>+Y20a!C58</f>
        <v>274492</v>
      </c>
      <c r="BD73" s="242">
        <f>Y20b!C58</f>
        <v>300457</v>
      </c>
      <c r="BE73" s="6">
        <f>SUM(BE13:BE72)</f>
        <v>241476</v>
      </c>
      <c r="BF73" s="6"/>
      <c r="BG73" s="6"/>
      <c r="BH73" s="237"/>
      <c r="BI73" s="39">
        <f t="shared" ref="BI73:CS73" si="46">SUM(BI13:BI61)</f>
        <v>77585</v>
      </c>
      <c r="BJ73" s="39">
        <f t="shared" si="46"/>
        <v>30339</v>
      </c>
      <c r="BK73" s="39">
        <f t="shared" si="46"/>
        <v>25601</v>
      </c>
      <c r="BL73" s="39">
        <f t="shared" si="46"/>
        <v>14398</v>
      </c>
      <c r="BM73" s="39">
        <f t="shared" si="46"/>
        <v>17645</v>
      </c>
      <c r="BN73" s="39">
        <f t="shared" si="46"/>
        <v>27663</v>
      </c>
      <c r="BO73" s="39">
        <f t="shared" si="46"/>
        <v>22975</v>
      </c>
      <c r="BP73" s="39">
        <f t="shared" si="46"/>
        <v>10095</v>
      </c>
      <c r="BQ73" s="39">
        <f t="shared" si="46"/>
        <v>9006</v>
      </c>
      <c r="BR73" s="39">
        <f t="shared" si="46"/>
        <v>9256</v>
      </c>
      <c r="BS73" s="39">
        <f t="shared" si="46"/>
        <v>9602</v>
      </c>
      <c r="BT73" s="39">
        <f t="shared" si="46"/>
        <v>1656</v>
      </c>
      <c r="BU73" s="39">
        <f t="shared" si="46"/>
        <v>1548</v>
      </c>
      <c r="BV73" s="39">
        <f t="shared" si="46"/>
        <v>3327</v>
      </c>
      <c r="BW73" s="39">
        <f t="shared" si="46"/>
        <v>10681</v>
      </c>
      <c r="BX73" s="39">
        <f t="shared" si="46"/>
        <v>8539</v>
      </c>
      <c r="BY73" s="39">
        <f t="shared" si="46"/>
        <v>10156</v>
      </c>
      <c r="BZ73" s="39">
        <f t="shared" si="46"/>
        <v>27802</v>
      </c>
      <c r="CA73" s="39">
        <f t="shared" si="46"/>
        <v>28823</v>
      </c>
      <c r="CB73" s="39">
        <f t="shared" si="46"/>
        <v>34234</v>
      </c>
      <c r="CC73" s="39">
        <f t="shared" si="46"/>
        <v>39783</v>
      </c>
      <c r="CD73" s="39">
        <f t="shared" si="46"/>
        <v>36700</v>
      </c>
      <c r="CE73" s="39">
        <f t="shared" si="46"/>
        <v>41080</v>
      </c>
      <c r="CF73" s="39">
        <f t="shared" si="46"/>
        <v>59650</v>
      </c>
      <c r="CG73" s="39">
        <f t="shared" si="46"/>
        <v>52412</v>
      </c>
      <c r="CH73" s="39">
        <f t="shared" si="46"/>
        <v>68061</v>
      </c>
      <c r="CI73" s="39">
        <f t="shared" si="46"/>
        <v>108395</v>
      </c>
      <c r="CJ73" s="39">
        <f t="shared" si="46"/>
        <v>120324</v>
      </c>
      <c r="CK73" s="39">
        <f t="shared" si="46"/>
        <v>172315</v>
      </c>
      <c r="CL73" s="39">
        <f t="shared" si="46"/>
        <v>135531</v>
      </c>
      <c r="CM73" s="39">
        <f t="shared" si="46"/>
        <v>136237</v>
      </c>
      <c r="CN73" s="39">
        <f t="shared" si="46"/>
        <v>129113</v>
      </c>
      <c r="CO73" s="39">
        <f t="shared" si="46"/>
        <v>154064</v>
      </c>
      <c r="CP73" s="39">
        <f t="shared" si="46"/>
        <v>171198</v>
      </c>
      <c r="CQ73" s="39">
        <f t="shared" si="46"/>
        <v>179204</v>
      </c>
      <c r="CR73" s="39">
        <f t="shared" si="46"/>
        <v>147751</v>
      </c>
      <c r="CS73" s="39">
        <f t="shared" si="46"/>
        <v>175424</v>
      </c>
      <c r="CT73" s="39">
        <f>SUM(CT13:CT65)</f>
        <v>199669</v>
      </c>
      <c r="CU73" s="39">
        <f>SUM(CU13:CU65)</f>
        <v>170714</v>
      </c>
      <c r="CV73" s="39">
        <f>SUM(CV13:CV72)</f>
        <v>161923</v>
      </c>
      <c r="CW73" s="39"/>
      <c r="CX73" s="39"/>
    </row>
    <row r="74" spans="1:102" x14ac:dyDescent="0.2">
      <c r="A74" t="s">
        <v>151</v>
      </c>
      <c r="C74" s="3"/>
      <c r="D74" s="3"/>
      <c r="E74" s="3"/>
      <c r="F74" s="3"/>
      <c r="G74" s="3"/>
      <c r="H74" s="69"/>
      <c r="I74" s="33"/>
      <c r="J74" s="89"/>
      <c r="K74" s="89"/>
      <c r="L74" s="89"/>
      <c r="M74" s="89"/>
      <c r="N74" s="89"/>
      <c r="O74" s="101"/>
      <c r="P74" s="89"/>
      <c r="Q74" s="237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3"/>
      <c r="AH74" s="33"/>
      <c r="AI74" s="33"/>
      <c r="AJ74" s="33"/>
      <c r="AK74" s="3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243"/>
      <c r="BC74" s="242" t="str">
        <f>+Y20a!C59</f>
        <v xml:space="preserve">                    ========</v>
      </c>
      <c r="BD74" s="242" t="str">
        <f>+Y20a!D59</f>
        <v xml:space="preserve">                    ========</v>
      </c>
      <c r="BE74" s="242" t="s">
        <v>94</v>
      </c>
      <c r="BF74" s="6"/>
      <c r="BG74" s="6"/>
      <c r="BH74" s="237"/>
      <c r="BI74" s="3" t="s">
        <v>150</v>
      </c>
      <c r="BJ74" s="3" t="s">
        <v>150</v>
      </c>
      <c r="BK74" s="3" t="s">
        <v>150</v>
      </c>
      <c r="BL74" s="3" t="s">
        <v>150</v>
      </c>
      <c r="BM74" s="3" t="s">
        <v>150</v>
      </c>
      <c r="BN74" s="3" t="s">
        <v>150</v>
      </c>
      <c r="BO74" s="3" t="s">
        <v>150</v>
      </c>
      <c r="BP74" s="3" t="s">
        <v>150</v>
      </c>
      <c r="BQ74" s="3" t="s">
        <v>150</v>
      </c>
      <c r="BR74" s="3" t="s">
        <v>150</v>
      </c>
      <c r="BS74" s="3" t="s">
        <v>150</v>
      </c>
      <c r="BT74" s="33" t="s">
        <v>150</v>
      </c>
      <c r="BU74" s="33" t="s">
        <v>188</v>
      </c>
      <c r="BV74" s="33" t="s">
        <v>150</v>
      </c>
      <c r="BW74" s="33" t="s">
        <v>150</v>
      </c>
      <c r="BX74" s="33" t="s">
        <v>150</v>
      </c>
      <c r="BY74" s="33" t="s">
        <v>150</v>
      </c>
      <c r="BZ74" s="33" t="s">
        <v>150</v>
      </c>
      <c r="CA74" s="33" t="s">
        <v>150</v>
      </c>
      <c r="CB74" s="33" t="s">
        <v>150</v>
      </c>
      <c r="CC74" s="33" t="s">
        <v>150</v>
      </c>
      <c r="CD74" s="33" t="s">
        <v>150</v>
      </c>
      <c r="CE74" s="33" t="s">
        <v>150</v>
      </c>
      <c r="CF74" s="33" t="s">
        <v>150</v>
      </c>
      <c r="CG74" s="33" t="s">
        <v>150</v>
      </c>
      <c r="CH74" s="33" t="s">
        <v>150</v>
      </c>
      <c r="CI74" s="33" t="s">
        <v>150</v>
      </c>
      <c r="CJ74" s="33" t="s">
        <v>150</v>
      </c>
      <c r="CK74" s="33" t="s">
        <v>150</v>
      </c>
      <c r="CL74" s="33" t="s">
        <v>150</v>
      </c>
      <c r="CM74" s="33" t="s">
        <v>150</v>
      </c>
      <c r="CN74" s="33" t="s">
        <v>150</v>
      </c>
      <c r="CO74" s="33" t="s">
        <v>150</v>
      </c>
      <c r="CP74" s="33" t="s">
        <v>150</v>
      </c>
      <c r="CQ74" s="33" t="s">
        <v>150</v>
      </c>
      <c r="CR74" s="33" t="s">
        <v>150</v>
      </c>
      <c r="CS74" s="33" t="s">
        <v>150</v>
      </c>
      <c r="CT74" s="33" t="s">
        <v>150</v>
      </c>
      <c r="CU74" s="33" t="s">
        <v>150</v>
      </c>
      <c r="CV74" s="33" t="s">
        <v>150</v>
      </c>
      <c r="CW74" s="33"/>
      <c r="CX74" s="33"/>
    </row>
    <row r="75" spans="1:102" ht="6.75" customHeight="1" x14ac:dyDescent="0.2">
      <c r="C75" s="3"/>
      <c r="D75" s="3"/>
      <c r="E75" s="3"/>
      <c r="F75" s="3"/>
      <c r="G75" s="3"/>
      <c r="H75" s="69"/>
      <c r="I75" s="33"/>
      <c r="J75" s="89"/>
      <c r="K75" s="89"/>
      <c r="L75" s="89"/>
      <c r="M75" s="89"/>
      <c r="N75" s="89"/>
      <c r="O75" s="101"/>
      <c r="P75" s="89"/>
      <c r="Q75" s="237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3"/>
      <c r="AH75" s="33"/>
      <c r="AI75" s="33"/>
      <c r="AJ75" s="33"/>
      <c r="AK75" s="3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243"/>
      <c r="BC75" s="243"/>
      <c r="BD75" s="243"/>
      <c r="BE75" s="3"/>
      <c r="BF75" s="3"/>
      <c r="BG75" s="3"/>
      <c r="BH75" s="237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3"/>
      <c r="BU75" s="3"/>
      <c r="BV75" s="33"/>
      <c r="BW75" s="33"/>
      <c r="BX75" s="33"/>
      <c r="BY75" s="33"/>
      <c r="BZ75" s="33"/>
      <c r="CA75" s="33"/>
      <c r="CB75" s="3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6.75" customHeight="1" x14ac:dyDescent="0.2">
      <c r="C76" s="3"/>
      <c r="D76" s="3"/>
      <c r="E76" s="3"/>
      <c r="F76" s="3"/>
      <c r="G76" s="3"/>
      <c r="H76" s="69"/>
      <c r="I76" s="33"/>
      <c r="J76" s="89"/>
      <c r="K76" s="89"/>
      <c r="L76" s="89"/>
      <c r="M76" s="89"/>
      <c r="N76" s="89"/>
      <c r="O76" s="101"/>
      <c r="P76" s="89"/>
      <c r="Q76" s="237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3"/>
      <c r="AH76" s="33"/>
      <c r="AI76" s="33"/>
      <c r="AJ76" s="33"/>
      <c r="AK76" s="3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243"/>
      <c r="BC76" s="243"/>
      <c r="BD76" s="243"/>
      <c r="BE76" s="3"/>
      <c r="BF76" s="3"/>
      <c r="BG76" s="3"/>
      <c r="BH76" s="237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3"/>
      <c r="BU76" s="3"/>
      <c r="BV76" s="33"/>
      <c r="BW76" s="33"/>
      <c r="BX76" s="33"/>
      <c r="BY76" s="33"/>
      <c r="BZ76" s="33"/>
      <c r="CA76" s="33"/>
      <c r="CB76" s="3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x14ac:dyDescent="0.2">
      <c r="A77" t="s">
        <v>40</v>
      </c>
      <c r="C77" s="3"/>
      <c r="D77" s="3"/>
      <c r="E77" s="3"/>
      <c r="F77" s="3"/>
      <c r="G77" s="3"/>
      <c r="H77" s="69"/>
      <c r="I77" s="33"/>
      <c r="J77" s="89"/>
      <c r="K77" s="89"/>
      <c r="L77" s="89"/>
      <c r="M77" s="89"/>
      <c r="N77" s="89"/>
      <c r="O77" s="101"/>
      <c r="P77" s="89"/>
      <c r="Q77" s="237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3"/>
      <c r="AH77" s="33"/>
      <c r="AI77" s="33"/>
      <c r="AJ77" s="33"/>
      <c r="AK77" s="3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243"/>
      <c r="BC77" s="243"/>
      <c r="BD77" s="243"/>
      <c r="BE77" s="3"/>
      <c r="BF77" s="3"/>
      <c r="BG77" s="3"/>
      <c r="BH77" s="237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3"/>
      <c r="BU77" s="3"/>
      <c r="BV77" s="33"/>
      <c r="BW77" s="33"/>
      <c r="BX77" s="33"/>
      <c r="BY77" s="33"/>
      <c r="BZ77" s="33"/>
      <c r="CA77" s="33"/>
      <c r="CB77" s="3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x14ac:dyDescent="0.2">
      <c r="A78" t="s">
        <v>41</v>
      </c>
      <c r="C78" s="9">
        <v>0</v>
      </c>
      <c r="D78" s="3" t="s">
        <v>38</v>
      </c>
      <c r="E78" s="3" t="s">
        <v>38</v>
      </c>
      <c r="F78" s="3" t="s">
        <v>38</v>
      </c>
      <c r="G78" s="3" t="s">
        <v>38</v>
      </c>
      <c r="H78" s="69" t="s">
        <v>38</v>
      </c>
      <c r="I78" s="33" t="s">
        <v>38</v>
      </c>
      <c r="J78" s="89" t="s">
        <v>38</v>
      </c>
      <c r="K78" s="89" t="s">
        <v>38</v>
      </c>
      <c r="L78" s="89" t="s">
        <v>38</v>
      </c>
      <c r="M78" s="89"/>
      <c r="N78" s="89"/>
      <c r="O78" s="101"/>
      <c r="P78" s="89"/>
      <c r="Q78" s="237"/>
      <c r="R78" s="3">
        <v>91</v>
      </c>
      <c r="S78" s="3">
        <v>243</v>
      </c>
      <c r="T78" s="3">
        <v>169</v>
      </c>
      <c r="U78" s="3">
        <v>204</v>
      </c>
      <c r="V78" s="3">
        <v>178</v>
      </c>
      <c r="W78" s="3">
        <v>186</v>
      </c>
      <c r="X78" s="3">
        <v>188</v>
      </c>
      <c r="Y78" s="3">
        <v>144</v>
      </c>
      <c r="Z78" s="3">
        <v>159</v>
      </c>
      <c r="AA78" s="6">
        <v>134</v>
      </c>
      <c r="AB78" s="6">
        <f>+Y6b!C35</f>
        <v>131</v>
      </c>
      <c r="AC78" s="38">
        <f>+Y7a!C35</f>
        <v>125</v>
      </c>
      <c r="AD78" s="38">
        <f>+Y7b!C35</f>
        <v>0</v>
      </c>
      <c r="AE78" s="38">
        <f>+Y8a!C38</f>
        <v>0</v>
      </c>
      <c r="AF78" s="38">
        <f>+Y8b!C38</f>
        <v>0</v>
      </c>
      <c r="AG78" s="38">
        <f>+Y9a!C38</f>
        <v>0</v>
      </c>
      <c r="AH78" s="38">
        <f>+Y9b!C38</f>
        <v>0</v>
      </c>
      <c r="AI78" s="38">
        <f>+Y10a!C38</f>
        <v>0</v>
      </c>
      <c r="AJ78" s="38">
        <f>+Y10b!C38</f>
        <v>0</v>
      </c>
      <c r="AK78" s="38">
        <f>+Y11a!C38</f>
        <v>0</v>
      </c>
      <c r="AL78" s="38">
        <f>+Y11b!C38</f>
        <v>0</v>
      </c>
      <c r="AM78" s="38">
        <f>+Y12a!C46</f>
        <v>0</v>
      </c>
      <c r="AN78" s="38">
        <f>+Y12b!C38</f>
        <v>0</v>
      </c>
      <c r="AO78" s="38">
        <f>+Y13a!C38</f>
        <v>0</v>
      </c>
      <c r="AP78" s="38">
        <f>+Y13b!C38</f>
        <v>0</v>
      </c>
      <c r="AQ78" s="38">
        <f>+Y14a!D46</f>
        <v>0</v>
      </c>
      <c r="AR78" s="38">
        <f>+Y14b!C46</f>
        <v>0</v>
      </c>
      <c r="AS78" s="38">
        <f>+Y15a!C46</f>
        <v>0</v>
      </c>
      <c r="AT78" s="38">
        <f>+Y14b!D46</f>
        <v>0</v>
      </c>
      <c r="AU78" s="38">
        <f>Y16a!C67</f>
        <v>0</v>
      </c>
      <c r="AV78" s="38">
        <f>Y16b!C67</f>
        <v>0</v>
      </c>
      <c r="AW78" s="38">
        <f>Y17a!C67</f>
        <v>0</v>
      </c>
      <c r="AX78" s="38">
        <f>Y17b!C67</f>
        <v>0</v>
      </c>
      <c r="AY78" s="38">
        <f>Y18a!C67</f>
        <v>0</v>
      </c>
      <c r="AZ78" s="38">
        <f>Y18b!C67</f>
        <v>0</v>
      </c>
      <c r="BA78" s="38">
        <f>Y19a!C67</f>
        <v>0</v>
      </c>
      <c r="BB78" s="38">
        <f>Y19b!C66</f>
        <v>0</v>
      </c>
      <c r="BC78" s="242">
        <f>+Y20a!C74</f>
        <v>0</v>
      </c>
      <c r="BD78" s="242">
        <f>+Y20a!D74</f>
        <v>0</v>
      </c>
      <c r="BE78" s="242">
        <v>0</v>
      </c>
      <c r="BF78" s="6"/>
      <c r="BG78" s="6"/>
      <c r="BH78" s="237"/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39">
        <v>0</v>
      </c>
      <c r="BU78" s="40">
        <v>0</v>
      </c>
      <c r="BV78" s="39">
        <v>0</v>
      </c>
      <c r="BW78" s="39">
        <v>0</v>
      </c>
      <c r="BX78" s="39">
        <v>0</v>
      </c>
      <c r="BY78" s="39">
        <v>0</v>
      </c>
      <c r="BZ78" s="39">
        <v>0</v>
      </c>
      <c r="CA78" s="39">
        <v>0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  <c r="CK78" s="39">
        <v>0</v>
      </c>
      <c r="CL78" s="39">
        <v>0</v>
      </c>
      <c r="CM78" s="39">
        <v>0</v>
      </c>
      <c r="CN78" s="39">
        <v>0</v>
      </c>
      <c r="CO78" s="39">
        <v>0</v>
      </c>
      <c r="CP78" s="39">
        <v>0</v>
      </c>
      <c r="CQ78" s="39">
        <v>0</v>
      </c>
      <c r="CR78" s="39">
        <v>0</v>
      </c>
      <c r="CS78" s="39">
        <v>0</v>
      </c>
      <c r="CT78" s="39">
        <f t="shared" ref="CT78:CU81" si="47">ROUND($M78*BC78,0)</f>
        <v>0</v>
      </c>
      <c r="CU78" s="39">
        <f t="shared" si="47"/>
        <v>0</v>
      </c>
      <c r="CV78" s="39">
        <f>ROUND($O78*BE78,0)</f>
        <v>0</v>
      </c>
      <c r="CW78" s="39"/>
      <c r="CX78" s="39"/>
    </row>
    <row r="79" spans="1:102" x14ac:dyDescent="0.2">
      <c r="A79" t="s">
        <v>42</v>
      </c>
      <c r="C79" s="9">
        <v>0</v>
      </c>
      <c r="D79" s="3" t="s">
        <v>38</v>
      </c>
      <c r="E79" s="3" t="s">
        <v>38</v>
      </c>
      <c r="F79" s="3" t="s">
        <v>38</v>
      </c>
      <c r="G79" s="3" t="s">
        <v>38</v>
      </c>
      <c r="H79" s="69" t="s">
        <v>38</v>
      </c>
      <c r="I79" s="33" t="s">
        <v>38</v>
      </c>
      <c r="J79" s="89" t="s">
        <v>38</v>
      </c>
      <c r="K79" s="89" t="s">
        <v>38</v>
      </c>
      <c r="L79" s="89" t="s">
        <v>38</v>
      </c>
      <c r="M79" s="89"/>
      <c r="N79" s="89"/>
      <c r="O79" s="101"/>
      <c r="P79" s="89"/>
      <c r="Q79" s="237"/>
      <c r="R79" s="3">
        <v>5</v>
      </c>
      <c r="S79" s="3">
        <v>11</v>
      </c>
      <c r="T79" s="3">
        <v>26</v>
      </c>
      <c r="U79" s="3">
        <v>28</v>
      </c>
      <c r="V79" s="3">
        <v>9</v>
      </c>
      <c r="W79" s="3">
        <v>16</v>
      </c>
      <c r="X79" s="3">
        <v>21</v>
      </c>
      <c r="Y79" s="3">
        <v>8</v>
      </c>
      <c r="Z79" s="3">
        <v>29</v>
      </c>
      <c r="AA79" s="6">
        <v>28</v>
      </c>
      <c r="AB79" s="6">
        <f>+Y6b!C36</f>
        <v>5</v>
      </c>
      <c r="AC79" s="38">
        <f>+Y7a!C36</f>
        <v>8</v>
      </c>
      <c r="AD79" s="38">
        <f>+Y7b!C36</f>
        <v>0</v>
      </c>
      <c r="AE79" s="38">
        <f>+Y8a!C39</f>
        <v>0</v>
      </c>
      <c r="AF79" s="38">
        <f>+Y8b!C39</f>
        <v>0</v>
      </c>
      <c r="AG79" s="38">
        <f>+Y9a!C39</f>
        <v>0</v>
      </c>
      <c r="AH79" s="38">
        <f>+Y9b!C39</f>
        <v>0</v>
      </c>
      <c r="AI79" s="38">
        <f>+Y10a!C39</f>
        <v>0</v>
      </c>
      <c r="AJ79" s="38">
        <f>+Y10b!C39</f>
        <v>0</v>
      </c>
      <c r="AK79" s="38">
        <f>+Y11a!C39</f>
        <v>0</v>
      </c>
      <c r="AL79" s="38">
        <f>+Y11b!C39</f>
        <v>0</v>
      </c>
      <c r="AM79" s="38">
        <f>+Y12a!C47</f>
        <v>0</v>
      </c>
      <c r="AN79" s="38">
        <f>+Y12b!C39</f>
        <v>0</v>
      </c>
      <c r="AO79" s="38">
        <f>+Y13a!C39</f>
        <v>0</v>
      </c>
      <c r="AP79" s="38">
        <f>+Y13b!C39</f>
        <v>0</v>
      </c>
      <c r="AQ79" s="38">
        <f>+Y14a!D47</f>
        <v>0</v>
      </c>
      <c r="AR79" s="38">
        <f>+Y14b!C47</f>
        <v>0</v>
      </c>
      <c r="AS79" s="38">
        <f>+Y15a!C47</f>
        <v>0</v>
      </c>
      <c r="AT79" s="38">
        <f>+Y14b!D47</f>
        <v>0</v>
      </c>
      <c r="AU79" s="38">
        <f>Y16a!C68</f>
        <v>0</v>
      </c>
      <c r="AV79" s="38">
        <f>Y16b!C68</f>
        <v>0</v>
      </c>
      <c r="AW79" s="38">
        <f>Y17a!C68</f>
        <v>0</v>
      </c>
      <c r="AX79" s="38">
        <f>Y17b!C68</f>
        <v>0</v>
      </c>
      <c r="AY79" s="38">
        <f>Y18a!C68</f>
        <v>0</v>
      </c>
      <c r="AZ79" s="38">
        <f>Y18b!C68</f>
        <v>0</v>
      </c>
      <c r="BA79" s="38">
        <f>Y19a!C68</f>
        <v>0</v>
      </c>
      <c r="BB79" s="38">
        <f>Y19b!C67</f>
        <v>0</v>
      </c>
      <c r="BC79" s="242">
        <f>+Y20a!C75</f>
        <v>0</v>
      </c>
      <c r="BD79" s="242">
        <f>+Y20a!D75</f>
        <v>0</v>
      </c>
      <c r="BE79" s="242">
        <v>0</v>
      </c>
      <c r="BF79" s="6"/>
      <c r="BG79" s="6"/>
      <c r="BH79" s="237"/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39">
        <v>0</v>
      </c>
      <c r="BU79" s="40">
        <v>0</v>
      </c>
      <c r="BV79" s="39">
        <v>0</v>
      </c>
      <c r="BW79" s="39">
        <v>0</v>
      </c>
      <c r="BX79" s="39">
        <v>0</v>
      </c>
      <c r="BY79" s="39">
        <v>0</v>
      </c>
      <c r="BZ79" s="39">
        <v>0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0</v>
      </c>
      <c r="CI79" s="39">
        <v>0</v>
      </c>
      <c r="CJ79" s="39">
        <v>0</v>
      </c>
      <c r="CK79" s="39">
        <v>0</v>
      </c>
      <c r="CL79" s="39">
        <v>0</v>
      </c>
      <c r="CM79" s="39">
        <v>0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f t="shared" si="47"/>
        <v>0</v>
      </c>
      <c r="CU79" s="39">
        <f t="shared" si="47"/>
        <v>0</v>
      </c>
      <c r="CV79" s="39">
        <f>ROUND($O79*BE79,0)</f>
        <v>0</v>
      </c>
      <c r="CW79" s="39"/>
      <c r="CX79" s="39"/>
    </row>
    <row r="80" spans="1:102" x14ac:dyDescent="0.2">
      <c r="A80" t="s">
        <v>43</v>
      </c>
      <c r="C80" s="9">
        <v>506.34</v>
      </c>
      <c r="D80" s="9">
        <v>813.28</v>
      </c>
      <c r="E80" s="9">
        <v>232.54</v>
      </c>
      <c r="F80" s="9">
        <v>232.54</v>
      </c>
      <c r="G80" s="9">
        <v>232.54</v>
      </c>
      <c r="H80" s="70">
        <v>232.54</v>
      </c>
      <c r="I80" s="53">
        <v>232.54</v>
      </c>
      <c r="J80" s="90">
        <v>232.54</v>
      </c>
      <c r="K80" s="90">
        <v>232.54</v>
      </c>
      <c r="L80" s="90">
        <v>232.54</v>
      </c>
      <c r="M80" s="90"/>
      <c r="N80" s="90"/>
      <c r="O80" s="100"/>
      <c r="P80" s="90"/>
      <c r="Q80" s="237"/>
      <c r="R80" s="3">
        <v>1</v>
      </c>
      <c r="S80" s="3">
        <v>0</v>
      </c>
      <c r="T80" s="3">
        <v>11</v>
      </c>
      <c r="U80" s="3">
        <v>8</v>
      </c>
      <c r="V80" s="3">
        <v>29</v>
      </c>
      <c r="W80" s="3">
        <v>6</v>
      </c>
      <c r="X80" s="3">
        <v>25</v>
      </c>
      <c r="Y80" s="3">
        <v>16</v>
      </c>
      <c r="Z80" s="3">
        <v>24</v>
      </c>
      <c r="AA80" s="6">
        <v>15</v>
      </c>
      <c r="AB80" s="6">
        <f>+Y6b!C37</f>
        <v>15</v>
      </c>
      <c r="AC80" s="38">
        <f>+Y7a!C37</f>
        <v>7</v>
      </c>
      <c r="AD80" s="38">
        <f>+Y7b!C37</f>
        <v>25</v>
      </c>
      <c r="AE80" s="38">
        <f>+Y8a!C40</f>
        <v>0</v>
      </c>
      <c r="AF80" s="38">
        <f>+Y8b!C40</f>
        <v>0</v>
      </c>
      <c r="AG80" s="38">
        <f>+Y9a!C40</f>
        <v>0</v>
      </c>
      <c r="AH80" s="38">
        <f>+Y9b!C40</f>
        <v>0</v>
      </c>
      <c r="AI80" s="38">
        <f>+Y10a!C40</f>
        <v>0</v>
      </c>
      <c r="AJ80" s="38">
        <f>+Y10b!C40</f>
        <v>0</v>
      </c>
      <c r="AK80" s="38">
        <f>+Y11a!C40</f>
        <v>0</v>
      </c>
      <c r="AL80" s="38">
        <f>+Y11b!C40</f>
        <v>0</v>
      </c>
      <c r="AM80" s="38">
        <f>+Y12a!C48</f>
        <v>0</v>
      </c>
      <c r="AN80" s="38">
        <f>+Y12b!C40</f>
        <v>0</v>
      </c>
      <c r="AO80" s="38">
        <f>+Y13a!C40</f>
        <v>0</v>
      </c>
      <c r="AP80" s="38">
        <f>+Y13b!C40</f>
        <v>0</v>
      </c>
      <c r="AQ80" s="38">
        <f>+Y14a!D48</f>
        <v>0</v>
      </c>
      <c r="AR80" s="38">
        <f>+Y14b!C48</f>
        <v>0</v>
      </c>
      <c r="AS80" s="38">
        <f>+Y15a!C48</f>
        <v>0</v>
      </c>
      <c r="AT80" s="38">
        <f>+Y14b!D48</f>
        <v>0</v>
      </c>
      <c r="AU80" s="38">
        <f>Y16a!C69</f>
        <v>0</v>
      </c>
      <c r="AV80" s="38">
        <f>Y16b!C69</f>
        <v>0</v>
      </c>
      <c r="AW80" s="38">
        <f>Y17a!C69</f>
        <v>0</v>
      </c>
      <c r="AX80" s="38">
        <f>Y17b!C69</f>
        <v>0</v>
      </c>
      <c r="AY80" s="38">
        <f>Y18a!C69</f>
        <v>0</v>
      </c>
      <c r="AZ80" s="38">
        <f>Y18b!C69</f>
        <v>0</v>
      </c>
      <c r="BA80" s="38">
        <f>Y19a!C69</f>
        <v>0</v>
      </c>
      <c r="BB80" s="38">
        <f>Y19b!C68</f>
        <v>0</v>
      </c>
      <c r="BC80" s="242">
        <f>+Y20a!C76</f>
        <v>0</v>
      </c>
      <c r="BD80" s="242">
        <f>+Y20a!D76</f>
        <v>0</v>
      </c>
      <c r="BE80" s="242">
        <v>0</v>
      </c>
      <c r="BF80" s="6"/>
      <c r="BG80" s="6"/>
      <c r="BH80" s="237"/>
      <c r="BI80" s="10">
        <v>506</v>
      </c>
      <c r="BJ80" s="10">
        <v>0</v>
      </c>
      <c r="BK80" s="10">
        <v>8946</v>
      </c>
      <c r="BL80" s="10">
        <v>6506</v>
      </c>
      <c r="BM80" s="10">
        <v>23585</v>
      </c>
      <c r="BN80" s="10">
        <v>1395</v>
      </c>
      <c r="BO80" s="10">
        <v>5814</v>
      </c>
      <c r="BP80" s="10">
        <v>3721</v>
      </c>
      <c r="BQ80" s="10">
        <v>5581</v>
      </c>
      <c r="BR80" s="10">
        <f>ROUND(E80*AA80,0)</f>
        <v>3488</v>
      </c>
      <c r="BS80" s="10">
        <f>ROUND(E80*AB80,0)</f>
        <v>3488</v>
      </c>
      <c r="BT80" s="39">
        <f t="shared" ref="BT80:BY80" si="48">ROUND($F$80*AC80,0)</f>
        <v>1628</v>
      </c>
      <c r="BU80" s="40">
        <f t="shared" si="48"/>
        <v>5814</v>
      </c>
      <c r="BV80" s="39">
        <f t="shared" si="48"/>
        <v>0</v>
      </c>
      <c r="BW80" s="39">
        <f t="shared" si="48"/>
        <v>0</v>
      </c>
      <c r="BX80" s="39">
        <f t="shared" si="48"/>
        <v>0</v>
      </c>
      <c r="BY80" s="39">
        <f t="shared" si="48"/>
        <v>0</v>
      </c>
      <c r="BZ80" s="39">
        <f t="shared" ref="BZ80:CM80" si="49">ROUND($G$80*AI80,0)</f>
        <v>0</v>
      </c>
      <c r="CA80" s="39">
        <f t="shared" si="49"/>
        <v>0</v>
      </c>
      <c r="CB80" s="39">
        <f t="shared" si="49"/>
        <v>0</v>
      </c>
      <c r="CC80" s="39">
        <f t="shared" si="49"/>
        <v>0</v>
      </c>
      <c r="CD80" s="39">
        <f t="shared" si="49"/>
        <v>0</v>
      </c>
      <c r="CE80" s="39">
        <f t="shared" si="49"/>
        <v>0</v>
      </c>
      <c r="CF80" s="39">
        <f t="shared" si="49"/>
        <v>0</v>
      </c>
      <c r="CG80" s="39">
        <f t="shared" si="49"/>
        <v>0</v>
      </c>
      <c r="CH80" s="39">
        <f t="shared" si="49"/>
        <v>0</v>
      </c>
      <c r="CI80" s="39">
        <f t="shared" si="49"/>
        <v>0</v>
      </c>
      <c r="CJ80" s="39">
        <f t="shared" si="49"/>
        <v>0</v>
      </c>
      <c r="CK80" s="39">
        <f t="shared" si="49"/>
        <v>0</v>
      </c>
      <c r="CL80" s="39">
        <f t="shared" si="49"/>
        <v>0</v>
      </c>
      <c r="CM80" s="39">
        <f t="shared" si="49"/>
        <v>0</v>
      </c>
      <c r="CN80" s="39">
        <f>ROUND($L$80*AW80,0)</f>
        <v>0</v>
      </c>
      <c r="CO80" s="39">
        <f>ROUND($L$80*AX80,0)</f>
        <v>0</v>
      </c>
      <c r="CP80" s="39">
        <f>ROUND($L$80*AY80,0)</f>
        <v>0</v>
      </c>
      <c r="CQ80" s="39">
        <f>ROUND($L$80*AZ80,0)</f>
        <v>0</v>
      </c>
      <c r="CR80" s="39">
        <f>ROUND($M$80*BA80,0)</f>
        <v>0</v>
      </c>
      <c r="CS80" s="39">
        <f>ROUND($L$80*BB80,0)</f>
        <v>0</v>
      </c>
      <c r="CT80" s="39">
        <f t="shared" si="47"/>
        <v>0</v>
      </c>
      <c r="CU80" s="39">
        <f t="shared" si="47"/>
        <v>0</v>
      </c>
      <c r="CV80" s="39">
        <f>ROUND($O80*BE80,0)</f>
        <v>0</v>
      </c>
      <c r="CW80" s="39"/>
      <c r="CX80" s="39"/>
    </row>
    <row r="81" spans="1:102" x14ac:dyDescent="0.2">
      <c r="A81" t="s">
        <v>44</v>
      </c>
      <c r="C81" s="9">
        <v>50.33</v>
      </c>
      <c r="D81" s="9">
        <v>28.76</v>
      </c>
      <c r="E81" s="9">
        <v>262.33</v>
      </c>
      <c r="F81" s="9">
        <v>262.33</v>
      </c>
      <c r="G81" s="9">
        <v>262.33</v>
      </c>
      <c r="H81" s="70">
        <v>262.33</v>
      </c>
      <c r="I81" s="53">
        <v>262.33</v>
      </c>
      <c r="J81" s="90">
        <v>262.33</v>
      </c>
      <c r="K81" s="90">
        <v>262.33</v>
      </c>
      <c r="L81" s="90">
        <v>262.33</v>
      </c>
      <c r="M81" s="90"/>
      <c r="N81" s="90"/>
      <c r="O81" s="100"/>
      <c r="P81" s="90"/>
      <c r="Q81" s="237"/>
      <c r="R81" s="3">
        <v>0</v>
      </c>
      <c r="S81" s="3">
        <v>1</v>
      </c>
      <c r="T81" s="3">
        <v>0</v>
      </c>
      <c r="U81" s="3">
        <v>1</v>
      </c>
      <c r="V81" s="3">
        <v>5</v>
      </c>
      <c r="W81" s="3">
        <v>3</v>
      </c>
      <c r="X81" s="3">
        <v>8</v>
      </c>
      <c r="Y81" s="3">
        <v>4</v>
      </c>
      <c r="Z81" s="3">
        <v>0</v>
      </c>
      <c r="AA81" s="6">
        <v>8</v>
      </c>
      <c r="AB81" s="6">
        <f>+Y6b!C38</f>
        <v>18</v>
      </c>
      <c r="AC81" s="38">
        <f>+Y7a!C38</f>
        <v>5</v>
      </c>
      <c r="AD81" s="38">
        <f>+Y7b!C38</f>
        <v>16</v>
      </c>
      <c r="AE81" s="38">
        <f>+Y8a!C41</f>
        <v>0</v>
      </c>
      <c r="AF81" s="38">
        <f>+Y8b!C41</f>
        <v>0</v>
      </c>
      <c r="AG81" s="38">
        <f>+Y9a!C41</f>
        <v>0</v>
      </c>
      <c r="AH81" s="38">
        <f>+Y9b!C41</f>
        <v>0</v>
      </c>
      <c r="AI81" s="38">
        <f>+Y10a!C41</f>
        <v>0</v>
      </c>
      <c r="AJ81" s="38">
        <f>+Y10b!C41</f>
        <v>0</v>
      </c>
      <c r="AK81" s="38">
        <f>+Y11a!C41</f>
        <v>0</v>
      </c>
      <c r="AL81" s="38">
        <f>+Y11b!C41</f>
        <v>0</v>
      </c>
      <c r="AM81" s="38">
        <f>+Y12a!C49</f>
        <v>0</v>
      </c>
      <c r="AN81" s="38">
        <f>+Y12b!C41</f>
        <v>0</v>
      </c>
      <c r="AO81" s="38">
        <f>+Y13a!C41</f>
        <v>0</v>
      </c>
      <c r="AP81" s="38">
        <f>+Y13b!C41</f>
        <v>0</v>
      </c>
      <c r="AQ81" s="38">
        <f>+Y14a!D49</f>
        <v>0</v>
      </c>
      <c r="AR81" s="38">
        <f>+Y14b!C49</f>
        <v>0</v>
      </c>
      <c r="AS81" s="38">
        <f>+Y15a!C49</f>
        <v>0</v>
      </c>
      <c r="AT81" s="38">
        <f>+Y14b!D49</f>
        <v>0</v>
      </c>
      <c r="AU81" s="38">
        <f>Y16a!C70</f>
        <v>0</v>
      </c>
      <c r="AV81" s="38">
        <f>Y16b!C70</f>
        <v>0</v>
      </c>
      <c r="AW81" s="38">
        <f>Y17a!C70</f>
        <v>0</v>
      </c>
      <c r="AX81" s="38">
        <f>Y17b!C70</f>
        <v>0</v>
      </c>
      <c r="AY81" s="38">
        <f>Y18a!C70</f>
        <v>0</v>
      </c>
      <c r="AZ81" s="38">
        <f>Y18b!C70</f>
        <v>0</v>
      </c>
      <c r="BA81" s="38">
        <f>Y19a!C70</f>
        <v>0</v>
      </c>
      <c r="BB81" s="38">
        <f>Y19b!C69</f>
        <v>0</v>
      </c>
      <c r="BC81" s="242">
        <f>+Y20a!C77</f>
        <v>0</v>
      </c>
      <c r="BD81" s="242">
        <f>+Y20a!D77</f>
        <v>0</v>
      </c>
      <c r="BE81" s="242">
        <v>0</v>
      </c>
      <c r="BF81" s="6"/>
      <c r="BG81" s="6"/>
      <c r="BH81" s="237"/>
      <c r="BI81" s="10">
        <v>0</v>
      </c>
      <c r="BJ81" s="10">
        <v>50</v>
      </c>
      <c r="BK81" s="10">
        <v>0</v>
      </c>
      <c r="BL81" s="10">
        <v>29</v>
      </c>
      <c r="BM81" s="10">
        <v>144</v>
      </c>
      <c r="BN81" s="10">
        <v>787</v>
      </c>
      <c r="BO81" s="10">
        <v>2099</v>
      </c>
      <c r="BP81" s="10">
        <v>1049</v>
      </c>
      <c r="BQ81" s="10">
        <v>0</v>
      </c>
      <c r="BR81" s="10">
        <f>ROUND(E81*AA81,0)</f>
        <v>2099</v>
      </c>
      <c r="BS81" s="10">
        <f>ROUND(E81*AB81,0)</f>
        <v>4722</v>
      </c>
      <c r="BT81" s="39">
        <f t="shared" ref="BT81:BY81" si="50">ROUND($F$81*AC81,0)</f>
        <v>1312</v>
      </c>
      <c r="BU81" s="40">
        <f t="shared" si="50"/>
        <v>4197</v>
      </c>
      <c r="BV81" s="39">
        <f t="shared" si="50"/>
        <v>0</v>
      </c>
      <c r="BW81" s="39">
        <f t="shared" si="50"/>
        <v>0</v>
      </c>
      <c r="BX81" s="39">
        <f t="shared" si="50"/>
        <v>0</v>
      </c>
      <c r="BY81" s="39">
        <f t="shared" si="50"/>
        <v>0</v>
      </c>
      <c r="BZ81" s="39">
        <f t="shared" ref="BZ81:CM81" si="51">ROUND($G$81*AI81,0)</f>
        <v>0</v>
      </c>
      <c r="CA81" s="39">
        <f t="shared" si="51"/>
        <v>0</v>
      </c>
      <c r="CB81" s="39">
        <f t="shared" si="51"/>
        <v>0</v>
      </c>
      <c r="CC81" s="39">
        <f t="shared" si="51"/>
        <v>0</v>
      </c>
      <c r="CD81" s="39">
        <f t="shared" si="51"/>
        <v>0</v>
      </c>
      <c r="CE81" s="39">
        <f t="shared" si="51"/>
        <v>0</v>
      </c>
      <c r="CF81" s="39">
        <f t="shared" si="51"/>
        <v>0</v>
      </c>
      <c r="CG81" s="39">
        <f t="shared" si="51"/>
        <v>0</v>
      </c>
      <c r="CH81" s="39">
        <f t="shared" si="51"/>
        <v>0</v>
      </c>
      <c r="CI81" s="39">
        <f t="shared" si="51"/>
        <v>0</v>
      </c>
      <c r="CJ81" s="39">
        <f t="shared" si="51"/>
        <v>0</v>
      </c>
      <c r="CK81" s="39">
        <f t="shared" si="51"/>
        <v>0</v>
      </c>
      <c r="CL81" s="39">
        <f t="shared" si="51"/>
        <v>0</v>
      </c>
      <c r="CM81" s="39">
        <f t="shared" si="51"/>
        <v>0</v>
      </c>
      <c r="CN81" s="39">
        <f>ROUND($L$81*AW81,0)</f>
        <v>0</v>
      </c>
      <c r="CO81" s="39">
        <f>ROUND($L$81*AX81,0)</f>
        <v>0</v>
      </c>
      <c r="CP81" s="39">
        <f>ROUND($L$81*AY81,0)</f>
        <v>0</v>
      </c>
      <c r="CQ81" s="39">
        <f>ROUND($L$81*AZ81,0)</f>
        <v>0</v>
      </c>
      <c r="CR81" s="39">
        <f>ROUND($M$81*BA81,0)</f>
        <v>0</v>
      </c>
      <c r="CS81" s="39">
        <f>ROUND($L$81*BB81,0)</f>
        <v>0</v>
      </c>
      <c r="CT81" s="39">
        <f t="shared" si="47"/>
        <v>0</v>
      </c>
      <c r="CU81" s="39">
        <f t="shared" si="47"/>
        <v>0</v>
      </c>
      <c r="CV81" s="39">
        <f>ROUND($O81*BE81,0)</f>
        <v>0</v>
      </c>
      <c r="CW81" s="39"/>
      <c r="CX81" s="39"/>
    </row>
    <row r="82" spans="1:102" x14ac:dyDescent="0.2">
      <c r="C82" s="9"/>
      <c r="D82" s="9"/>
      <c r="E82" s="9"/>
      <c r="F82" s="9"/>
      <c r="G82" s="9"/>
      <c r="H82" s="70"/>
      <c r="I82" s="53"/>
      <c r="J82" s="90"/>
      <c r="K82" s="90"/>
      <c r="L82" s="100"/>
      <c r="M82" s="100"/>
      <c r="N82" s="100"/>
      <c r="O82" s="100"/>
      <c r="P82" s="100"/>
      <c r="Q82" s="237"/>
      <c r="R82" s="3"/>
      <c r="S82" s="3"/>
      <c r="T82" s="3"/>
      <c r="U82" s="3"/>
      <c r="V82" s="3"/>
      <c r="W82" s="3"/>
      <c r="X82" s="3"/>
      <c r="Y82" s="3"/>
      <c r="Z82" s="3"/>
      <c r="AA82" s="6"/>
      <c r="AB82" s="6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237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39"/>
      <c r="BU82" s="40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</row>
    <row r="83" spans="1:102" x14ac:dyDescent="0.2">
      <c r="A83" t="s">
        <v>389</v>
      </c>
      <c r="C83" s="9"/>
      <c r="D83" s="9"/>
      <c r="E83" s="9"/>
      <c r="F83" s="9"/>
      <c r="G83" s="9"/>
      <c r="H83" s="70"/>
      <c r="I83" s="53"/>
      <c r="J83" s="90"/>
      <c r="K83" s="90"/>
      <c r="L83" s="100"/>
      <c r="M83" s="100"/>
      <c r="N83" s="100"/>
      <c r="O83" s="100"/>
      <c r="P83" s="100"/>
      <c r="Q83" s="237"/>
      <c r="R83" s="3"/>
      <c r="S83" s="3"/>
      <c r="T83" s="3"/>
      <c r="U83" s="3"/>
      <c r="V83" s="3"/>
      <c r="W83" s="3"/>
      <c r="X83" s="3"/>
      <c r="Y83" s="3"/>
      <c r="Z83" s="3"/>
      <c r="AA83" s="6"/>
      <c r="AB83" s="6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237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39"/>
      <c r="BU83" s="40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</row>
    <row r="84" spans="1:102" x14ac:dyDescent="0.2">
      <c r="A84" s="22" t="s">
        <v>394</v>
      </c>
      <c r="C84" s="9"/>
      <c r="D84" s="9"/>
      <c r="E84" s="9"/>
      <c r="F84" s="9"/>
      <c r="G84" s="9"/>
      <c r="H84" s="70"/>
      <c r="I84" s="53"/>
      <c r="J84" s="92">
        <v>0.93</v>
      </c>
      <c r="K84" s="92">
        <v>0.93</v>
      </c>
      <c r="L84" s="102">
        <v>-29.05</v>
      </c>
      <c r="M84" s="102">
        <v>-959.27</v>
      </c>
      <c r="N84" s="102">
        <v>-959.27</v>
      </c>
      <c r="O84" s="102">
        <v>-959.27</v>
      </c>
      <c r="P84" s="102"/>
      <c r="Q84" s="237"/>
      <c r="R84" s="3"/>
      <c r="S84" s="3"/>
      <c r="T84" s="3"/>
      <c r="U84" s="3"/>
      <c r="V84" s="3"/>
      <c r="W84" s="3"/>
      <c r="X84" s="3"/>
      <c r="Y84" s="3"/>
      <c r="Z84" s="3"/>
      <c r="AA84" s="6"/>
      <c r="AB84" s="6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>
        <f>Y15b!C74</f>
        <v>0</v>
      </c>
      <c r="AU84" s="38">
        <f>Y16a!C73</f>
        <v>1</v>
      </c>
      <c r="AV84" s="38">
        <f>Y16b!C73</f>
        <v>2</v>
      </c>
      <c r="AW84" s="38">
        <f>Y17a!C73</f>
        <v>1</v>
      </c>
      <c r="AX84" s="38">
        <f>Y17b!C73</f>
        <v>0</v>
      </c>
      <c r="AY84" s="38">
        <f>Y18a!C73</f>
        <v>0</v>
      </c>
      <c r="AZ84" s="38">
        <f>Y18b!C73</f>
        <v>0</v>
      </c>
      <c r="BA84" s="38">
        <f>Y19a!C73</f>
        <v>0</v>
      </c>
      <c r="BB84" s="38">
        <f>Y19b!C72</f>
        <v>0</v>
      </c>
      <c r="BC84" s="242">
        <f>Y20a!C78</f>
        <v>0</v>
      </c>
      <c r="BD84" s="242">
        <f>Y20b!C78</f>
        <v>2</v>
      </c>
      <c r="BE84" s="6">
        <f>Y21a!C70</f>
        <v>0</v>
      </c>
      <c r="BF84" s="6"/>
      <c r="BG84" s="6"/>
      <c r="BH84" s="237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39"/>
      <c r="BU84" s="40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>
        <f>ROUND($J$84*AT84,0)</f>
        <v>0</v>
      </c>
      <c r="CL84" s="39">
        <f>ROUND($K$84*AU84,0)</f>
        <v>1</v>
      </c>
      <c r="CM84" s="39">
        <f>ROUND($K$84*AV84,0)</f>
        <v>2</v>
      </c>
      <c r="CN84" s="39">
        <f>ROUND($L$84*AW84,0)</f>
        <v>-29</v>
      </c>
      <c r="CO84" s="39">
        <f>ROUND($L$84*AX84,0)</f>
        <v>0</v>
      </c>
      <c r="CP84" s="39">
        <f>ROUND($L$84*AY84,0)</f>
        <v>0</v>
      </c>
      <c r="CQ84" s="39">
        <f>ROUND($L$84*AZ84,0)</f>
        <v>0</v>
      </c>
      <c r="CR84" s="39">
        <f>ROUND($M$84*BA84,0)</f>
        <v>0</v>
      </c>
      <c r="CS84" s="39">
        <f>ROUND($M$84*BB84,0)</f>
        <v>0</v>
      </c>
      <c r="CT84" s="183">
        <f>ROUND($M$84*BC84,0)</f>
        <v>0</v>
      </c>
      <c r="CU84" s="183">
        <f>ROUND($M$84*BD84,0)</f>
        <v>-1919</v>
      </c>
      <c r="CV84" s="39">
        <f>ROUND($O84*BE84,0)</f>
        <v>0</v>
      </c>
      <c r="CW84" s="183"/>
      <c r="CX84" s="183"/>
    </row>
    <row r="85" spans="1:102" x14ac:dyDescent="0.2">
      <c r="A85" s="22" t="s">
        <v>395</v>
      </c>
      <c r="C85" s="9"/>
      <c r="D85" s="9"/>
      <c r="E85" s="9"/>
      <c r="F85" s="9"/>
      <c r="G85" s="9"/>
      <c r="H85" s="70"/>
      <c r="I85" s="53"/>
      <c r="J85" s="92">
        <v>58.1</v>
      </c>
      <c r="K85" s="92">
        <v>58.1</v>
      </c>
      <c r="L85" s="102">
        <v>-9.19</v>
      </c>
      <c r="M85" s="102">
        <v>-23.19</v>
      </c>
      <c r="N85" s="102">
        <v>-23.19</v>
      </c>
      <c r="O85" s="102">
        <v>-23.19</v>
      </c>
      <c r="P85" s="102"/>
      <c r="Q85" s="237"/>
      <c r="R85" s="3"/>
      <c r="S85" s="3"/>
      <c r="T85" s="3"/>
      <c r="U85" s="3"/>
      <c r="V85" s="3"/>
      <c r="W85" s="3"/>
      <c r="X85" s="3"/>
      <c r="Y85" s="3"/>
      <c r="Z85" s="3"/>
      <c r="AA85" s="6"/>
      <c r="AB85" s="6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>
        <f>Y15b!C75</f>
        <v>0</v>
      </c>
      <c r="AU85" s="38">
        <f>Y16a!C74</f>
        <v>15</v>
      </c>
      <c r="AV85" s="38">
        <f>Y16b!C74</f>
        <v>6</v>
      </c>
      <c r="AW85" s="38">
        <f>Y17a!C74</f>
        <v>10</v>
      </c>
      <c r="AX85" s="38">
        <f>Y17b!C74</f>
        <v>10</v>
      </c>
      <c r="AY85" s="38">
        <f>Y18a!C74</f>
        <v>5</v>
      </c>
      <c r="AZ85" s="38">
        <f>Y18b!C74</f>
        <v>6</v>
      </c>
      <c r="BA85" s="38">
        <f>Y19a!C74</f>
        <v>7</v>
      </c>
      <c r="BB85" s="38">
        <f>Y19b!C73</f>
        <v>1</v>
      </c>
      <c r="BC85" s="242">
        <f>Y20a!C79</f>
        <v>7</v>
      </c>
      <c r="BD85" s="242">
        <f>Y20b!C79</f>
        <v>7</v>
      </c>
      <c r="BE85" s="6">
        <f>Y21a!C71</f>
        <v>0</v>
      </c>
      <c r="BF85" s="6"/>
      <c r="BG85" s="6"/>
      <c r="BH85" s="237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39"/>
      <c r="BU85" s="40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>
        <f>ROUND($J$85*AT85,0)</f>
        <v>0</v>
      </c>
      <c r="CL85" s="39">
        <f>ROUND($K$85*AU85,0)</f>
        <v>872</v>
      </c>
      <c r="CM85" s="39">
        <f>ROUND($K$85*AV85,0)</f>
        <v>349</v>
      </c>
      <c r="CN85" s="39">
        <f>ROUND($L$85*AW85,0)</f>
        <v>-92</v>
      </c>
      <c r="CO85" s="39">
        <f>ROUND($L$85*AX85,0)</f>
        <v>-92</v>
      </c>
      <c r="CP85" s="39">
        <f>ROUND($L$85*AY85,0)</f>
        <v>-46</v>
      </c>
      <c r="CQ85" s="39">
        <f>ROUND($L$85*AZ85,0)</f>
        <v>-55</v>
      </c>
      <c r="CR85" s="39">
        <f>ROUND($M$85*BA85,0)</f>
        <v>-162</v>
      </c>
      <c r="CS85" s="39">
        <f>ROUND($M$85*BB85,0)</f>
        <v>-23</v>
      </c>
      <c r="CT85" s="183">
        <f>ROUND($M$85*BC85,0)</f>
        <v>-162</v>
      </c>
      <c r="CU85" s="183">
        <f>ROUND($M$85*BD85,0)</f>
        <v>-162</v>
      </c>
      <c r="CV85" s="39">
        <f>ROUND($O85*BE85,0)</f>
        <v>0</v>
      </c>
      <c r="CW85" s="183"/>
      <c r="CX85" s="183"/>
    </row>
    <row r="86" spans="1:102" x14ac:dyDescent="0.2">
      <c r="C86" s="9"/>
      <c r="D86" s="9"/>
      <c r="E86" s="9"/>
      <c r="F86" s="9"/>
      <c r="G86" s="9"/>
      <c r="H86" s="70"/>
      <c r="I86" s="53"/>
      <c r="J86" s="90"/>
      <c r="K86" s="90"/>
      <c r="L86" s="100"/>
      <c r="M86" s="100"/>
      <c r="N86" s="100"/>
      <c r="O86" s="100"/>
      <c r="P86" s="100"/>
      <c r="Q86" s="237"/>
      <c r="R86" s="3"/>
      <c r="S86" s="3"/>
      <c r="T86" s="3"/>
      <c r="U86" s="3"/>
      <c r="V86" s="3"/>
      <c r="W86" s="3"/>
      <c r="X86" s="3"/>
      <c r="Y86" s="3"/>
      <c r="Z86" s="3"/>
      <c r="AA86" s="6"/>
      <c r="AB86" s="6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237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39"/>
      <c r="BU86" s="40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</row>
    <row r="87" spans="1:102" x14ac:dyDescent="0.2">
      <c r="A87" s="22" t="s">
        <v>388</v>
      </c>
      <c r="C87" s="9"/>
      <c r="D87" s="9"/>
      <c r="E87" s="9"/>
      <c r="F87" s="9"/>
      <c r="G87" s="9"/>
      <c r="H87" s="70"/>
      <c r="I87" s="53"/>
      <c r="J87" s="90"/>
      <c r="K87" s="90"/>
      <c r="L87" s="100"/>
      <c r="M87" s="100"/>
      <c r="N87" s="100"/>
      <c r="O87" s="100"/>
      <c r="P87" s="100"/>
      <c r="Q87" s="237"/>
      <c r="R87" s="3"/>
      <c r="S87" s="3"/>
      <c r="T87" s="3"/>
      <c r="U87" s="3"/>
      <c r="V87" s="3"/>
      <c r="W87" s="3"/>
      <c r="X87" s="3"/>
      <c r="Y87" s="3"/>
      <c r="Z87" s="3"/>
      <c r="AA87" s="6"/>
      <c r="AB87" s="6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237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39"/>
      <c r="BU87" s="40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</row>
    <row r="88" spans="1:102" x14ac:dyDescent="0.2">
      <c r="A88" s="22" t="s">
        <v>242</v>
      </c>
      <c r="C88" s="9"/>
      <c r="D88" s="9"/>
      <c r="E88" s="9"/>
      <c r="F88" s="9"/>
      <c r="G88" s="9"/>
      <c r="H88" s="70"/>
      <c r="I88" s="53"/>
      <c r="J88" s="92">
        <v>7.24</v>
      </c>
      <c r="K88" s="92">
        <v>7.24</v>
      </c>
      <c r="L88" s="102">
        <v>-6.78</v>
      </c>
      <c r="M88" s="102" t="s">
        <v>38</v>
      </c>
      <c r="N88" s="102" t="s">
        <v>38</v>
      </c>
      <c r="O88" s="102" t="s">
        <v>38</v>
      </c>
      <c r="P88" s="102"/>
      <c r="Q88" s="237"/>
      <c r="R88" s="3"/>
      <c r="S88" s="3"/>
      <c r="T88" s="3"/>
      <c r="U88" s="3"/>
      <c r="V88" s="3"/>
      <c r="W88" s="3"/>
      <c r="X88" s="3"/>
      <c r="Y88" s="3"/>
      <c r="Z88" s="3"/>
      <c r="AA88" s="6"/>
      <c r="AB88" s="6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>
        <f>Y15b!C78</f>
        <v>0</v>
      </c>
      <c r="AU88" s="38">
        <f>Y16a!C77</f>
        <v>1</v>
      </c>
      <c r="AV88" s="38">
        <f>Y16b!C77</f>
        <v>45</v>
      </c>
      <c r="AW88" s="38">
        <f>Y17a!C77</f>
        <v>24</v>
      </c>
      <c r="AX88" s="38">
        <f>Y17b!C77</f>
        <v>14</v>
      </c>
      <c r="AY88" s="38">
        <f>Y18a!C77</f>
        <v>0</v>
      </c>
      <c r="AZ88" s="38">
        <f>Y18b!C77</f>
        <v>0</v>
      </c>
      <c r="BA88" s="38">
        <f>Y19a!C77</f>
        <v>0</v>
      </c>
      <c r="BB88" s="38">
        <f>Y19b!C76</f>
        <v>0</v>
      </c>
      <c r="BC88" s="242">
        <f>Y20a!C82</f>
        <v>0</v>
      </c>
      <c r="BD88" s="242">
        <f>Y20a!D82</f>
        <v>0</v>
      </c>
      <c r="BE88" s="6">
        <v>0</v>
      </c>
      <c r="BF88" s="6"/>
      <c r="BG88" s="6"/>
      <c r="BH88" s="237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39"/>
      <c r="BU88" s="40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>
        <f>ROUND($J$88*AT88,0)</f>
        <v>0</v>
      </c>
      <c r="CL88" s="39">
        <f>ROUND($K$88*AU88,0)</f>
        <v>7</v>
      </c>
      <c r="CM88" s="39">
        <f>ROUND($K$88*AV88,0)</f>
        <v>326</v>
      </c>
      <c r="CN88" s="39">
        <f>ROUND($L$88*AW88,0)</f>
        <v>-163</v>
      </c>
      <c r="CO88" s="39">
        <f>ROUND($L$88*AX88,0)</f>
        <v>-95</v>
      </c>
      <c r="CP88" s="39">
        <f>ROUND($L$88*AY88,0)</f>
        <v>0</v>
      </c>
      <c r="CQ88" s="39">
        <f>ROUND($L$88*AZ88,0)</f>
        <v>0</v>
      </c>
      <c r="CR88" s="39">
        <v>0</v>
      </c>
      <c r="CS88" s="39">
        <f>ROUND($M$85*BB88,0)</f>
        <v>0</v>
      </c>
      <c r="CT88" s="39">
        <f>ROUND($L$88*BC88,0)</f>
        <v>0</v>
      </c>
      <c r="CU88" s="39">
        <f>ROUND($L$88*BD88,0)</f>
        <v>0</v>
      </c>
      <c r="CV88" s="39">
        <v>0</v>
      </c>
      <c r="CW88" s="39"/>
      <c r="CX88" s="39"/>
    </row>
    <row r="89" spans="1:102" x14ac:dyDescent="0.2">
      <c r="A89" s="22" t="s">
        <v>241</v>
      </c>
      <c r="C89" s="9"/>
      <c r="D89" s="9"/>
      <c r="E89" s="9"/>
      <c r="F89" s="9"/>
      <c r="G89" s="9"/>
      <c r="H89" s="70"/>
      <c r="I89" s="53"/>
      <c r="J89" s="92">
        <v>29.56</v>
      </c>
      <c r="K89" s="92">
        <v>29.56</v>
      </c>
      <c r="L89" s="102">
        <v>-0.35</v>
      </c>
      <c r="M89" s="102" t="s">
        <v>38</v>
      </c>
      <c r="N89" s="102" t="s">
        <v>38</v>
      </c>
      <c r="O89" s="102" t="s">
        <v>38</v>
      </c>
      <c r="P89" s="102"/>
      <c r="Q89" s="237"/>
      <c r="R89" s="3"/>
      <c r="S89" s="3"/>
      <c r="T89" s="3"/>
      <c r="U89" s="3"/>
      <c r="V89" s="3"/>
      <c r="W89" s="3"/>
      <c r="X89" s="3"/>
      <c r="Y89" s="3"/>
      <c r="Z89" s="3"/>
      <c r="AA89" s="6"/>
      <c r="AB89" s="6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>
        <f>Y15b!C79</f>
        <v>1</v>
      </c>
      <c r="AU89" s="38">
        <f>Y16a!C78</f>
        <v>18</v>
      </c>
      <c r="AV89" s="38">
        <f>Y16b!C78</f>
        <v>88</v>
      </c>
      <c r="AW89" s="38">
        <f>Y17a!C78</f>
        <v>56</v>
      </c>
      <c r="AX89" s="38">
        <f>Y17b!C78</f>
        <v>44</v>
      </c>
      <c r="AY89" s="38">
        <f>Y18a!C78</f>
        <v>6</v>
      </c>
      <c r="AZ89" s="38">
        <f>Y18b!C78</f>
        <v>10</v>
      </c>
      <c r="BA89" s="38">
        <f>Y19a!C78</f>
        <v>3</v>
      </c>
      <c r="BB89" s="38">
        <f>Y19b!C77</f>
        <v>16</v>
      </c>
      <c r="BC89" s="242">
        <f>Y20a!C83</f>
        <v>0</v>
      </c>
      <c r="BD89" s="242">
        <v>0</v>
      </c>
      <c r="BE89" s="6">
        <v>0</v>
      </c>
      <c r="BF89" s="6"/>
      <c r="BG89" s="6"/>
      <c r="BH89" s="237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39"/>
      <c r="BU89" s="40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>
        <f>ROUND($J$89*AT89,0)</f>
        <v>30</v>
      </c>
      <c r="CL89" s="39">
        <f>ROUND($K$89*AU89,0)</f>
        <v>532</v>
      </c>
      <c r="CM89" s="39">
        <f>ROUND($K$89*AV89,0)</f>
        <v>2601</v>
      </c>
      <c r="CN89" s="39">
        <f>ROUND($L$89*AW89,0)</f>
        <v>-20</v>
      </c>
      <c r="CO89" s="39">
        <f>ROUND($L$89*AX89,0)</f>
        <v>-15</v>
      </c>
      <c r="CP89" s="39">
        <f>ROUND($L$89*AY89,0)</f>
        <v>-2</v>
      </c>
      <c r="CQ89" s="39">
        <f>ROUND($L$89*AZ89,0)</f>
        <v>-4</v>
      </c>
      <c r="CR89" s="39">
        <v>0</v>
      </c>
      <c r="CS89" s="39">
        <f>ROUND($M$85*BB89,0)</f>
        <v>-371</v>
      </c>
      <c r="CT89" s="39">
        <f>ROUND($L$89*BC89,0)</f>
        <v>0</v>
      </c>
      <c r="CU89" s="39">
        <f>ROUND($L$89*BD89,0)</f>
        <v>0</v>
      </c>
      <c r="CV89" s="39">
        <v>0</v>
      </c>
      <c r="CW89" s="39"/>
      <c r="CX89" s="39"/>
    </row>
    <row r="90" spans="1:102" x14ac:dyDescent="0.2">
      <c r="A90" s="22"/>
      <c r="C90" s="9"/>
      <c r="D90" s="9"/>
      <c r="E90" s="9"/>
      <c r="F90" s="9"/>
      <c r="G90" s="9"/>
      <c r="H90" s="70"/>
      <c r="I90" s="53"/>
      <c r="J90" s="90"/>
      <c r="K90" s="90"/>
      <c r="L90" s="100"/>
      <c r="M90" s="100"/>
      <c r="N90" s="100"/>
      <c r="O90" s="100"/>
      <c r="P90" s="100"/>
      <c r="Q90" s="237"/>
      <c r="R90" s="3"/>
      <c r="S90" s="3"/>
      <c r="T90" s="3"/>
      <c r="U90" s="3"/>
      <c r="V90" s="3"/>
      <c r="W90" s="3"/>
      <c r="X90" s="3"/>
      <c r="Y90" s="3"/>
      <c r="Z90" s="3"/>
      <c r="AA90" s="6"/>
      <c r="AB90" s="6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237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39"/>
      <c r="BU90" s="40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</row>
    <row r="91" spans="1:102" x14ac:dyDescent="0.2">
      <c r="A91" s="22" t="s">
        <v>396</v>
      </c>
      <c r="C91" s="9"/>
      <c r="D91" s="9"/>
      <c r="E91" s="9"/>
      <c r="F91" s="9"/>
      <c r="G91" s="9"/>
      <c r="H91" s="70"/>
      <c r="I91" s="53"/>
      <c r="J91" s="92">
        <v>0</v>
      </c>
      <c r="K91" s="92">
        <v>2380.66</v>
      </c>
      <c r="L91" s="102">
        <v>-242.1</v>
      </c>
      <c r="M91" s="102">
        <v>739.57</v>
      </c>
      <c r="N91" s="102">
        <v>739.57</v>
      </c>
      <c r="O91" s="102">
        <v>739.57</v>
      </c>
      <c r="P91" s="102"/>
      <c r="Q91" s="237"/>
      <c r="R91" s="3"/>
      <c r="S91" s="3"/>
      <c r="T91" s="3"/>
      <c r="U91" s="3"/>
      <c r="V91" s="3"/>
      <c r="W91" s="3"/>
      <c r="X91" s="3"/>
      <c r="Y91" s="3"/>
      <c r="Z91" s="3"/>
      <c r="AA91" s="6"/>
      <c r="AB91" s="6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>
        <f>Y15b!C85</f>
        <v>0</v>
      </c>
      <c r="AU91" s="38">
        <f>Y16a!C84</f>
        <v>0</v>
      </c>
      <c r="AV91" s="38">
        <f>Y16b!C84</f>
        <v>18</v>
      </c>
      <c r="AW91" s="38">
        <f>Y17a!C84</f>
        <v>24</v>
      </c>
      <c r="AX91" s="38">
        <f>Y17b!C84</f>
        <v>104</v>
      </c>
      <c r="AY91" s="38">
        <f>Y18a!C80</f>
        <v>53</v>
      </c>
      <c r="AZ91" s="38">
        <f>Y18b!C80</f>
        <v>98</v>
      </c>
      <c r="BA91" s="38">
        <f>Y19a!C80</f>
        <v>37</v>
      </c>
      <c r="BB91" s="38">
        <f>Y19b!C79</f>
        <v>140</v>
      </c>
      <c r="BC91" s="242">
        <f>Y20a!C85</f>
        <v>68</v>
      </c>
      <c r="BD91" s="242">
        <f>Y20b!C85</f>
        <v>132</v>
      </c>
      <c r="BE91" s="6">
        <f>Y21a!C79</f>
        <v>0</v>
      </c>
      <c r="BF91" s="6"/>
      <c r="BG91" s="6"/>
      <c r="BH91" s="237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39"/>
      <c r="BU91" s="40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>
        <f>ROUND($J$91*AT91,0)</f>
        <v>0</v>
      </c>
      <c r="CL91" s="39">
        <f>ROUND($K$91*AU91,0)</f>
        <v>0</v>
      </c>
      <c r="CM91" s="39">
        <f>ROUND($K$91*AV91,0)</f>
        <v>42852</v>
      </c>
      <c r="CN91" s="39">
        <f>ROUND($L$91*AW91,0)</f>
        <v>-5810</v>
      </c>
      <c r="CO91" s="39">
        <f>ROUND($L$91*AX91,0)</f>
        <v>-25178</v>
      </c>
      <c r="CP91" s="39">
        <f>ROUND($L$91*AY91,0)</f>
        <v>-12831</v>
      </c>
      <c r="CQ91" s="39">
        <f>ROUND($L$91*AZ91,0)</f>
        <v>-23726</v>
      </c>
      <c r="CR91" s="39">
        <f>ROUND($M$91*BA91,0)</f>
        <v>27364</v>
      </c>
      <c r="CS91" s="39">
        <f>ROUND($M$91*BB91,0)</f>
        <v>103540</v>
      </c>
      <c r="CT91" s="39">
        <f>ROUND($M$91*BC91,0)</f>
        <v>50291</v>
      </c>
      <c r="CU91" s="39">
        <f>ROUND($M$91*BD91,0)</f>
        <v>97623</v>
      </c>
      <c r="CV91" s="39">
        <f>ROUND($O91*BE91,0)</f>
        <v>0</v>
      </c>
      <c r="CW91" s="39"/>
      <c r="CX91" s="39"/>
    </row>
    <row r="92" spans="1:102" x14ac:dyDescent="0.2">
      <c r="A92" s="22"/>
      <c r="C92" s="9"/>
      <c r="D92" s="9"/>
      <c r="E92" s="9"/>
      <c r="F92" s="9"/>
      <c r="G92" s="9"/>
      <c r="H92" s="70"/>
      <c r="I92" s="53"/>
      <c r="J92" s="90"/>
      <c r="K92" s="90"/>
      <c r="L92" s="100"/>
      <c r="M92" s="100"/>
      <c r="N92" s="100"/>
      <c r="O92" s="100"/>
      <c r="P92" s="100"/>
      <c r="Q92" s="237"/>
      <c r="R92" s="3"/>
      <c r="S92" s="3"/>
      <c r="T92" s="3"/>
      <c r="U92" s="3"/>
      <c r="V92" s="3"/>
      <c r="W92" s="3"/>
      <c r="X92" s="3"/>
      <c r="Y92" s="3"/>
      <c r="Z92" s="3"/>
      <c r="AA92" s="6"/>
      <c r="AB92" s="6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237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39"/>
      <c r="BU92" s="40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</row>
    <row r="93" spans="1:102" x14ac:dyDescent="0.2">
      <c r="A93" s="22" t="s">
        <v>392</v>
      </c>
      <c r="C93" s="9"/>
      <c r="D93" s="9"/>
      <c r="E93" s="9"/>
      <c r="F93" s="9"/>
      <c r="G93" s="9"/>
      <c r="H93" s="70"/>
      <c r="I93" s="53"/>
      <c r="J93" s="90"/>
      <c r="K93" s="90"/>
      <c r="L93" s="90"/>
      <c r="M93" s="90"/>
      <c r="N93" s="90"/>
      <c r="O93" s="100"/>
      <c r="P93" s="90"/>
      <c r="Q93" s="237"/>
      <c r="R93" s="3"/>
      <c r="S93" s="3"/>
      <c r="T93" s="3"/>
      <c r="U93" s="3"/>
      <c r="V93" s="3"/>
      <c r="W93" s="3"/>
      <c r="X93" s="3"/>
      <c r="Y93" s="3"/>
      <c r="Z93" s="3"/>
      <c r="AA93" s="6"/>
      <c r="AB93" s="6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237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39"/>
      <c r="BU93" s="40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</row>
    <row r="94" spans="1:102" x14ac:dyDescent="0.2">
      <c r="A94" t="s">
        <v>208</v>
      </c>
      <c r="C94" s="9"/>
      <c r="D94" s="9"/>
      <c r="E94" s="9"/>
      <c r="F94" s="9"/>
      <c r="G94" s="9"/>
      <c r="H94" s="70"/>
      <c r="I94" s="53"/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102">
        <v>0</v>
      </c>
      <c r="P94" s="92"/>
      <c r="Q94" s="237"/>
      <c r="R94" s="3"/>
      <c r="S94" s="3"/>
      <c r="T94" s="3"/>
      <c r="U94" s="3"/>
      <c r="V94" s="3"/>
      <c r="W94" s="3"/>
      <c r="X94" s="3"/>
      <c r="Y94" s="3"/>
      <c r="Z94" s="3"/>
      <c r="AA94" s="6"/>
      <c r="AB94" s="6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>
        <f>Y16a!C81</f>
        <v>0</v>
      </c>
      <c r="AV94" s="38">
        <f>Y16b!C81</f>
        <v>0</v>
      </c>
      <c r="AW94" s="38">
        <f>Y17a!C81</f>
        <v>0</v>
      </c>
      <c r="AX94" s="38">
        <f>Y17b!C81</f>
        <v>0</v>
      </c>
      <c r="AY94" s="38">
        <v>0</v>
      </c>
      <c r="AZ94" s="38">
        <v>0</v>
      </c>
      <c r="BA94" s="38">
        <v>0</v>
      </c>
      <c r="BB94" s="38">
        <v>0</v>
      </c>
      <c r="BC94" s="38">
        <v>0</v>
      </c>
      <c r="BD94" s="38">
        <v>0</v>
      </c>
      <c r="BE94" s="38">
        <v>0</v>
      </c>
      <c r="BF94" s="38"/>
      <c r="BG94" s="38"/>
      <c r="BH94" s="237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39"/>
      <c r="BU94" s="40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>
        <f>ROUND($K$94*AU94,0)</f>
        <v>0</v>
      </c>
      <c r="CM94" s="39">
        <f>ROUND($K$94*AV94,0)</f>
        <v>0</v>
      </c>
      <c r="CN94" s="39">
        <f>ROUND($L$94*AW94,0)</f>
        <v>0</v>
      </c>
      <c r="CO94" s="39">
        <f>ROUND($L$94*AX94,0)</f>
        <v>0</v>
      </c>
      <c r="CP94" s="39">
        <f>ROUND($L$94*AY94,0)</f>
        <v>0</v>
      </c>
      <c r="CQ94" s="39">
        <f>ROUND($L$94*AZ94,0)</f>
        <v>0</v>
      </c>
      <c r="CR94" s="39">
        <f>ROUND($M$94*BA94,0)</f>
        <v>0</v>
      </c>
      <c r="CS94" s="39">
        <f>ROUND($M$94*BB94,0)</f>
        <v>0</v>
      </c>
      <c r="CT94" s="39">
        <f>ROUND($M94*BC94,0)</f>
        <v>0</v>
      </c>
      <c r="CU94" s="39">
        <f>ROUND($M94*BD94,0)</f>
        <v>0</v>
      </c>
      <c r="CV94" s="39">
        <f>ROUND($O94*BE94,0)</f>
        <v>0</v>
      </c>
      <c r="CW94" s="39"/>
      <c r="CX94" s="39"/>
    </row>
    <row r="95" spans="1:102" x14ac:dyDescent="0.2">
      <c r="A95" t="s">
        <v>397</v>
      </c>
      <c r="C95" s="9"/>
      <c r="D95" s="9"/>
      <c r="E95" s="9"/>
      <c r="F95" s="9"/>
      <c r="G95" s="9"/>
      <c r="H95" s="70"/>
      <c r="I95" s="53"/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102">
        <v>0</v>
      </c>
      <c r="P95" s="92"/>
      <c r="Q95" s="237"/>
      <c r="R95" s="3"/>
      <c r="S95" s="3"/>
      <c r="T95" s="3"/>
      <c r="U95" s="3"/>
      <c r="V95" s="3"/>
      <c r="W95" s="3"/>
      <c r="X95" s="3"/>
      <c r="Y95" s="3"/>
      <c r="Z95" s="3"/>
      <c r="AA95" s="6"/>
      <c r="AB95" s="6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>
        <f>Y16a!C82</f>
        <v>0</v>
      </c>
      <c r="AV95" s="38">
        <f>Y16b!C82</f>
        <v>0</v>
      </c>
      <c r="AW95" s="38">
        <f>Y17a!C82</f>
        <v>0</v>
      </c>
      <c r="AX95" s="38">
        <f>Y17b!C82</f>
        <v>0</v>
      </c>
      <c r="AY95" s="38">
        <v>0</v>
      </c>
      <c r="AZ95" s="38">
        <v>0</v>
      </c>
      <c r="BA95" s="38">
        <v>0</v>
      </c>
      <c r="BB95" s="38">
        <v>0</v>
      </c>
      <c r="BC95" s="38">
        <v>0</v>
      </c>
      <c r="BD95" s="38">
        <v>0</v>
      </c>
      <c r="BE95" s="38">
        <v>0</v>
      </c>
      <c r="BF95" s="38"/>
      <c r="BG95" s="38"/>
      <c r="BH95" s="237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39"/>
      <c r="BU95" s="40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>
        <f>ROUND($K$95*AU95,0)</f>
        <v>0</v>
      </c>
      <c r="CM95" s="39">
        <f>ROUND($K$95*AV95,0)</f>
        <v>0</v>
      </c>
      <c r="CN95" s="39">
        <f>ROUND($L$95*AW95,0)</f>
        <v>0</v>
      </c>
      <c r="CO95" s="39">
        <f>ROUND($L$95*AX95,0)</f>
        <v>0</v>
      </c>
      <c r="CP95" s="39">
        <f>ROUND($L$95*AY95,0)</f>
        <v>0</v>
      </c>
      <c r="CQ95" s="39">
        <f>ROUND($L$95*AZ95,0)</f>
        <v>0</v>
      </c>
      <c r="CR95" s="39">
        <f>ROUND($M$95*BA95,0)</f>
        <v>0</v>
      </c>
      <c r="CS95" s="39">
        <f>ROUND($M$95*BB95,0)</f>
        <v>0</v>
      </c>
      <c r="CT95" s="39">
        <f>ROUND($M95*BC95,0)</f>
        <v>0</v>
      </c>
      <c r="CU95" s="39">
        <f>ROUND($M95*BD95,0)</f>
        <v>0</v>
      </c>
      <c r="CV95" s="39">
        <f>ROUND($O95*BE95,0)</f>
        <v>0</v>
      </c>
      <c r="CW95" s="39"/>
      <c r="CX95" s="39"/>
    </row>
    <row r="96" spans="1:102" x14ac:dyDescent="0.2">
      <c r="C96" s="9"/>
      <c r="D96" s="9"/>
      <c r="E96" s="9"/>
      <c r="F96" s="9"/>
      <c r="G96" s="9"/>
      <c r="H96" s="70"/>
      <c r="I96" s="53"/>
      <c r="J96" s="92"/>
      <c r="K96" s="92"/>
      <c r="L96" s="92"/>
      <c r="M96" s="92"/>
      <c r="N96" s="92"/>
      <c r="O96" s="102"/>
      <c r="P96" s="92"/>
      <c r="Q96" s="237"/>
      <c r="R96" s="3"/>
      <c r="S96" s="3"/>
      <c r="T96" s="3"/>
      <c r="U96" s="3"/>
      <c r="V96" s="3"/>
      <c r="W96" s="3"/>
      <c r="X96" s="3"/>
      <c r="Y96" s="3"/>
      <c r="Z96" s="3"/>
      <c r="AA96" s="6"/>
      <c r="AB96" s="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237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39"/>
      <c r="BU96" s="40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</row>
    <row r="97" spans="1:102" x14ac:dyDescent="0.2">
      <c r="A97" s="108" t="s">
        <v>517</v>
      </c>
      <c r="C97" s="9"/>
      <c r="D97" s="9"/>
      <c r="E97" s="9"/>
      <c r="F97" s="9"/>
      <c r="G97" s="9"/>
      <c r="H97" s="70"/>
      <c r="I97" s="53"/>
      <c r="J97" s="92"/>
      <c r="K97" s="92"/>
      <c r="L97" s="92"/>
      <c r="M97" s="92"/>
      <c r="N97" s="92"/>
      <c r="O97" s="102">
        <v>1.1200000000000001</v>
      </c>
      <c r="P97" s="92"/>
      <c r="Q97" s="237"/>
      <c r="R97" s="3"/>
      <c r="S97" s="3"/>
      <c r="T97" s="3"/>
      <c r="U97" s="3"/>
      <c r="V97" s="3"/>
      <c r="W97" s="3"/>
      <c r="X97" s="3"/>
      <c r="Y97" s="3"/>
      <c r="Z97" s="3"/>
      <c r="AA97" s="6"/>
      <c r="AB97" s="6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>
        <f>Y21a!C67</f>
        <v>0</v>
      </c>
      <c r="BF97" s="38"/>
      <c r="BG97" s="38"/>
      <c r="BH97" s="237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39"/>
      <c r="BU97" s="40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>
        <f>ROUND($O97*BE97,0)</f>
        <v>0</v>
      </c>
      <c r="CW97" s="39"/>
      <c r="CX97" s="39"/>
    </row>
    <row r="98" spans="1:102" x14ac:dyDescent="0.2">
      <c r="C98" s="9"/>
      <c r="D98" s="9"/>
      <c r="E98" s="9"/>
      <c r="F98" s="9"/>
      <c r="G98" s="9"/>
      <c r="H98" s="70"/>
      <c r="I98" s="53"/>
      <c r="J98" s="92"/>
      <c r="K98" s="92"/>
      <c r="L98" s="92"/>
      <c r="M98" s="92"/>
      <c r="N98" s="92"/>
      <c r="O98" s="102"/>
      <c r="P98" s="92"/>
      <c r="Q98" s="237"/>
      <c r="R98" s="3"/>
      <c r="S98" s="3"/>
      <c r="T98" s="3"/>
      <c r="U98" s="3"/>
      <c r="V98" s="3"/>
      <c r="W98" s="3"/>
      <c r="X98" s="3"/>
      <c r="Y98" s="3"/>
      <c r="Z98" s="3"/>
      <c r="AA98" s="6"/>
      <c r="AB98" s="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237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39"/>
      <c r="BU98" s="40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</row>
    <row r="99" spans="1:102" x14ac:dyDescent="0.2">
      <c r="A99" s="108" t="s">
        <v>552</v>
      </c>
      <c r="C99" s="9"/>
      <c r="D99" s="9"/>
      <c r="E99" s="9"/>
      <c r="F99" s="9"/>
      <c r="G99" s="9"/>
      <c r="H99" s="70"/>
      <c r="I99" s="53"/>
      <c r="J99" s="92"/>
      <c r="K99" s="92"/>
      <c r="L99" s="92"/>
      <c r="M99" s="92"/>
      <c r="N99" s="92"/>
      <c r="O99" s="102">
        <v>12.09</v>
      </c>
      <c r="P99" s="92"/>
      <c r="Q99" s="237"/>
      <c r="R99" s="3"/>
      <c r="S99" s="3"/>
      <c r="T99" s="3"/>
      <c r="U99" s="3"/>
      <c r="V99" s="3"/>
      <c r="W99" s="3"/>
      <c r="X99" s="3"/>
      <c r="Y99" s="3"/>
      <c r="Z99" s="3"/>
      <c r="AA99" s="6"/>
      <c r="AB99" s="6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>
        <f>Y21a!C73</f>
        <v>18</v>
      </c>
      <c r="BF99" s="38"/>
      <c r="BG99" s="38"/>
      <c r="BH99" s="237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39"/>
      <c r="BU99" s="40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>
        <f>ROUND($O99*BE99,0)</f>
        <v>218</v>
      </c>
      <c r="CW99" s="39"/>
      <c r="CX99" s="39"/>
    </row>
    <row r="100" spans="1:102" x14ac:dyDescent="0.2">
      <c r="C100" s="9"/>
      <c r="D100" s="9"/>
      <c r="E100" s="9"/>
      <c r="F100" s="9"/>
      <c r="G100" s="9"/>
      <c r="H100" s="70"/>
      <c r="I100" s="53"/>
      <c r="J100" s="92"/>
      <c r="K100" s="92"/>
      <c r="L100" s="92"/>
      <c r="M100" s="92"/>
      <c r="N100" s="92"/>
      <c r="O100" s="102"/>
      <c r="P100" s="92"/>
      <c r="Q100" s="237"/>
      <c r="R100" s="3"/>
      <c r="S100" s="3"/>
      <c r="T100" s="3"/>
      <c r="U100" s="3"/>
      <c r="V100" s="3"/>
      <c r="W100" s="3"/>
      <c r="X100" s="3"/>
      <c r="Y100" s="3"/>
      <c r="Z100" s="3"/>
      <c r="AA100" s="6"/>
      <c r="AB100" s="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237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39"/>
      <c r="BU100" s="40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</row>
    <row r="101" spans="1:102" x14ac:dyDescent="0.2">
      <c r="A101" s="108" t="s">
        <v>553</v>
      </c>
      <c r="C101" s="9"/>
      <c r="D101" s="9"/>
      <c r="E101" s="9"/>
      <c r="F101" s="9"/>
      <c r="G101" s="9"/>
      <c r="H101" s="70"/>
      <c r="I101" s="53"/>
      <c r="J101" s="92"/>
      <c r="K101" s="92"/>
      <c r="L101" s="92"/>
      <c r="M101" s="92"/>
      <c r="N101" s="92"/>
      <c r="O101" s="102">
        <v>539.16999999999996</v>
      </c>
      <c r="P101" s="92"/>
      <c r="Q101" s="237"/>
      <c r="R101" s="3"/>
      <c r="S101" s="3"/>
      <c r="T101" s="3"/>
      <c r="U101" s="3"/>
      <c r="V101" s="3"/>
      <c r="W101" s="3"/>
      <c r="X101" s="3"/>
      <c r="Y101" s="3"/>
      <c r="Z101" s="3"/>
      <c r="AA101" s="6"/>
      <c r="AB101" s="6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>
        <f>Y21a!C81</f>
        <v>4</v>
      </c>
      <c r="BF101" s="38"/>
      <c r="BG101" s="38"/>
      <c r="BH101" s="237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39"/>
      <c r="BU101" s="40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>
        <f>ROUND($O101*BE101,0)</f>
        <v>2157</v>
      </c>
      <c r="CW101" s="39"/>
      <c r="CX101" s="39"/>
    </row>
    <row r="102" spans="1:102" x14ac:dyDescent="0.2">
      <c r="A102" s="108"/>
      <c r="C102" s="9"/>
      <c r="D102" s="9"/>
      <c r="E102" s="9"/>
      <c r="F102" s="9"/>
      <c r="G102" s="9"/>
      <c r="H102" s="70"/>
      <c r="I102" s="53"/>
      <c r="J102" s="92"/>
      <c r="K102" s="92"/>
      <c r="L102" s="92"/>
      <c r="M102" s="92"/>
      <c r="N102" s="92"/>
      <c r="O102" s="102"/>
      <c r="P102" s="92"/>
      <c r="Q102" s="237"/>
      <c r="R102" s="3"/>
      <c r="S102" s="3"/>
      <c r="T102" s="3"/>
      <c r="U102" s="3"/>
      <c r="V102" s="3"/>
      <c r="W102" s="3"/>
      <c r="X102" s="3"/>
      <c r="Y102" s="3"/>
      <c r="Z102" s="3"/>
      <c r="AA102" s="6"/>
      <c r="AB102" s="6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237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39"/>
      <c r="BU102" s="40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</row>
    <row r="103" spans="1:102" x14ac:dyDescent="0.2">
      <c r="A103" s="108" t="s">
        <v>560</v>
      </c>
      <c r="C103" s="9"/>
      <c r="D103" s="9"/>
      <c r="E103" s="9"/>
      <c r="F103" s="9"/>
      <c r="G103" s="9"/>
      <c r="H103" s="70"/>
      <c r="I103" s="53"/>
      <c r="J103" s="92"/>
      <c r="K103" s="92"/>
      <c r="L103" s="92"/>
      <c r="M103" s="92"/>
      <c r="N103" s="92"/>
      <c r="O103" s="102">
        <v>623.4</v>
      </c>
      <c r="P103" s="92"/>
      <c r="Q103" s="237"/>
      <c r="R103" s="3"/>
      <c r="S103" s="3"/>
      <c r="T103" s="3"/>
      <c r="U103" s="3"/>
      <c r="V103" s="3"/>
      <c r="W103" s="3"/>
      <c r="X103" s="3"/>
      <c r="Y103" s="3"/>
      <c r="Z103" s="3"/>
      <c r="AA103" s="6"/>
      <c r="AB103" s="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>
        <f>Y21a!C83</f>
        <v>0</v>
      </c>
      <c r="BF103" s="38"/>
      <c r="BG103" s="38"/>
      <c r="BH103" s="237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39"/>
      <c r="BU103" s="40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>
        <f>ROUND($O103*BE103,0)</f>
        <v>0</v>
      </c>
      <c r="CW103" s="39"/>
      <c r="CX103" s="39"/>
    </row>
    <row r="104" spans="1:102" x14ac:dyDescent="0.2">
      <c r="A104" s="108"/>
      <c r="C104" s="9"/>
      <c r="D104" s="9"/>
      <c r="E104" s="9"/>
      <c r="F104" s="9"/>
      <c r="G104" s="9"/>
      <c r="H104" s="70"/>
      <c r="I104" s="53"/>
      <c r="J104" s="92"/>
      <c r="K104" s="92"/>
      <c r="L104" s="92"/>
      <c r="M104" s="92"/>
      <c r="N104" s="92"/>
      <c r="O104" s="102"/>
      <c r="P104" s="92"/>
      <c r="Q104" s="237"/>
      <c r="R104" s="3"/>
      <c r="S104" s="3"/>
      <c r="T104" s="3"/>
      <c r="U104" s="3"/>
      <c r="V104" s="3"/>
      <c r="W104" s="3"/>
      <c r="X104" s="3"/>
      <c r="Y104" s="3"/>
      <c r="Z104" s="3"/>
      <c r="AA104" s="6"/>
      <c r="AB104" s="6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237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39"/>
      <c r="BU104" s="40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</row>
    <row r="105" spans="1:102" x14ac:dyDescent="0.2">
      <c r="A105" s="108" t="s">
        <v>561</v>
      </c>
      <c r="C105" s="9"/>
      <c r="D105" s="9"/>
      <c r="E105" s="9"/>
      <c r="F105" s="9"/>
      <c r="G105" s="9"/>
      <c r="H105" s="70"/>
      <c r="I105" s="53"/>
      <c r="J105" s="92"/>
      <c r="K105" s="92"/>
      <c r="L105" s="92"/>
      <c r="M105" s="92">
        <v>22.49</v>
      </c>
      <c r="N105" s="92">
        <v>22.49</v>
      </c>
      <c r="O105" s="102">
        <v>22.49</v>
      </c>
      <c r="P105" s="92"/>
      <c r="Q105" s="237"/>
      <c r="R105" s="3"/>
      <c r="S105" s="3"/>
      <c r="T105" s="3"/>
      <c r="U105" s="3"/>
      <c r="V105" s="3"/>
      <c r="W105" s="3"/>
      <c r="X105" s="3"/>
      <c r="Y105" s="3"/>
      <c r="Z105" s="3"/>
      <c r="AA105" s="6"/>
      <c r="AB105" s="6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>
        <f>Y20b!C91</f>
        <v>9</v>
      </c>
      <c r="BE105" s="38">
        <f>Y21a!C87</f>
        <v>0</v>
      </c>
      <c r="BF105" s="38"/>
      <c r="BG105" s="38"/>
      <c r="BH105" s="237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39"/>
      <c r="BU105" s="40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>
        <f>ROUND($M105*BD105,0)</f>
        <v>202</v>
      </c>
      <c r="CV105" s="39">
        <f>ROUND($O105*BE105,0)</f>
        <v>0</v>
      </c>
      <c r="CW105" s="39"/>
      <c r="CX105" s="39"/>
    </row>
    <row r="106" spans="1:102" x14ac:dyDescent="0.2">
      <c r="C106" s="9"/>
      <c r="D106" s="9"/>
      <c r="E106" s="9"/>
      <c r="F106" s="9"/>
      <c r="G106" s="9"/>
      <c r="H106" s="70"/>
      <c r="I106" s="53"/>
      <c r="J106" s="92"/>
      <c r="K106" s="92"/>
      <c r="L106" s="92"/>
      <c r="M106" s="92"/>
      <c r="N106" s="92"/>
      <c r="O106" s="102"/>
      <c r="P106" s="92"/>
      <c r="Q106" s="237"/>
      <c r="R106" s="3"/>
      <c r="S106" s="3"/>
      <c r="T106" s="3"/>
      <c r="U106" s="3"/>
      <c r="V106" s="3"/>
      <c r="W106" s="3"/>
      <c r="X106" s="3"/>
      <c r="Y106" s="3"/>
      <c r="Z106" s="3"/>
      <c r="AA106" s="6"/>
      <c r="AB106" s="6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78"/>
      <c r="BE106" s="78"/>
      <c r="BF106" s="78"/>
      <c r="BG106" s="78"/>
      <c r="BH106" s="237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39"/>
      <c r="BU106" s="40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</row>
    <row r="107" spans="1:102" x14ac:dyDescent="0.2">
      <c r="A107" s="108" t="s">
        <v>555</v>
      </c>
      <c r="C107" s="9"/>
      <c r="D107" s="9"/>
      <c r="E107" s="9"/>
      <c r="F107" s="9"/>
      <c r="G107" s="9"/>
      <c r="H107" s="70"/>
      <c r="I107" s="53"/>
      <c r="J107" s="92"/>
      <c r="K107" s="92"/>
      <c r="L107" s="92"/>
      <c r="M107" s="92"/>
      <c r="N107" s="92"/>
      <c r="O107" s="102">
        <v>584.77</v>
      </c>
      <c r="P107" s="92"/>
      <c r="Q107" s="237"/>
      <c r="R107" s="3"/>
      <c r="S107" s="3"/>
      <c r="T107" s="3"/>
      <c r="U107" s="3"/>
      <c r="V107" s="3"/>
      <c r="W107" s="3"/>
      <c r="X107" s="3"/>
      <c r="Y107" s="3"/>
      <c r="Z107" s="3"/>
      <c r="AA107" s="6"/>
      <c r="AB107" s="6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78"/>
      <c r="BE107" s="78">
        <f>Y21a!C85</f>
        <v>80</v>
      </c>
      <c r="BF107" s="78"/>
      <c r="BG107" s="78"/>
      <c r="BH107" s="237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39"/>
      <c r="BU107" s="40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>
        <f>ROUND($O107*BE107,0)</f>
        <v>46782</v>
      </c>
      <c r="CW107" s="39"/>
      <c r="CX107" s="39"/>
    </row>
    <row r="108" spans="1:102" x14ac:dyDescent="0.2">
      <c r="C108" s="9"/>
      <c r="D108" s="9"/>
      <c r="E108" s="9"/>
      <c r="F108" s="9"/>
      <c r="G108" s="9"/>
      <c r="H108" s="70"/>
      <c r="I108" s="53"/>
      <c r="J108" s="92"/>
      <c r="K108" s="92"/>
      <c r="L108" s="92"/>
      <c r="M108" s="92"/>
      <c r="N108" s="92"/>
      <c r="O108" s="92"/>
      <c r="P108" s="92"/>
      <c r="Q108" s="237"/>
      <c r="R108" s="3"/>
      <c r="S108" s="3"/>
      <c r="T108" s="3"/>
      <c r="U108" s="3"/>
      <c r="V108" s="3"/>
      <c r="W108" s="3"/>
      <c r="X108" s="3"/>
      <c r="Y108" s="3"/>
      <c r="Z108" s="3"/>
      <c r="AA108" s="6"/>
      <c r="AB108" s="6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78"/>
      <c r="BE108" s="78"/>
      <c r="BF108" s="78"/>
      <c r="BG108" s="78"/>
      <c r="BH108" s="237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39"/>
      <c r="BU108" s="40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</row>
    <row r="109" spans="1:102" x14ac:dyDescent="0.2">
      <c r="C109" s="3"/>
      <c r="D109" s="3"/>
      <c r="E109" s="3"/>
      <c r="F109" s="3"/>
      <c r="G109" s="3"/>
      <c r="H109" s="69"/>
      <c r="I109" s="33"/>
      <c r="J109" s="89"/>
      <c r="K109" s="89"/>
      <c r="L109" s="89"/>
      <c r="M109" s="89"/>
      <c r="N109" s="89"/>
      <c r="O109" s="89"/>
      <c r="P109" s="89"/>
      <c r="Q109" s="237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265"/>
      <c r="BE109" s="265"/>
      <c r="BF109" s="265"/>
      <c r="BG109" s="265"/>
      <c r="BH109" s="237"/>
      <c r="BI109" s="3" t="s">
        <v>150</v>
      </c>
      <c r="BJ109" s="3" t="s">
        <v>150</v>
      </c>
      <c r="BK109" s="3" t="s">
        <v>150</v>
      </c>
      <c r="BL109" s="3" t="s">
        <v>150</v>
      </c>
      <c r="BM109" s="3" t="s">
        <v>150</v>
      </c>
      <c r="BN109" s="3" t="s">
        <v>150</v>
      </c>
      <c r="BO109" s="3" t="s">
        <v>150</v>
      </c>
      <c r="BP109" s="3" t="s">
        <v>150</v>
      </c>
      <c r="BQ109" s="3" t="s">
        <v>150</v>
      </c>
      <c r="BR109" s="3" t="s">
        <v>150</v>
      </c>
      <c r="BS109" s="3" t="s">
        <v>150</v>
      </c>
      <c r="BT109" s="33" t="s">
        <v>150</v>
      </c>
      <c r="BU109" s="41" t="s">
        <v>188</v>
      </c>
      <c r="BV109" s="33" t="s">
        <v>150</v>
      </c>
      <c r="BW109" s="33" t="s">
        <v>150</v>
      </c>
      <c r="BX109" s="33" t="s">
        <v>150</v>
      </c>
      <c r="BY109" s="33" t="s">
        <v>150</v>
      </c>
      <c r="BZ109" s="33" t="s">
        <v>150</v>
      </c>
      <c r="CA109" s="33" t="s">
        <v>150</v>
      </c>
      <c r="CB109" s="33" t="s">
        <v>150</v>
      </c>
      <c r="CC109" s="33" t="s">
        <v>150</v>
      </c>
      <c r="CD109" s="33" t="s">
        <v>150</v>
      </c>
      <c r="CE109" s="33" t="s">
        <v>150</v>
      </c>
      <c r="CF109" s="33" t="s">
        <v>150</v>
      </c>
      <c r="CG109" s="33" t="s">
        <v>150</v>
      </c>
      <c r="CH109" s="33" t="s">
        <v>150</v>
      </c>
      <c r="CI109" s="33" t="s">
        <v>150</v>
      </c>
      <c r="CJ109" s="33" t="s">
        <v>150</v>
      </c>
      <c r="CK109" s="33" t="s">
        <v>150</v>
      </c>
      <c r="CL109" s="33" t="s">
        <v>150</v>
      </c>
      <c r="CM109" s="33" t="s">
        <v>150</v>
      </c>
      <c r="CN109" s="33" t="s">
        <v>150</v>
      </c>
      <c r="CO109" s="33" t="s">
        <v>150</v>
      </c>
      <c r="CP109" s="33" t="s">
        <v>150</v>
      </c>
      <c r="CQ109" s="33" t="s">
        <v>150</v>
      </c>
      <c r="CR109" s="33" t="s">
        <v>150</v>
      </c>
      <c r="CS109" s="33" t="s">
        <v>150</v>
      </c>
      <c r="CT109" s="33" t="s">
        <v>150</v>
      </c>
      <c r="CU109" s="33" t="s">
        <v>150</v>
      </c>
      <c r="CV109" s="33" t="s">
        <v>150</v>
      </c>
      <c r="CW109" s="33"/>
      <c r="CX109" s="33"/>
    </row>
    <row r="110" spans="1:102" x14ac:dyDescent="0.2">
      <c r="A110" t="s">
        <v>45</v>
      </c>
      <c r="C110" s="3"/>
      <c r="D110" s="3"/>
      <c r="E110" s="3"/>
      <c r="F110" s="3"/>
      <c r="G110" s="3"/>
      <c r="H110" s="69"/>
      <c r="I110" s="33"/>
      <c r="J110" s="89"/>
      <c r="K110" s="89"/>
      <c r="L110" s="89"/>
      <c r="M110" s="89"/>
      <c r="N110" s="89"/>
      <c r="O110" s="89"/>
      <c r="P110" s="89"/>
      <c r="Q110" s="237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265"/>
      <c r="BE110" s="265"/>
      <c r="BF110" s="265"/>
      <c r="BG110" s="265"/>
      <c r="BH110" s="237"/>
      <c r="BI110" s="10">
        <f>SUM(BI78:BI95)</f>
        <v>506</v>
      </c>
      <c r="BJ110" s="10">
        <f t="shared" ref="BJ110:CN110" si="52">SUM(BJ78:BJ95)</f>
        <v>50</v>
      </c>
      <c r="BK110" s="10">
        <f t="shared" si="52"/>
        <v>8946</v>
      </c>
      <c r="BL110" s="10">
        <f t="shared" si="52"/>
        <v>6535</v>
      </c>
      <c r="BM110" s="10">
        <f t="shared" si="52"/>
        <v>23729</v>
      </c>
      <c r="BN110" s="10">
        <f t="shared" si="52"/>
        <v>2182</v>
      </c>
      <c r="BO110" s="10">
        <f t="shared" si="52"/>
        <v>7913</v>
      </c>
      <c r="BP110" s="10">
        <f t="shared" si="52"/>
        <v>4770</v>
      </c>
      <c r="BQ110" s="10">
        <f t="shared" si="52"/>
        <v>5581</v>
      </c>
      <c r="BR110" s="10">
        <f t="shared" si="52"/>
        <v>5587</v>
      </c>
      <c r="BS110" s="10">
        <f t="shared" si="52"/>
        <v>8210</v>
      </c>
      <c r="BT110" s="10">
        <f t="shared" si="52"/>
        <v>2940</v>
      </c>
      <c r="BU110" s="10">
        <f t="shared" si="52"/>
        <v>10011</v>
      </c>
      <c r="BV110" s="10">
        <f t="shared" si="52"/>
        <v>0</v>
      </c>
      <c r="BW110" s="10">
        <f t="shared" si="52"/>
        <v>0</v>
      </c>
      <c r="BX110" s="10">
        <f t="shared" si="52"/>
        <v>0</v>
      </c>
      <c r="BY110" s="10">
        <f t="shared" si="52"/>
        <v>0</v>
      </c>
      <c r="BZ110" s="10">
        <f t="shared" si="52"/>
        <v>0</v>
      </c>
      <c r="CA110" s="10">
        <f t="shared" si="52"/>
        <v>0</v>
      </c>
      <c r="CB110" s="10">
        <f t="shared" si="52"/>
        <v>0</v>
      </c>
      <c r="CC110" s="10">
        <f t="shared" si="52"/>
        <v>0</v>
      </c>
      <c r="CD110" s="10">
        <f t="shared" si="52"/>
        <v>0</v>
      </c>
      <c r="CE110" s="10">
        <f t="shared" si="52"/>
        <v>0</v>
      </c>
      <c r="CF110" s="10">
        <f t="shared" si="52"/>
        <v>0</v>
      </c>
      <c r="CG110" s="10">
        <f t="shared" si="52"/>
        <v>0</v>
      </c>
      <c r="CH110" s="10">
        <f t="shared" si="52"/>
        <v>0</v>
      </c>
      <c r="CI110" s="10">
        <f t="shared" si="52"/>
        <v>0</v>
      </c>
      <c r="CJ110" s="10">
        <f t="shared" si="52"/>
        <v>0</v>
      </c>
      <c r="CK110" s="10">
        <f t="shared" si="52"/>
        <v>30</v>
      </c>
      <c r="CL110" s="10">
        <f t="shared" si="52"/>
        <v>1412</v>
      </c>
      <c r="CM110" s="10">
        <f t="shared" si="52"/>
        <v>46130</v>
      </c>
      <c r="CN110" s="10">
        <f t="shared" si="52"/>
        <v>-6114</v>
      </c>
      <c r="CO110" s="10">
        <f t="shared" ref="CO110:CT110" si="53">SUM(CO78:CO95)</f>
        <v>-25380</v>
      </c>
      <c r="CP110" s="10">
        <f t="shared" si="53"/>
        <v>-12879</v>
      </c>
      <c r="CQ110" s="10">
        <f t="shared" si="53"/>
        <v>-23785</v>
      </c>
      <c r="CR110" s="10">
        <f t="shared" si="53"/>
        <v>27202</v>
      </c>
      <c r="CS110" s="10">
        <f t="shared" si="53"/>
        <v>103146</v>
      </c>
      <c r="CT110" s="10">
        <f t="shared" si="53"/>
        <v>50129</v>
      </c>
      <c r="CU110" s="10">
        <f>SUM(CU78:CU95)</f>
        <v>95542</v>
      </c>
      <c r="CV110" s="10">
        <f>SUM(CV78:CV108)</f>
        <v>49157</v>
      </c>
      <c r="CW110" s="10"/>
      <c r="CX110" s="10"/>
    </row>
    <row r="111" spans="1:102" ht="6.75" customHeight="1" x14ac:dyDescent="0.2">
      <c r="C111" s="3"/>
      <c r="D111" s="3"/>
      <c r="E111" s="3"/>
      <c r="F111" s="3"/>
      <c r="G111" s="3"/>
      <c r="H111" s="69"/>
      <c r="I111" s="33"/>
      <c r="J111" s="89"/>
      <c r="K111" s="89"/>
      <c r="L111" s="89"/>
      <c r="M111" s="89"/>
      <c r="N111" s="89"/>
      <c r="O111" s="89"/>
      <c r="P111" s="89"/>
      <c r="Q111" s="237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242"/>
      <c r="BD111" s="264"/>
      <c r="BE111" s="43"/>
      <c r="BF111" s="43"/>
      <c r="BG111" s="43"/>
      <c r="BH111" s="237"/>
      <c r="BI111" s="3" t="s">
        <v>150</v>
      </c>
      <c r="BJ111" s="3" t="s">
        <v>150</v>
      </c>
      <c r="BK111" s="3" t="s">
        <v>150</v>
      </c>
      <c r="BL111" s="3" t="s">
        <v>150</v>
      </c>
      <c r="BM111" s="3" t="s">
        <v>150</v>
      </c>
      <c r="BN111" s="3" t="s">
        <v>150</v>
      </c>
      <c r="BO111" s="3" t="s">
        <v>150</v>
      </c>
      <c r="BP111" s="3" t="s">
        <v>150</v>
      </c>
      <c r="BQ111" s="3" t="s">
        <v>150</v>
      </c>
      <c r="BR111" s="3" t="s">
        <v>150</v>
      </c>
      <c r="BS111" s="3" t="s">
        <v>150</v>
      </c>
      <c r="BT111" s="33" t="s">
        <v>150</v>
      </c>
      <c r="BU111" s="33" t="s">
        <v>188</v>
      </c>
      <c r="BV111" s="33" t="s">
        <v>150</v>
      </c>
      <c r="BW111" s="33" t="s">
        <v>150</v>
      </c>
      <c r="BX111" s="33" t="s">
        <v>150</v>
      </c>
      <c r="BY111" s="33" t="s">
        <v>150</v>
      </c>
      <c r="BZ111" s="33" t="s">
        <v>150</v>
      </c>
      <c r="CA111" s="33" t="s">
        <v>150</v>
      </c>
      <c r="CB111" s="33" t="s">
        <v>150</v>
      </c>
      <c r="CC111" s="33" t="s">
        <v>150</v>
      </c>
      <c r="CD111" s="33" t="s">
        <v>150</v>
      </c>
      <c r="CE111" s="33" t="s">
        <v>150</v>
      </c>
      <c r="CF111" s="33" t="s">
        <v>150</v>
      </c>
      <c r="CG111" s="33" t="s">
        <v>150</v>
      </c>
      <c r="CH111" s="33" t="s">
        <v>150</v>
      </c>
      <c r="CI111" s="33" t="s">
        <v>150</v>
      </c>
      <c r="CJ111" s="33" t="s">
        <v>150</v>
      </c>
      <c r="CK111" s="33" t="s">
        <v>150</v>
      </c>
      <c r="CL111" s="33" t="s">
        <v>150</v>
      </c>
      <c r="CM111" s="33" t="s">
        <v>150</v>
      </c>
      <c r="CN111" s="33" t="s">
        <v>150</v>
      </c>
      <c r="CO111" s="33" t="s">
        <v>150</v>
      </c>
      <c r="CP111" s="33" t="s">
        <v>150</v>
      </c>
      <c r="CQ111" s="33" t="s">
        <v>150</v>
      </c>
      <c r="CR111" s="33" t="s">
        <v>150</v>
      </c>
      <c r="CS111" s="33" t="s">
        <v>150</v>
      </c>
      <c r="CT111" s="33" t="s">
        <v>150</v>
      </c>
      <c r="CU111" s="33" t="s">
        <v>150</v>
      </c>
      <c r="CV111" s="33" t="s">
        <v>150</v>
      </c>
      <c r="CW111" s="33"/>
      <c r="CX111" s="33"/>
    </row>
    <row r="112" spans="1:102" ht="6.75" customHeight="1" x14ac:dyDescent="0.2">
      <c r="C112" s="3"/>
      <c r="D112" s="3"/>
      <c r="E112" s="3"/>
      <c r="F112" s="3"/>
      <c r="G112" s="3"/>
      <c r="H112" s="69"/>
      <c r="I112" s="33"/>
      <c r="J112" s="89"/>
      <c r="K112" s="89"/>
      <c r="L112" s="89"/>
      <c r="M112" s="89"/>
      <c r="N112" s="89"/>
      <c r="O112" s="89"/>
      <c r="P112" s="89"/>
      <c r="Q112" s="237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237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3"/>
      <c r="BU112" s="3"/>
      <c r="BV112" s="33"/>
      <c r="BW112" s="33"/>
      <c r="BX112" s="33"/>
      <c r="BY112" s="33"/>
      <c r="BZ112" s="33"/>
      <c r="CA112" s="33"/>
      <c r="CB112" s="3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3" ht="6.75" customHeight="1" x14ac:dyDescent="0.2">
      <c r="C113" s="3"/>
      <c r="D113" s="3"/>
      <c r="E113" s="3"/>
      <c r="F113" s="3"/>
      <c r="G113" s="3"/>
      <c r="H113" s="69"/>
      <c r="I113" s="33"/>
      <c r="J113" s="89"/>
      <c r="K113" s="89"/>
      <c r="L113" s="89"/>
      <c r="M113" s="89"/>
      <c r="N113" s="89"/>
      <c r="O113" s="89"/>
      <c r="P113" s="89"/>
      <c r="Q113" s="237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237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3"/>
      <c r="BU113" s="3"/>
      <c r="BV113" s="33"/>
      <c r="BW113" s="33"/>
      <c r="BX113" s="33"/>
      <c r="BY113" s="33"/>
      <c r="BZ113" s="33"/>
      <c r="CA113" s="33"/>
      <c r="CB113" s="3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3" x14ac:dyDescent="0.2">
      <c r="A114" t="s">
        <v>46</v>
      </c>
      <c r="C114" s="3"/>
      <c r="D114" s="3"/>
      <c r="E114" s="3"/>
      <c r="F114" s="3"/>
      <c r="G114" s="3"/>
      <c r="H114" s="69"/>
      <c r="I114" s="33"/>
      <c r="J114" s="89"/>
      <c r="K114" s="89"/>
      <c r="L114" s="89"/>
      <c r="M114" s="89"/>
      <c r="N114" s="89"/>
      <c r="O114" s="89"/>
      <c r="P114" s="89"/>
      <c r="Q114" s="237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237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3"/>
      <c r="BU114" s="3"/>
      <c r="BV114" s="33"/>
      <c r="BW114" s="33"/>
      <c r="BX114" s="33"/>
      <c r="BY114" s="33"/>
      <c r="BZ114" s="33"/>
      <c r="CA114" s="33"/>
      <c r="CB114" s="3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3" x14ac:dyDescent="0.2">
      <c r="A115" t="s">
        <v>243</v>
      </c>
      <c r="C115" s="3"/>
      <c r="D115" s="3"/>
      <c r="E115" s="3"/>
      <c r="F115" s="3"/>
      <c r="G115" s="3"/>
      <c r="H115" s="69"/>
      <c r="I115" s="33"/>
      <c r="J115" s="89"/>
      <c r="K115" s="89"/>
      <c r="L115" s="89"/>
      <c r="M115" s="89"/>
      <c r="N115" s="89"/>
      <c r="O115" s="89"/>
      <c r="P115" s="89"/>
      <c r="Q115" s="23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237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3"/>
      <c r="BU115" s="3"/>
      <c r="BV115" s="33"/>
      <c r="BW115" s="33"/>
      <c r="BX115" s="33"/>
      <c r="BY115" s="33"/>
      <c r="BZ115" s="33"/>
      <c r="CA115" s="33"/>
      <c r="CB115" s="3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3" x14ac:dyDescent="0.2">
      <c r="A116" t="s">
        <v>41</v>
      </c>
      <c r="C116" s="9">
        <v>0</v>
      </c>
      <c r="D116" s="3" t="s">
        <v>38</v>
      </c>
      <c r="E116" s="3" t="s">
        <v>38</v>
      </c>
      <c r="F116" s="3" t="s">
        <v>38</v>
      </c>
      <c r="G116" s="3" t="s">
        <v>38</v>
      </c>
      <c r="H116" s="69" t="s">
        <v>38</v>
      </c>
      <c r="I116" s="33" t="s">
        <v>38</v>
      </c>
      <c r="J116" s="89" t="s">
        <v>38</v>
      </c>
      <c r="K116" s="89" t="s">
        <v>38</v>
      </c>
      <c r="L116" s="89" t="s">
        <v>38</v>
      </c>
      <c r="M116" s="89" t="s">
        <v>38</v>
      </c>
      <c r="N116" s="89" t="s">
        <v>38</v>
      </c>
      <c r="O116" s="89" t="s">
        <v>38</v>
      </c>
      <c r="P116" s="89"/>
      <c r="Q116" s="237"/>
      <c r="R116" s="3">
        <v>15</v>
      </c>
      <c r="S116" s="3">
        <v>9</v>
      </c>
      <c r="T116" s="3">
        <v>21</v>
      </c>
      <c r="U116" s="3">
        <v>12</v>
      </c>
      <c r="V116" s="3">
        <v>3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8">
        <f>+Y9b!C49</f>
        <v>0</v>
      </c>
      <c r="AI116" s="38">
        <f>+Y10a!C49</f>
        <v>0</v>
      </c>
      <c r="AJ116" s="38">
        <f>+Y10b!C49</f>
        <v>0</v>
      </c>
      <c r="AK116" s="38">
        <f>+Y11a!C49</f>
        <v>0</v>
      </c>
      <c r="AL116" s="38">
        <f>+Y11b!C49</f>
        <v>0</v>
      </c>
      <c r="AM116" s="38">
        <f>+Y12a!C57</f>
        <v>0</v>
      </c>
      <c r="AN116" s="38">
        <f>+Y12b!C49</f>
        <v>0</v>
      </c>
      <c r="AO116" s="38">
        <f>+Y13a!C49</f>
        <v>0</v>
      </c>
      <c r="AP116" s="38">
        <f>+Y13b!C49</f>
        <v>0</v>
      </c>
      <c r="AQ116" s="38">
        <f>+Y14a!D57</f>
        <v>0</v>
      </c>
      <c r="AR116" s="38">
        <f>+Y14b!C57</f>
        <v>0</v>
      </c>
      <c r="AS116" s="38">
        <f>+Y15a!D57</f>
        <v>0</v>
      </c>
      <c r="AT116" s="38">
        <f>+Y15b!D93</f>
        <v>0</v>
      </c>
      <c r="AU116" s="38">
        <f>+Y16a!D92</f>
        <v>0</v>
      </c>
      <c r="AV116" s="38">
        <f>+Y16b!D92</f>
        <v>0</v>
      </c>
      <c r="AW116" s="38">
        <f>+Y17a!D92</f>
        <v>0</v>
      </c>
      <c r="AX116" s="38">
        <f>+Y17b!D92</f>
        <v>0</v>
      </c>
      <c r="AY116" s="38">
        <f>+Y18a!D92</f>
        <v>0</v>
      </c>
      <c r="AZ116" s="38">
        <f>+Y18b!D92</f>
        <v>0</v>
      </c>
      <c r="BA116" s="38">
        <f>Y19a!C92</f>
        <v>0</v>
      </c>
      <c r="BB116" s="38">
        <f>Y19b!C95</f>
        <v>0</v>
      </c>
      <c r="BC116" s="242">
        <f>+Y20a!C99</f>
        <v>0</v>
      </c>
      <c r="BD116" s="242">
        <f>+Y20a!D99</f>
        <v>0</v>
      </c>
      <c r="BE116" s="6"/>
      <c r="BF116" s="6"/>
      <c r="BG116" s="6"/>
      <c r="BH116" s="237"/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39">
        <v>0</v>
      </c>
      <c r="BU116" s="10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39">
        <v>0</v>
      </c>
      <c r="CW116" s="10"/>
      <c r="CX116" s="10"/>
    </row>
    <row r="117" spans="1:103" x14ac:dyDescent="0.2">
      <c r="A117" t="s">
        <v>48</v>
      </c>
      <c r="C117" s="9">
        <v>0</v>
      </c>
      <c r="D117" s="3" t="s">
        <v>38</v>
      </c>
      <c r="E117" s="3" t="s">
        <v>38</v>
      </c>
      <c r="F117" s="3" t="s">
        <v>38</v>
      </c>
      <c r="G117" s="3" t="s">
        <v>38</v>
      </c>
      <c r="H117" s="69" t="s">
        <v>38</v>
      </c>
      <c r="I117" s="33" t="s">
        <v>38</v>
      </c>
      <c r="J117" s="89" t="s">
        <v>38</v>
      </c>
      <c r="K117" s="89" t="s">
        <v>38</v>
      </c>
      <c r="L117" s="89" t="s">
        <v>38</v>
      </c>
      <c r="M117" s="89" t="s">
        <v>38</v>
      </c>
      <c r="N117" s="89" t="s">
        <v>38</v>
      </c>
      <c r="O117" s="89" t="s">
        <v>38</v>
      </c>
      <c r="P117" s="89"/>
      <c r="Q117" s="237"/>
      <c r="R117" s="3">
        <v>2</v>
      </c>
      <c r="S117" s="3">
        <v>1</v>
      </c>
      <c r="T117" s="3">
        <v>0</v>
      </c>
      <c r="U117" s="3">
        <v>1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8">
        <f>+Y9b!C50</f>
        <v>0</v>
      </c>
      <c r="AI117" s="38">
        <f>+Y10a!C50</f>
        <v>0</v>
      </c>
      <c r="AJ117" s="38">
        <f>+Y10b!C50</f>
        <v>0</v>
      </c>
      <c r="AK117" s="38">
        <f>+Y11a!C50</f>
        <v>0</v>
      </c>
      <c r="AL117" s="38">
        <f>+Y11b!C50</f>
        <v>0</v>
      </c>
      <c r="AM117" s="38">
        <f>+Y12a!C58</f>
        <v>0</v>
      </c>
      <c r="AN117" s="38">
        <f>+Y12b!C50</f>
        <v>0</v>
      </c>
      <c r="AO117" s="38">
        <f>+Y13a!C50</f>
        <v>0</v>
      </c>
      <c r="AP117" s="38">
        <f>+Y13b!C50</f>
        <v>0</v>
      </c>
      <c r="AQ117" s="38">
        <f>+Y14a!D58</f>
        <v>0</v>
      </c>
      <c r="AR117" s="38">
        <f>+Y14b!C58</f>
        <v>0</v>
      </c>
      <c r="AS117" s="38">
        <f>+Y15a!D58</f>
        <v>0</v>
      </c>
      <c r="AT117" s="38">
        <f>+Y15b!D94</f>
        <v>0</v>
      </c>
      <c r="AU117" s="38">
        <f>+Y16a!D93</f>
        <v>0</v>
      </c>
      <c r="AV117" s="38">
        <f>+Y16b!D93</f>
        <v>0</v>
      </c>
      <c r="AW117" s="38">
        <f>+Y17a!D93</f>
        <v>0</v>
      </c>
      <c r="AX117" s="38">
        <f>+Y17b!D93</f>
        <v>0</v>
      </c>
      <c r="AY117" s="38">
        <f>+Y18a!D93</f>
        <v>0</v>
      </c>
      <c r="AZ117" s="38">
        <f>+Y18b!D93</f>
        <v>0</v>
      </c>
      <c r="BA117" s="38">
        <f>Y19a!C93</f>
        <v>0</v>
      </c>
      <c r="BB117" s="38">
        <f>Y19b!C96</f>
        <v>0</v>
      </c>
      <c r="BC117" s="242">
        <f>+Y20a!C100</f>
        <v>0</v>
      </c>
      <c r="BD117" s="242">
        <f>+Y20a!D100</f>
        <v>0</v>
      </c>
      <c r="BE117" s="6"/>
      <c r="BF117" s="6"/>
      <c r="BG117" s="6"/>
      <c r="BH117" s="237"/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39">
        <v>0</v>
      </c>
      <c r="BU117" s="10">
        <v>0</v>
      </c>
      <c r="BV117" s="39">
        <v>0</v>
      </c>
      <c r="BW117" s="39">
        <v>0</v>
      </c>
      <c r="BX117" s="39">
        <v>0</v>
      </c>
      <c r="BY117" s="39">
        <v>0</v>
      </c>
      <c r="BZ117" s="39">
        <v>0</v>
      </c>
      <c r="CA117" s="39">
        <v>0</v>
      </c>
      <c r="CB117" s="39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39">
        <v>0</v>
      </c>
      <c r="CW117" s="10"/>
      <c r="CX117" s="10"/>
    </row>
    <row r="118" spans="1:103" x14ac:dyDescent="0.2">
      <c r="A118" t="s">
        <v>49</v>
      </c>
      <c r="C118" s="9">
        <v>178.65</v>
      </c>
      <c r="D118" s="9">
        <v>382.8</v>
      </c>
      <c r="E118" s="3" t="s">
        <v>38</v>
      </c>
      <c r="F118" s="3" t="s">
        <v>38</v>
      </c>
      <c r="G118" s="3" t="s">
        <v>38</v>
      </c>
      <c r="H118" s="69" t="s">
        <v>38</v>
      </c>
      <c r="I118" s="33" t="s">
        <v>38</v>
      </c>
      <c r="J118" s="89" t="s">
        <v>38</v>
      </c>
      <c r="K118" s="89" t="s">
        <v>38</v>
      </c>
      <c r="L118" s="89" t="s">
        <v>38</v>
      </c>
      <c r="M118" s="89" t="s">
        <v>38</v>
      </c>
      <c r="N118" s="89" t="s">
        <v>38</v>
      </c>
      <c r="O118" s="89" t="s">
        <v>38</v>
      </c>
      <c r="P118" s="89"/>
      <c r="Q118" s="237"/>
      <c r="R118" s="3">
        <v>0</v>
      </c>
      <c r="S118" s="3">
        <v>0</v>
      </c>
      <c r="T118" s="3">
        <v>0</v>
      </c>
      <c r="U118" s="3">
        <v>0</v>
      </c>
      <c r="V118" s="3">
        <v>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8">
        <f>+Y9b!C51</f>
        <v>0</v>
      </c>
      <c r="AI118" s="38">
        <f>+Y10a!C51</f>
        <v>0</v>
      </c>
      <c r="AJ118" s="38">
        <f>+Y10b!C51</f>
        <v>0</v>
      </c>
      <c r="AK118" s="38">
        <f>+Y11a!C51</f>
        <v>0</v>
      </c>
      <c r="AL118" s="38">
        <f>+Y11b!C51</f>
        <v>0</v>
      </c>
      <c r="AM118" s="38">
        <f>+Y12a!C59</f>
        <v>0</v>
      </c>
      <c r="AN118" s="38">
        <f>+Y12b!C51</f>
        <v>0</v>
      </c>
      <c r="AO118" s="38">
        <f>+Y13a!C51</f>
        <v>0</v>
      </c>
      <c r="AP118" s="38">
        <f>+Y13b!C51</f>
        <v>0</v>
      </c>
      <c r="AQ118" s="38">
        <f>+Y14a!D59</f>
        <v>0</v>
      </c>
      <c r="AR118" s="38">
        <f>+Y14b!C59</f>
        <v>0</v>
      </c>
      <c r="AS118" s="38">
        <f>+Y15a!D59</f>
        <v>0</v>
      </c>
      <c r="AT118" s="38">
        <f>+Y15b!D95</f>
        <v>0</v>
      </c>
      <c r="AU118" s="38">
        <f>+Y16a!D94</f>
        <v>0</v>
      </c>
      <c r="AV118" s="38">
        <f>+Y16b!D94</f>
        <v>0</v>
      </c>
      <c r="AW118" s="38">
        <f>+Y17a!D94</f>
        <v>0</v>
      </c>
      <c r="AX118" s="38">
        <f>+Y17b!D94</f>
        <v>0</v>
      </c>
      <c r="AY118" s="38">
        <f>+Y18a!D94</f>
        <v>0</v>
      </c>
      <c r="AZ118" s="38">
        <f>+Y18b!D94</f>
        <v>0</v>
      </c>
      <c r="BA118" s="38">
        <f>Y19a!C94</f>
        <v>0</v>
      </c>
      <c r="BB118" s="38">
        <f>Y19b!C97</f>
        <v>0</v>
      </c>
      <c r="BC118" s="242">
        <f>+Y20a!C101</f>
        <v>0</v>
      </c>
      <c r="BD118" s="242">
        <f>+Y20a!D101</f>
        <v>0</v>
      </c>
      <c r="BE118" s="6"/>
      <c r="BF118" s="6"/>
      <c r="BG118" s="6"/>
      <c r="BH118" s="237"/>
      <c r="BI118" s="10">
        <v>0</v>
      </c>
      <c r="BJ118" s="10">
        <v>0</v>
      </c>
      <c r="BK118" s="10">
        <v>0</v>
      </c>
      <c r="BL118" s="10">
        <v>0</v>
      </c>
      <c r="BM118" s="10">
        <v>383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39">
        <v>0</v>
      </c>
      <c r="BU118" s="10">
        <v>0</v>
      </c>
      <c r="BV118" s="39">
        <v>0</v>
      </c>
      <c r="BW118" s="39">
        <v>0</v>
      </c>
      <c r="BX118" s="39">
        <v>0</v>
      </c>
      <c r="BY118" s="39">
        <v>0</v>
      </c>
      <c r="BZ118" s="39">
        <v>0</v>
      </c>
      <c r="CA118" s="39">
        <v>0</v>
      </c>
      <c r="CB118" s="39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39">
        <v>0</v>
      </c>
      <c r="CW118" s="10"/>
      <c r="CX118" s="10"/>
    </row>
    <row r="119" spans="1:103" x14ac:dyDescent="0.2">
      <c r="A119" t="s">
        <v>50</v>
      </c>
      <c r="C119" s="9">
        <v>4850.21</v>
      </c>
      <c r="D119" s="9">
        <v>4048.8</v>
      </c>
      <c r="E119" s="3" t="s">
        <v>38</v>
      </c>
      <c r="F119" s="3" t="s">
        <v>38</v>
      </c>
      <c r="G119" s="3" t="s">
        <v>38</v>
      </c>
      <c r="H119" s="69" t="s">
        <v>38</v>
      </c>
      <c r="I119" s="33" t="s">
        <v>38</v>
      </c>
      <c r="J119" s="89" t="s">
        <v>38</v>
      </c>
      <c r="K119" s="89" t="s">
        <v>38</v>
      </c>
      <c r="L119" s="89" t="s">
        <v>38</v>
      </c>
      <c r="M119" s="89" t="s">
        <v>38</v>
      </c>
      <c r="N119" s="89" t="s">
        <v>38</v>
      </c>
      <c r="O119" s="89" t="s">
        <v>38</v>
      </c>
      <c r="P119" s="89"/>
      <c r="Q119" s="237"/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8">
        <f>+Y9b!C52</f>
        <v>0</v>
      </c>
      <c r="AI119" s="38">
        <f>+Y10a!C52</f>
        <v>0</v>
      </c>
      <c r="AJ119" s="38">
        <f>+Y10b!C52</f>
        <v>0</v>
      </c>
      <c r="AK119" s="38">
        <f>+Y11a!C52</f>
        <v>0</v>
      </c>
      <c r="AL119" s="38">
        <f>+Y11b!C52</f>
        <v>0</v>
      </c>
      <c r="AM119" s="38">
        <f>+Y12a!C60</f>
        <v>0</v>
      </c>
      <c r="AN119" s="38">
        <f>+Y12b!C52</f>
        <v>0</v>
      </c>
      <c r="AO119" s="38">
        <f>+Y13a!C52</f>
        <v>0</v>
      </c>
      <c r="AP119" s="38">
        <f>+Y13b!C52</f>
        <v>0</v>
      </c>
      <c r="AQ119" s="38">
        <f>+Y14a!D60</f>
        <v>0</v>
      </c>
      <c r="AR119" s="38">
        <f>+Y14b!C60</f>
        <v>0</v>
      </c>
      <c r="AS119" s="38">
        <f>+Y15a!D60</f>
        <v>0</v>
      </c>
      <c r="AT119" s="38">
        <f>+Y15b!D96</f>
        <v>0</v>
      </c>
      <c r="AU119" s="38">
        <f>+Y16a!D95</f>
        <v>0</v>
      </c>
      <c r="AV119" s="38">
        <f>+Y16b!D95</f>
        <v>0</v>
      </c>
      <c r="AW119" s="38">
        <f>+Y17a!D95</f>
        <v>0</v>
      </c>
      <c r="AX119" s="38">
        <f>+Y17b!D95</f>
        <v>0</v>
      </c>
      <c r="AY119" s="38">
        <f>+Y18a!D95</f>
        <v>0</v>
      </c>
      <c r="AZ119" s="38">
        <f>+Y18b!D95</f>
        <v>0</v>
      </c>
      <c r="BA119" s="38">
        <f>Y19a!C95</f>
        <v>0</v>
      </c>
      <c r="BB119" s="38">
        <f>Y19b!C98</f>
        <v>0</v>
      </c>
      <c r="BC119" s="242">
        <f>+Y20a!C102</f>
        <v>0</v>
      </c>
      <c r="BD119" s="242">
        <f>+Y20a!D102</f>
        <v>0</v>
      </c>
      <c r="BE119" s="6"/>
      <c r="BF119" s="6"/>
      <c r="BG119" s="6"/>
      <c r="BH119" s="237"/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39">
        <v>0</v>
      </c>
      <c r="BU119" s="10">
        <v>0</v>
      </c>
      <c r="BV119" s="39">
        <v>0</v>
      </c>
      <c r="BW119" s="39">
        <v>0</v>
      </c>
      <c r="BX119" s="39">
        <v>0</v>
      </c>
      <c r="BY119" s="39">
        <v>0</v>
      </c>
      <c r="BZ119" s="39">
        <v>0</v>
      </c>
      <c r="CA119" s="39">
        <v>0</v>
      </c>
      <c r="CB119" s="39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39">
        <v>0</v>
      </c>
      <c r="CW119" s="10"/>
      <c r="CX119" s="10"/>
    </row>
    <row r="120" spans="1:103" x14ac:dyDescent="0.2">
      <c r="C120" s="3"/>
      <c r="D120" s="3"/>
      <c r="E120" s="3"/>
      <c r="F120" s="3"/>
      <c r="G120" s="3"/>
      <c r="H120" s="69"/>
      <c r="I120" s="33"/>
      <c r="J120" s="89"/>
      <c r="K120" s="89"/>
      <c r="L120" s="89"/>
      <c r="M120" s="89"/>
      <c r="N120" s="89"/>
      <c r="O120" s="89"/>
      <c r="P120" s="89"/>
      <c r="Q120" s="23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237"/>
      <c r="BI120" s="3" t="s">
        <v>331</v>
      </c>
      <c r="BJ120" s="3" t="s">
        <v>331</v>
      </c>
      <c r="BK120" s="3" t="s">
        <v>331</v>
      </c>
      <c r="BL120" s="3" t="s">
        <v>331</v>
      </c>
      <c r="BM120" s="3" t="s">
        <v>331</v>
      </c>
      <c r="BN120" s="3" t="s">
        <v>331</v>
      </c>
      <c r="BO120" s="3" t="s">
        <v>331</v>
      </c>
      <c r="BP120" s="3" t="s">
        <v>331</v>
      </c>
      <c r="BQ120" s="3" t="s">
        <v>331</v>
      </c>
      <c r="BR120" s="3" t="s">
        <v>331</v>
      </c>
      <c r="BS120" s="3" t="s">
        <v>331</v>
      </c>
      <c r="BT120" s="3" t="s">
        <v>331</v>
      </c>
      <c r="BU120" s="3" t="s">
        <v>331</v>
      </c>
      <c r="BV120" s="3" t="s">
        <v>331</v>
      </c>
      <c r="BW120" s="3" t="s">
        <v>331</v>
      </c>
      <c r="BX120" s="3" t="s">
        <v>331</v>
      </c>
      <c r="BY120" s="3" t="s">
        <v>331</v>
      </c>
      <c r="BZ120" s="3" t="s">
        <v>331</v>
      </c>
      <c r="CA120" s="3" t="s">
        <v>331</v>
      </c>
      <c r="CB120" s="3" t="s">
        <v>331</v>
      </c>
      <c r="CC120" s="3" t="s">
        <v>331</v>
      </c>
      <c r="CD120" s="3" t="s">
        <v>331</v>
      </c>
      <c r="CE120" s="3" t="s">
        <v>331</v>
      </c>
      <c r="CF120" s="3" t="s">
        <v>331</v>
      </c>
      <c r="CG120" s="3" t="s">
        <v>331</v>
      </c>
      <c r="CH120" s="3" t="s">
        <v>331</v>
      </c>
      <c r="CI120" s="3" t="s">
        <v>331</v>
      </c>
      <c r="CJ120" s="3" t="s">
        <v>331</v>
      </c>
      <c r="CK120" s="3" t="s">
        <v>331</v>
      </c>
      <c r="CL120" s="3" t="s">
        <v>331</v>
      </c>
      <c r="CM120" s="3" t="s">
        <v>331</v>
      </c>
      <c r="CN120" s="3" t="s">
        <v>331</v>
      </c>
      <c r="CO120" s="3" t="s">
        <v>331</v>
      </c>
      <c r="CP120" s="3" t="s">
        <v>331</v>
      </c>
      <c r="CQ120" s="3" t="s">
        <v>331</v>
      </c>
      <c r="CR120" s="3" t="s">
        <v>331</v>
      </c>
      <c r="CS120" s="3" t="s">
        <v>331</v>
      </c>
      <c r="CT120" s="3" t="s">
        <v>331</v>
      </c>
      <c r="CU120" s="3" t="s">
        <v>331</v>
      </c>
      <c r="CV120" s="3" t="s">
        <v>331</v>
      </c>
      <c r="CW120" s="3"/>
      <c r="CX120" s="3"/>
    </row>
    <row r="121" spans="1:103" x14ac:dyDescent="0.2">
      <c r="A121" t="s">
        <v>51</v>
      </c>
      <c r="C121" s="3"/>
      <c r="D121" s="3"/>
      <c r="E121" s="3"/>
      <c r="F121" s="3"/>
      <c r="G121" s="3"/>
      <c r="H121" s="69"/>
      <c r="I121" s="33"/>
      <c r="J121" s="89"/>
      <c r="K121" s="89"/>
      <c r="L121" s="89"/>
      <c r="M121" s="89"/>
      <c r="N121" s="89"/>
      <c r="O121" s="89"/>
      <c r="P121" s="89"/>
      <c r="Q121" s="23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243"/>
      <c r="BC121" s="243"/>
      <c r="BD121" s="243"/>
      <c r="BE121" s="3"/>
      <c r="BF121" s="3"/>
      <c r="BG121" s="3"/>
      <c r="BH121" s="237"/>
      <c r="BI121" s="10">
        <f>SUM(BI116:BI120)</f>
        <v>0</v>
      </c>
      <c r="BJ121" s="10">
        <f t="shared" ref="BJ121:CQ121" si="54">SUM(BJ116:BJ120)</f>
        <v>0</v>
      </c>
      <c r="BK121" s="10">
        <f t="shared" si="54"/>
        <v>0</v>
      </c>
      <c r="BL121" s="10">
        <f t="shared" si="54"/>
        <v>0</v>
      </c>
      <c r="BM121" s="10">
        <f t="shared" si="54"/>
        <v>383</v>
      </c>
      <c r="BN121" s="10">
        <f t="shared" si="54"/>
        <v>0</v>
      </c>
      <c r="BO121" s="10">
        <f t="shared" si="54"/>
        <v>0</v>
      </c>
      <c r="BP121" s="10">
        <f t="shared" si="54"/>
        <v>0</v>
      </c>
      <c r="BQ121" s="10">
        <f t="shared" si="54"/>
        <v>0</v>
      </c>
      <c r="BR121" s="10">
        <f t="shared" si="54"/>
        <v>0</v>
      </c>
      <c r="BS121" s="10">
        <f t="shared" si="54"/>
        <v>0</v>
      </c>
      <c r="BT121" s="10">
        <f t="shared" si="54"/>
        <v>0</v>
      </c>
      <c r="BU121" s="10">
        <f t="shared" si="54"/>
        <v>0</v>
      </c>
      <c r="BV121" s="10">
        <f t="shared" si="54"/>
        <v>0</v>
      </c>
      <c r="BW121" s="10">
        <f t="shared" si="54"/>
        <v>0</v>
      </c>
      <c r="BX121" s="10">
        <f t="shared" si="54"/>
        <v>0</v>
      </c>
      <c r="BY121" s="10">
        <f t="shared" si="54"/>
        <v>0</v>
      </c>
      <c r="BZ121" s="10">
        <f t="shared" si="54"/>
        <v>0</v>
      </c>
      <c r="CA121" s="10">
        <f t="shared" si="54"/>
        <v>0</v>
      </c>
      <c r="CB121" s="10">
        <f t="shared" si="54"/>
        <v>0</v>
      </c>
      <c r="CC121" s="10">
        <f t="shared" si="54"/>
        <v>0</v>
      </c>
      <c r="CD121" s="10">
        <f t="shared" si="54"/>
        <v>0</v>
      </c>
      <c r="CE121" s="10">
        <f t="shared" si="54"/>
        <v>0</v>
      </c>
      <c r="CF121" s="10">
        <f t="shared" si="54"/>
        <v>0</v>
      </c>
      <c r="CG121" s="10">
        <f t="shared" si="54"/>
        <v>0</v>
      </c>
      <c r="CH121" s="10">
        <f t="shared" si="54"/>
        <v>0</v>
      </c>
      <c r="CI121" s="10">
        <f t="shared" si="54"/>
        <v>0</v>
      </c>
      <c r="CJ121" s="10">
        <f t="shared" si="54"/>
        <v>0</v>
      </c>
      <c r="CK121" s="10">
        <f t="shared" si="54"/>
        <v>0</v>
      </c>
      <c r="CL121" s="10">
        <f t="shared" si="54"/>
        <v>0</v>
      </c>
      <c r="CM121" s="10">
        <f t="shared" si="54"/>
        <v>0</v>
      </c>
      <c r="CN121" s="10">
        <f t="shared" si="54"/>
        <v>0</v>
      </c>
      <c r="CO121" s="10">
        <f t="shared" si="54"/>
        <v>0</v>
      </c>
      <c r="CP121" s="10">
        <f t="shared" si="54"/>
        <v>0</v>
      </c>
      <c r="CQ121" s="10">
        <f t="shared" si="54"/>
        <v>0</v>
      </c>
      <c r="CR121" s="10">
        <f>SUM(CR116:CR120)</f>
        <v>0</v>
      </c>
      <c r="CS121" s="10">
        <f>SUM(CS116:CS120)</f>
        <v>0</v>
      </c>
      <c r="CT121" s="10">
        <f>SUM(CT116:CT120)</f>
        <v>0</v>
      </c>
      <c r="CU121" s="10">
        <f>SUM(CU116:CU120)</f>
        <v>0</v>
      </c>
      <c r="CV121" s="10">
        <f>SUM(CV116:CV120)</f>
        <v>0</v>
      </c>
      <c r="CW121" s="10"/>
      <c r="CX121" s="10"/>
    </row>
    <row r="122" spans="1:103" x14ac:dyDescent="0.2">
      <c r="C122" s="3"/>
      <c r="D122" s="3"/>
      <c r="E122" s="3"/>
      <c r="F122" s="3"/>
      <c r="G122" s="3"/>
      <c r="H122" s="69"/>
      <c r="I122" s="33"/>
      <c r="J122" s="89"/>
      <c r="K122" s="89"/>
      <c r="L122" s="89"/>
      <c r="M122" s="89"/>
      <c r="N122" s="89"/>
      <c r="O122" s="89"/>
      <c r="P122" s="89"/>
      <c r="Q122" s="237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243"/>
      <c r="BC122" s="243"/>
      <c r="BD122" s="243"/>
      <c r="BE122" s="3"/>
      <c r="BF122" s="3"/>
      <c r="BG122" s="3"/>
      <c r="BH122" s="237"/>
      <c r="BI122" s="3" t="s">
        <v>331</v>
      </c>
      <c r="BJ122" s="3" t="s">
        <v>331</v>
      </c>
      <c r="BK122" s="3" t="s">
        <v>331</v>
      </c>
      <c r="BL122" s="3" t="s">
        <v>331</v>
      </c>
      <c r="BM122" s="3" t="s">
        <v>331</v>
      </c>
      <c r="BN122" s="3" t="s">
        <v>331</v>
      </c>
      <c r="BO122" s="3" t="s">
        <v>331</v>
      </c>
      <c r="BP122" s="3" t="s">
        <v>331</v>
      </c>
      <c r="BQ122" s="3" t="s">
        <v>331</v>
      </c>
      <c r="BR122" s="3" t="s">
        <v>331</v>
      </c>
      <c r="BS122" s="3" t="s">
        <v>331</v>
      </c>
      <c r="BT122" s="3" t="s">
        <v>331</v>
      </c>
      <c r="BU122" s="3" t="s">
        <v>331</v>
      </c>
      <c r="BV122" s="3" t="s">
        <v>331</v>
      </c>
      <c r="BW122" s="3" t="s">
        <v>331</v>
      </c>
      <c r="BX122" s="3" t="s">
        <v>331</v>
      </c>
      <c r="BY122" s="3" t="s">
        <v>331</v>
      </c>
      <c r="BZ122" s="3" t="s">
        <v>331</v>
      </c>
      <c r="CA122" s="3" t="s">
        <v>331</v>
      </c>
      <c r="CB122" s="3" t="s">
        <v>331</v>
      </c>
      <c r="CC122" s="3" t="s">
        <v>331</v>
      </c>
      <c r="CD122" s="3" t="s">
        <v>331</v>
      </c>
      <c r="CE122" s="3" t="s">
        <v>331</v>
      </c>
      <c r="CF122" s="3" t="s">
        <v>331</v>
      </c>
      <c r="CG122" s="3" t="s">
        <v>331</v>
      </c>
      <c r="CH122" s="3" t="s">
        <v>331</v>
      </c>
      <c r="CI122" s="3" t="s">
        <v>331</v>
      </c>
      <c r="CJ122" s="3" t="s">
        <v>331</v>
      </c>
      <c r="CK122" s="3" t="s">
        <v>331</v>
      </c>
      <c r="CL122" s="3" t="s">
        <v>331</v>
      </c>
      <c r="CM122" s="3" t="s">
        <v>331</v>
      </c>
      <c r="CN122" s="3" t="s">
        <v>331</v>
      </c>
      <c r="CO122" s="3" t="s">
        <v>331</v>
      </c>
      <c r="CP122" s="3" t="s">
        <v>331</v>
      </c>
      <c r="CQ122" s="3" t="s">
        <v>331</v>
      </c>
      <c r="CR122" s="3" t="s">
        <v>331</v>
      </c>
      <c r="CS122" s="3" t="s">
        <v>331</v>
      </c>
      <c r="CT122" s="3" t="s">
        <v>331</v>
      </c>
      <c r="CU122" s="3" t="s">
        <v>331</v>
      </c>
      <c r="CV122" s="3" t="s">
        <v>331</v>
      </c>
      <c r="CW122" s="3"/>
      <c r="CX122" s="3"/>
    </row>
    <row r="123" spans="1:103" x14ac:dyDescent="0.2">
      <c r="A123" t="s">
        <v>142</v>
      </c>
      <c r="C123" s="3"/>
      <c r="D123" s="3"/>
      <c r="E123" s="3"/>
      <c r="F123" s="3"/>
      <c r="G123" s="3"/>
      <c r="H123" s="69"/>
      <c r="I123" s="33"/>
      <c r="J123" s="89"/>
      <c r="K123" s="89"/>
      <c r="L123" s="89"/>
      <c r="M123" s="89"/>
      <c r="N123" s="89"/>
      <c r="O123" s="89"/>
      <c r="P123" s="89"/>
      <c r="Q123" s="237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43"/>
      <c r="BC123" s="243"/>
      <c r="BD123" s="243"/>
      <c r="BE123" s="3"/>
      <c r="BF123" s="3"/>
      <c r="BG123" s="3"/>
      <c r="BH123" s="237"/>
      <c r="BI123" s="10">
        <v>78091</v>
      </c>
      <c r="BJ123" s="10">
        <v>30389</v>
      </c>
      <c r="BK123" s="10">
        <v>34547</v>
      </c>
      <c r="BL123" s="10">
        <v>20933</v>
      </c>
      <c r="BM123" s="10">
        <v>41757</v>
      </c>
      <c r="BN123" s="10">
        <v>29845</v>
      </c>
      <c r="BO123" s="10">
        <v>30888</v>
      </c>
      <c r="BP123" s="10">
        <v>14865</v>
      </c>
      <c r="BQ123" s="10">
        <v>14587</v>
      </c>
      <c r="BR123" s="10">
        <f t="shared" ref="BR123:BW123" si="55">+BR73+BR110+BR121</f>
        <v>14843</v>
      </c>
      <c r="BS123" s="10">
        <f t="shared" si="55"/>
        <v>17812</v>
      </c>
      <c r="BT123" s="39">
        <f t="shared" si="55"/>
        <v>4596</v>
      </c>
      <c r="BU123" s="10">
        <f t="shared" si="55"/>
        <v>11559</v>
      </c>
      <c r="BV123" s="39">
        <f t="shared" si="55"/>
        <v>3327</v>
      </c>
      <c r="BW123" s="39">
        <f t="shared" si="55"/>
        <v>10681</v>
      </c>
      <c r="BX123" s="39">
        <f t="shared" ref="BX123:CC123" si="56">+BX73+BX110+BX121</f>
        <v>8539</v>
      </c>
      <c r="BY123" s="39">
        <f t="shared" si="56"/>
        <v>10156</v>
      </c>
      <c r="BZ123" s="39">
        <f t="shared" si="56"/>
        <v>27802</v>
      </c>
      <c r="CA123" s="39">
        <f t="shared" si="56"/>
        <v>28823</v>
      </c>
      <c r="CB123" s="39">
        <f t="shared" si="56"/>
        <v>34234</v>
      </c>
      <c r="CC123" s="10">
        <f t="shared" si="56"/>
        <v>39783</v>
      </c>
      <c r="CD123" s="10">
        <f t="shared" ref="CD123:CI123" si="57">+CD73+CD110+CD121</f>
        <v>36700</v>
      </c>
      <c r="CE123" s="10">
        <f t="shared" si="57"/>
        <v>41080</v>
      </c>
      <c r="CF123" s="10">
        <f t="shared" si="57"/>
        <v>59650</v>
      </c>
      <c r="CG123" s="10">
        <f t="shared" si="57"/>
        <v>52412</v>
      </c>
      <c r="CH123" s="10">
        <f t="shared" si="57"/>
        <v>68061</v>
      </c>
      <c r="CI123" s="10">
        <f t="shared" si="57"/>
        <v>108395</v>
      </c>
      <c r="CJ123" s="10">
        <f t="shared" ref="CJ123:CQ123" si="58">+CJ73+CJ110+CJ121</f>
        <v>120324</v>
      </c>
      <c r="CK123" s="10">
        <f t="shared" si="58"/>
        <v>172345</v>
      </c>
      <c r="CL123" s="10">
        <f t="shared" si="58"/>
        <v>136943</v>
      </c>
      <c r="CM123" s="10">
        <f t="shared" si="58"/>
        <v>182367</v>
      </c>
      <c r="CN123" s="10">
        <f t="shared" si="58"/>
        <v>122999</v>
      </c>
      <c r="CO123" s="10">
        <f>+CO73+CO110+CO121</f>
        <v>128684</v>
      </c>
      <c r="CP123" s="10">
        <f>+CP73+CP110+CP121</f>
        <v>158319</v>
      </c>
      <c r="CQ123" s="10">
        <f t="shared" si="58"/>
        <v>155419</v>
      </c>
      <c r="CR123" s="10">
        <f>+CR73+CR110+CR121</f>
        <v>174953</v>
      </c>
      <c r="CS123" s="10">
        <f>+CS73+CS110+CS121</f>
        <v>278570</v>
      </c>
      <c r="CT123" s="10">
        <f>+CT73+CT110+CT121</f>
        <v>249798</v>
      </c>
      <c r="CU123" s="10">
        <f>+CU73+CU110+CU121</f>
        <v>266256</v>
      </c>
      <c r="CV123" s="10">
        <f>+CV73+CV110+CV121</f>
        <v>211080</v>
      </c>
      <c r="CW123" s="10"/>
      <c r="CX123" s="10"/>
    </row>
    <row r="124" spans="1:103" x14ac:dyDescent="0.2">
      <c r="BD124" s="108"/>
      <c r="BI124" s="3" t="s">
        <v>330</v>
      </c>
      <c r="BJ124" s="3" t="s">
        <v>330</v>
      </c>
      <c r="BK124" s="3" t="s">
        <v>330</v>
      </c>
      <c r="BL124" s="3" t="s">
        <v>330</v>
      </c>
      <c r="BM124" s="3" t="s">
        <v>330</v>
      </c>
      <c r="BN124" s="3" t="s">
        <v>330</v>
      </c>
      <c r="BO124" s="3" t="s">
        <v>330</v>
      </c>
      <c r="BP124" s="3" t="s">
        <v>330</v>
      </c>
      <c r="BQ124" s="3" t="s">
        <v>330</v>
      </c>
      <c r="BR124" s="3" t="s">
        <v>330</v>
      </c>
      <c r="BS124" s="3" t="s">
        <v>330</v>
      </c>
      <c r="BT124" s="3" t="s">
        <v>330</v>
      </c>
      <c r="BU124" s="3" t="s">
        <v>330</v>
      </c>
      <c r="BV124" s="3" t="s">
        <v>330</v>
      </c>
      <c r="BW124" s="3" t="s">
        <v>330</v>
      </c>
      <c r="BX124" s="3" t="s">
        <v>330</v>
      </c>
      <c r="BY124" s="3" t="s">
        <v>330</v>
      </c>
      <c r="BZ124" s="3" t="s">
        <v>330</v>
      </c>
      <c r="CA124" s="3" t="s">
        <v>330</v>
      </c>
      <c r="CB124" s="3" t="s">
        <v>330</v>
      </c>
      <c r="CC124" s="3" t="s">
        <v>330</v>
      </c>
      <c r="CD124" s="3" t="s">
        <v>330</v>
      </c>
      <c r="CE124" s="3" t="s">
        <v>330</v>
      </c>
      <c r="CF124" s="3" t="s">
        <v>330</v>
      </c>
      <c r="CG124" s="3" t="s">
        <v>330</v>
      </c>
      <c r="CH124" s="3" t="s">
        <v>330</v>
      </c>
      <c r="CI124" s="3" t="s">
        <v>330</v>
      </c>
      <c r="CJ124" s="3" t="s">
        <v>330</v>
      </c>
      <c r="CK124" s="3" t="s">
        <v>330</v>
      </c>
      <c r="CL124" s="3" t="s">
        <v>330</v>
      </c>
      <c r="CM124" s="3" t="s">
        <v>330</v>
      </c>
      <c r="CN124" s="3" t="s">
        <v>330</v>
      </c>
      <c r="CO124" s="3" t="s">
        <v>330</v>
      </c>
      <c r="CP124" s="3" t="s">
        <v>330</v>
      </c>
      <c r="CQ124" s="3" t="s">
        <v>330</v>
      </c>
      <c r="CR124" s="3" t="s">
        <v>330</v>
      </c>
      <c r="CS124" s="3" t="s">
        <v>330</v>
      </c>
      <c r="CT124" s="3" t="s">
        <v>330</v>
      </c>
      <c r="CU124" s="3" t="s">
        <v>330</v>
      </c>
      <c r="CV124" s="3" t="s">
        <v>330</v>
      </c>
      <c r="CW124" s="3"/>
      <c r="CX124" s="3"/>
    </row>
    <row r="125" spans="1:103" s="262" customFormat="1" x14ac:dyDescent="0.2">
      <c r="H125" s="266"/>
      <c r="I125" s="267"/>
      <c r="J125" s="268"/>
      <c r="K125" s="268"/>
      <c r="L125" s="268"/>
      <c r="M125" s="268"/>
      <c r="N125" s="268"/>
      <c r="O125" s="268"/>
      <c r="P125" s="268"/>
      <c r="BB125" s="269"/>
      <c r="BC125" s="269"/>
      <c r="BD125" s="269"/>
    </row>
    <row r="126" spans="1:103" x14ac:dyDescent="0.2">
      <c r="A126" t="s">
        <v>29</v>
      </c>
      <c r="C126" s="4"/>
      <c r="D126" s="4"/>
      <c r="E126" s="4"/>
      <c r="F126" s="4"/>
      <c r="G126" s="4"/>
      <c r="H126" s="71"/>
      <c r="I126" s="58"/>
      <c r="J126" s="93"/>
      <c r="K126" s="93"/>
      <c r="L126" s="93"/>
      <c r="M126" s="93"/>
      <c r="N126" s="93"/>
      <c r="O126" s="93"/>
      <c r="P126" s="93"/>
      <c r="Q126" s="238"/>
      <c r="R126" s="4">
        <f>SUM(R13:R32)</f>
        <v>2540</v>
      </c>
      <c r="S126" s="4">
        <f t="shared" ref="S126:AR126" si="59">SUM(S13:S32)</f>
        <v>773</v>
      </c>
      <c r="T126" s="4">
        <f t="shared" si="59"/>
        <v>1490</v>
      </c>
      <c r="U126" s="4">
        <f t="shared" si="59"/>
        <v>803</v>
      </c>
      <c r="V126" s="4">
        <f t="shared" si="59"/>
        <v>999</v>
      </c>
      <c r="W126" s="4">
        <f t="shared" si="59"/>
        <v>693</v>
      </c>
      <c r="X126" s="4">
        <f t="shared" si="59"/>
        <v>471</v>
      </c>
      <c r="Y126" s="4">
        <f t="shared" si="59"/>
        <v>278</v>
      </c>
      <c r="Z126" s="4">
        <f t="shared" si="59"/>
        <v>282</v>
      </c>
      <c r="AA126" s="4">
        <f t="shared" si="59"/>
        <v>239</v>
      </c>
      <c r="AB126" s="4">
        <f t="shared" si="59"/>
        <v>303</v>
      </c>
      <c r="AC126" s="4">
        <f t="shared" si="59"/>
        <v>196</v>
      </c>
      <c r="AD126" s="4">
        <f t="shared" si="59"/>
        <v>193</v>
      </c>
      <c r="AE126" s="4">
        <f t="shared" si="59"/>
        <v>288</v>
      </c>
      <c r="AF126" s="4">
        <f t="shared" si="59"/>
        <v>673</v>
      </c>
      <c r="AG126" s="4">
        <f t="shared" si="59"/>
        <v>526</v>
      </c>
      <c r="AH126" s="4">
        <f t="shared" si="59"/>
        <v>668</v>
      </c>
      <c r="AI126" s="4">
        <f t="shared" si="59"/>
        <v>617</v>
      </c>
      <c r="AJ126" s="4">
        <f t="shared" si="59"/>
        <v>585</v>
      </c>
      <c r="AK126" s="4">
        <f t="shared" si="59"/>
        <v>687</v>
      </c>
      <c r="AL126" s="4">
        <f t="shared" si="59"/>
        <v>832</v>
      </c>
      <c r="AM126" s="4">
        <f t="shared" si="59"/>
        <v>806</v>
      </c>
      <c r="AN126" s="4">
        <f t="shared" si="59"/>
        <v>809</v>
      </c>
      <c r="AO126" s="4">
        <f t="shared" si="59"/>
        <v>891</v>
      </c>
      <c r="AP126" s="4">
        <f t="shared" si="59"/>
        <v>731</v>
      </c>
      <c r="AQ126" s="4">
        <f t="shared" si="59"/>
        <v>715</v>
      </c>
      <c r="AR126" s="4">
        <f t="shared" si="59"/>
        <v>778</v>
      </c>
      <c r="AS126" s="4"/>
      <c r="AT126" s="4">
        <f>SUM(AT13:AT32)</f>
        <v>1149</v>
      </c>
      <c r="AU126" s="4"/>
      <c r="AV126" s="4">
        <f>SUM(AV13:AV32)</f>
        <v>926</v>
      </c>
      <c r="AW126" s="4"/>
      <c r="AX126" s="4"/>
      <c r="AY126" s="4"/>
      <c r="AZ126" s="4"/>
      <c r="BA126" s="4"/>
      <c r="BB126" s="122"/>
      <c r="BC126" s="122"/>
      <c r="BD126" s="122"/>
      <c r="BE126" s="4"/>
      <c r="BF126" s="4"/>
      <c r="BG126" s="4"/>
      <c r="BH126" s="238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CY126" s="271"/>
    </row>
    <row r="127" spans="1:103" x14ac:dyDescent="0.2">
      <c r="A127" t="s">
        <v>40</v>
      </c>
      <c r="C127" s="4"/>
      <c r="D127" s="4"/>
      <c r="E127" s="4"/>
      <c r="F127" s="4"/>
      <c r="G127" s="4"/>
      <c r="H127" s="71"/>
      <c r="I127" s="58"/>
      <c r="J127" s="93"/>
      <c r="K127" s="93"/>
      <c r="L127" s="93"/>
      <c r="M127" s="93"/>
      <c r="N127" s="93"/>
      <c r="O127" s="93"/>
      <c r="P127" s="93"/>
      <c r="Q127" s="238"/>
      <c r="R127" s="4">
        <f>SUM(R78:R81)</f>
        <v>97</v>
      </c>
      <c r="S127" s="4">
        <f t="shared" ref="S127:AH127" si="60">SUM(S78:S81)</f>
        <v>255</v>
      </c>
      <c r="T127" s="4">
        <f t="shared" si="60"/>
        <v>206</v>
      </c>
      <c r="U127" s="4">
        <f t="shared" si="60"/>
        <v>241</v>
      </c>
      <c r="V127" s="4">
        <f t="shared" si="60"/>
        <v>221</v>
      </c>
      <c r="W127" s="4">
        <f t="shared" si="60"/>
        <v>211</v>
      </c>
      <c r="X127" s="4">
        <f t="shared" si="60"/>
        <v>242</v>
      </c>
      <c r="Y127" s="4">
        <f t="shared" si="60"/>
        <v>172</v>
      </c>
      <c r="Z127" s="4">
        <f t="shared" si="60"/>
        <v>212</v>
      </c>
      <c r="AA127" s="4">
        <f t="shared" si="60"/>
        <v>185</v>
      </c>
      <c r="AB127" s="4">
        <f t="shared" si="60"/>
        <v>169</v>
      </c>
      <c r="AC127" s="4">
        <f t="shared" si="60"/>
        <v>145</v>
      </c>
      <c r="AD127" s="4">
        <f t="shared" si="60"/>
        <v>41</v>
      </c>
      <c r="AE127" s="4">
        <f t="shared" si="60"/>
        <v>0</v>
      </c>
      <c r="AF127" s="4">
        <f t="shared" si="60"/>
        <v>0</v>
      </c>
      <c r="AG127" s="4">
        <f t="shared" si="60"/>
        <v>0</v>
      </c>
      <c r="AH127" s="4">
        <f t="shared" si="60"/>
        <v>0</v>
      </c>
      <c r="AI127" s="4">
        <f t="shared" ref="AI127:AN127" si="61">SUM(AI78:AI81)</f>
        <v>0</v>
      </c>
      <c r="AJ127" s="4">
        <f t="shared" si="61"/>
        <v>0</v>
      </c>
      <c r="AK127" s="4">
        <f t="shared" si="61"/>
        <v>0</v>
      </c>
      <c r="AL127" s="4">
        <f t="shared" si="61"/>
        <v>0</v>
      </c>
      <c r="AM127" s="4">
        <f t="shared" si="61"/>
        <v>0</v>
      </c>
      <c r="AN127" s="4">
        <f t="shared" si="61"/>
        <v>0</v>
      </c>
      <c r="AO127" s="4">
        <f>SUM(AO78:AO81)</f>
        <v>0</v>
      </c>
      <c r="AP127" s="4">
        <f>SUM(AP78:AP81)</f>
        <v>0</v>
      </c>
      <c r="AQ127" s="4">
        <f>SUM(AQ78:AQ81)</f>
        <v>0</v>
      </c>
      <c r="AR127" s="4">
        <f>SUM(AR78:AR81)</f>
        <v>0</v>
      </c>
      <c r="AS127" s="4"/>
      <c r="AT127" s="4">
        <f>SUM(AT78:AT81)</f>
        <v>0</v>
      </c>
      <c r="AU127" s="4"/>
      <c r="AV127" s="4">
        <f>SUM(AV78:AV81)</f>
        <v>0</v>
      </c>
      <c r="AW127" s="4"/>
      <c r="AX127" s="4"/>
      <c r="AY127" s="4"/>
      <c r="AZ127" s="4"/>
      <c r="BA127" s="4"/>
      <c r="BB127" s="122"/>
      <c r="BC127" s="122"/>
      <c r="BD127" s="122"/>
      <c r="BE127" s="4"/>
      <c r="BF127" s="4"/>
      <c r="BG127" s="4"/>
      <c r="BH127" s="238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CY127" s="271"/>
    </row>
    <row r="128" spans="1:103" x14ac:dyDescent="0.2">
      <c r="A128" t="s">
        <v>46</v>
      </c>
      <c r="C128" s="4"/>
      <c r="D128" s="4"/>
      <c r="E128" s="4"/>
      <c r="F128" s="4"/>
      <c r="G128" s="4"/>
      <c r="H128" s="71"/>
      <c r="I128" s="58"/>
      <c r="J128" s="93"/>
      <c r="K128" s="93"/>
      <c r="L128" s="93"/>
      <c r="M128" s="93"/>
      <c r="N128" s="93"/>
      <c r="O128" s="93"/>
      <c r="P128" s="93"/>
      <c r="Q128" s="238"/>
      <c r="R128" s="4">
        <f>SUM(R116:R119)</f>
        <v>17</v>
      </c>
      <c r="S128" s="4">
        <f t="shared" ref="S128:AH128" si="62">SUM(S116:S119)</f>
        <v>10</v>
      </c>
      <c r="T128" s="4">
        <f t="shared" si="62"/>
        <v>21</v>
      </c>
      <c r="U128" s="4">
        <f t="shared" si="62"/>
        <v>13</v>
      </c>
      <c r="V128" s="4">
        <f t="shared" si="62"/>
        <v>4</v>
      </c>
      <c r="W128" s="4">
        <f t="shared" si="62"/>
        <v>0</v>
      </c>
      <c r="X128" s="4">
        <f t="shared" si="62"/>
        <v>0</v>
      </c>
      <c r="Y128" s="4">
        <f t="shared" si="62"/>
        <v>0</v>
      </c>
      <c r="Z128" s="4">
        <f t="shared" si="62"/>
        <v>0</v>
      </c>
      <c r="AA128" s="4">
        <f t="shared" si="62"/>
        <v>0</v>
      </c>
      <c r="AB128" s="4">
        <f t="shared" si="62"/>
        <v>0</v>
      </c>
      <c r="AC128" s="4">
        <f t="shared" si="62"/>
        <v>0</v>
      </c>
      <c r="AD128" s="4">
        <f t="shared" si="62"/>
        <v>0</v>
      </c>
      <c r="AE128" s="4">
        <f t="shared" si="62"/>
        <v>0</v>
      </c>
      <c r="AF128" s="4">
        <f t="shared" si="62"/>
        <v>0</v>
      </c>
      <c r="AG128" s="4">
        <f t="shared" si="62"/>
        <v>0</v>
      </c>
      <c r="AH128" s="4">
        <f t="shared" si="62"/>
        <v>0</v>
      </c>
      <c r="AI128" s="4">
        <f t="shared" ref="AI128:AN128" si="63">SUM(AI116:AI119)</f>
        <v>0</v>
      </c>
      <c r="AJ128" s="4">
        <f t="shared" si="63"/>
        <v>0</v>
      </c>
      <c r="AK128" s="4">
        <f t="shared" si="63"/>
        <v>0</v>
      </c>
      <c r="AL128" s="4">
        <f t="shared" si="63"/>
        <v>0</v>
      </c>
      <c r="AM128" s="4">
        <f t="shared" si="63"/>
        <v>0</v>
      </c>
      <c r="AN128" s="4">
        <f t="shared" si="63"/>
        <v>0</v>
      </c>
      <c r="AO128" s="4">
        <f>SUM(AO116:AO119)</f>
        <v>0</v>
      </c>
      <c r="AP128" s="4">
        <f>SUM(AP116:AP119)</f>
        <v>0</v>
      </c>
      <c r="AQ128" s="4">
        <f>SUM(AQ116:AQ119)</f>
        <v>0</v>
      </c>
      <c r="AR128" s="4">
        <f>SUM(AR116:AR119)</f>
        <v>0</v>
      </c>
      <c r="AS128" s="4"/>
      <c r="AT128" s="4">
        <f>SUM(AT116:AT119)</f>
        <v>0</v>
      </c>
      <c r="AU128" s="4"/>
      <c r="AV128" s="4">
        <f>SUM(AV116:AV119)</f>
        <v>0</v>
      </c>
      <c r="AW128" s="4"/>
      <c r="AX128" s="4"/>
      <c r="AY128" s="4"/>
      <c r="AZ128" s="4"/>
      <c r="BA128" s="4"/>
      <c r="BB128" s="122"/>
      <c r="BC128" s="122"/>
      <c r="BD128" s="122"/>
      <c r="BE128" s="4"/>
      <c r="BF128" s="4"/>
      <c r="BG128" s="4"/>
      <c r="BH128" s="238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CY128" s="271"/>
    </row>
    <row r="129" spans="56:56" x14ac:dyDescent="0.2">
      <c r="BD129" s="108"/>
    </row>
    <row r="130" spans="56:56" x14ac:dyDescent="0.2">
      <c r="BD130" s="108"/>
    </row>
    <row r="131" spans="56:56" x14ac:dyDescent="0.2">
      <c r="BD131" s="108"/>
    </row>
    <row r="132" spans="56:56" x14ac:dyDescent="0.2">
      <c r="BD132" s="108"/>
    </row>
    <row r="133" spans="56:56" x14ac:dyDescent="0.2">
      <c r="BD133" s="108"/>
    </row>
    <row r="134" spans="56:56" x14ac:dyDescent="0.2">
      <c r="BD134" s="108"/>
    </row>
    <row r="135" spans="56:56" x14ac:dyDescent="0.2">
      <c r="BD135" s="108"/>
    </row>
    <row r="136" spans="56:56" x14ac:dyDescent="0.2">
      <c r="BD136" s="108"/>
    </row>
    <row r="137" spans="56:56" x14ac:dyDescent="0.2">
      <c r="BD137" s="108"/>
    </row>
    <row r="138" spans="56:56" x14ac:dyDescent="0.2">
      <c r="BD138" s="108"/>
    </row>
    <row r="139" spans="56:56" x14ac:dyDescent="0.2">
      <c r="BD139" s="108"/>
    </row>
    <row r="140" spans="56:56" x14ac:dyDescent="0.2">
      <c r="BD140" s="108"/>
    </row>
    <row r="141" spans="56:56" x14ac:dyDescent="0.2">
      <c r="BD141" s="108"/>
    </row>
    <row r="142" spans="56:56" x14ac:dyDescent="0.2">
      <c r="BD142" s="108"/>
    </row>
    <row r="143" spans="56:56" x14ac:dyDescent="0.2">
      <c r="BD143" s="108"/>
    </row>
    <row r="144" spans="56:56" x14ac:dyDescent="0.2">
      <c r="BD144" s="108"/>
    </row>
    <row r="145" spans="56:56" x14ac:dyDescent="0.2">
      <c r="BD145" s="108"/>
    </row>
    <row r="146" spans="56:56" x14ac:dyDescent="0.2">
      <c r="BD146" s="108"/>
    </row>
    <row r="147" spans="56:56" x14ac:dyDescent="0.2">
      <c r="BD147" s="108"/>
    </row>
    <row r="148" spans="56:56" x14ac:dyDescent="0.2">
      <c r="BD148" s="108"/>
    </row>
    <row r="149" spans="56:56" x14ac:dyDescent="0.2">
      <c r="BD149" s="108"/>
    </row>
    <row r="150" spans="56:56" x14ac:dyDescent="0.2">
      <c r="BD150" s="108"/>
    </row>
    <row r="151" spans="56:56" x14ac:dyDescent="0.2">
      <c r="BD151" s="108"/>
    </row>
    <row r="152" spans="56:56" x14ac:dyDescent="0.2">
      <c r="BD152" s="108"/>
    </row>
    <row r="153" spans="56:56" x14ac:dyDescent="0.2">
      <c r="BD153" s="108"/>
    </row>
    <row r="154" spans="56:56" x14ac:dyDescent="0.2">
      <c r="BD154" s="108"/>
    </row>
    <row r="155" spans="56:56" x14ac:dyDescent="0.2">
      <c r="BD155" s="108"/>
    </row>
    <row r="156" spans="56:56" x14ac:dyDescent="0.2">
      <c r="BD156" s="108"/>
    </row>
    <row r="157" spans="56:56" x14ac:dyDescent="0.2">
      <c r="BD157" s="108"/>
    </row>
    <row r="158" spans="56:56" x14ac:dyDescent="0.2">
      <c r="BD158" s="108"/>
    </row>
    <row r="159" spans="56:56" x14ac:dyDescent="0.2">
      <c r="BD159" s="108"/>
    </row>
    <row r="160" spans="56:56" x14ac:dyDescent="0.2">
      <c r="BD160" s="108"/>
    </row>
    <row r="161" spans="56:56" x14ac:dyDescent="0.2">
      <c r="BD161" s="108"/>
    </row>
    <row r="162" spans="56:56" x14ac:dyDescent="0.2">
      <c r="BD162" s="108"/>
    </row>
    <row r="163" spans="56:56" x14ac:dyDescent="0.2">
      <c r="BD163" s="108"/>
    </row>
    <row r="164" spans="56:56" x14ac:dyDescent="0.2">
      <c r="BD164" s="108"/>
    </row>
    <row r="165" spans="56:56" x14ac:dyDescent="0.2">
      <c r="BD165" s="108"/>
    </row>
    <row r="166" spans="56:56" x14ac:dyDescent="0.2">
      <c r="BD166" s="108"/>
    </row>
    <row r="167" spans="56:56" x14ac:dyDescent="0.2">
      <c r="BD167" s="108"/>
    </row>
    <row r="168" spans="56:56" x14ac:dyDescent="0.2">
      <c r="BD168" s="108"/>
    </row>
    <row r="169" spans="56:56" x14ac:dyDescent="0.2">
      <c r="BD169" s="108"/>
    </row>
    <row r="170" spans="56:56" x14ac:dyDescent="0.2">
      <c r="BD170" s="108"/>
    </row>
    <row r="171" spans="56:56" x14ac:dyDescent="0.2">
      <c r="BD171" s="108"/>
    </row>
    <row r="172" spans="56:56" x14ac:dyDescent="0.2">
      <c r="BD172" s="108"/>
    </row>
    <row r="173" spans="56:56" x14ac:dyDescent="0.2">
      <c r="BD173" s="108"/>
    </row>
    <row r="174" spans="56:56" x14ac:dyDescent="0.2">
      <c r="BD174" s="108"/>
    </row>
    <row r="175" spans="56:56" x14ac:dyDescent="0.2">
      <c r="BD175" s="108"/>
    </row>
    <row r="176" spans="56:56" x14ac:dyDescent="0.2">
      <c r="BD176" s="108"/>
    </row>
    <row r="177" spans="56:56" x14ac:dyDescent="0.2">
      <c r="BD177" s="108"/>
    </row>
    <row r="178" spans="56:56" x14ac:dyDescent="0.2">
      <c r="BD178" s="108"/>
    </row>
    <row r="179" spans="56:56" x14ac:dyDescent="0.2">
      <c r="BD179" s="108"/>
    </row>
    <row r="180" spans="56:56" x14ac:dyDescent="0.2">
      <c r="BD180" s="108"/>
    </row>
    <row r="181" spans="56:56" x14ac:dyDescent="0.2">
      <c r="BD181" s="108"/>
    </row>
    <row r="182" spans="56:56" x14ac:dyDescent="0.2">
      <c r="BD182" s="108"/>
    </row>
    <row r="183" spans="56:56" x14ac:dyDescent="0.2">
      <c r="BD183" s="108"/>
    </row>
    <row r="184" spans="56:56" x14ac:dyDescent="0.2">
      <c r="BD184" s="108"/>
    </row>
    <row r="185" spans="56:56" x14ac:dyDescent="0.2">
      <c r="BD185" s="108"/>
    </row>
    <row r="186" spans="56:56" x14ac:dyDescent="0.2">
      <c r="BD186" s="108"/>
    </row>
    <row r="187" spans="56:56" x14ac:dyDescent="0.2">
      <c r="BD187" s="108"/>
    </row>
    <row r="188" spans="56:56" x14ac:dyDescent="0.2">
      <c r="BD188" s="108"/>
    </row>
    <row r="189" spans="56:56" x14ac:dyDescent="0.2">
      <c r="BD189" s="108"/>
    </row>
    <row r="190" spans="56:56" x14ac:dyDescent="0.2">
      <c r="BD190" s="108"/>
    </row>
    <row r="191" spans="56:56" x14ac:dyDescent="0.2">
      <c r="BD191" s="108"/>
    </row>
    <row r="192" spans="56:56" x14ac:dyDescent="0.2">
      <c r="BD192" s="108"/>
    </row>
    <row r="193" spans="56:56" x14ac:dyDescent="0.2">
      <c r="BD193" s="108"/>
    </row>
    <row r="194" spans="56:56" x14ac:dyDescent="0.2">
      <c r="BD194" s="108"/>
    </row>
    <row r="195" spans="56:56" x14ac:dyDescent="0.2">
      <c r="BD195" s="108"/>
    </row>
    <row r="196" spans="56:56" x14ac:dyDescent="0.2">
      <c r="BD196" s="108"/>
    </row>
    <row r="197" spans="56:56" x14ac:dyDescent="0.2">
      <c r="BD197" s="108"/>
    </row>
    <row r="198" spans="56:56" x14ac:dyDescent="0.2">
      <c r="BD198" s="108"/>
    </row>
    <row r="199" spans="56:56" x14ac:dyDescent="0.2">
      <c r="BD199" s="108"/>
    </row>
    <row r="200" spans="56:56" x14ac:dyDescent="0.2">
      <c r="BD200" s="108"/>
    </row>
    <row r="201" spans="56:56" x14ac:dyDescent="0.2">
      <c r="BD201" s="108"/>
    </row>
    <row r="202" spans="56:56" x14ac:dyDescent="0.2">
      <c r="BD202" s="108"/>
    </row>
    <row r="203" spans="56:56" x14ac:dyDescent="0.2">
      <c r="BD203" s="108"/>
    </row>
    <row r="204" spans="56:56" x14ac:dyDescent="0.2">
      <c r="BD204" s="108"/>
    </row>
    <row r="205" spans="56:56" x14ac:dyDescent="0.2">
      <c r="BD205" s="108"/>
    </row>
    <row r="206" spans="56:56" x14ac:dyDescent="0.2">
      <c r="BD206" s="108"/>
    </row>
    <row r="207" spans="56:56" x14ac:dyDescent="0.2">
      <c r="BD207" s="108"/>
    </row>
    <row r="208" spans="56:56" x14ac:dyDescent="0.2">
      <c r="BD208" s="108"/>
    </row>
    <row r="209" spans="56:56" x14ac:dyDescent="0.2">
      <c r="BD209" s="108"/>
    </row>
    <row r="210" spans="56:56" x14ac:dyDescent="0.2">
      <c r="BD210" s="108"/>
    </row>
    <row r="211" spans="56:56" x14ac:dyDescent="0.2">
      <c r="BD211" s="108"/>
    </row>
    <row r="212" spans="56:56" x14ac:dyDescent="0.2">
      <c r="BD212" s="108"/>
    </row>
    <row r="213" spans="56:56" x14ac:dyDescent="0.2">
      <c r="BD213" s="108"/>
    </row>
    <row r="214" spans="56:56" x14ac:dyDescent="0.2">
      <c r="BD214" s="108"/>
    </row>
    <row r="215" spans="56:56" x14ac:dyDescent="0.2">
      <c r="BD215" s="108"/>
    </row>
    <row r="216" spans="56:56" x14ac:dyDescent="0.2">
      <c r="BD216" s="108"/>
    </row>
    <row r="217" spans="56:56" x14ac:dyDescent="0.2">
      <c r="BD217" s="108"/>
    </row>
    <row r="218" spans="56:56" x14ac:dyDescent="0.2">
      <c r="BD218" s="108"/>
    </row>
    <row r="219" spans="56:56" x14ac:dyDescent="0.2">
      <c r="BD219" s="108"/>
    </row>
    <row r="220" spans="56:56" x14ac:dyDescent="0.2">
      <c r="BD220" s="108"/>
    </row>
    <row r="221" spans="56:56" x14ac:dyDescent="0.2">
      <c r="BD221" s="108"/>
    </row>
    <row r="222" spans="56:56" x14ac:dyDescent="0.2">
      <c r="BD222" s="108"/>
    </row>
    <row r="223" spans="56:56" x14ac:dyDescent="0.2">
      <c r="BD223" s="108"/>
    </row>
    <row r="224" spans="56:56" x14ac:dyDescent="0.2">
      <c r="BD224" s="108"/>
    </row>
    <row r="225" spans="56:56" x14ac:dyDescent="0.2">
      <c r="BD225" s="108"/>
    </row>
    <row r="226" spans="56:56" x14ac:dyDescent="0.2">
      <c r="BD226" s="108"/>
    </row>
    <row r="227" spans="56:56" x14ac:dyDescent="0.2">
      <c r="BD227" s="108"/>
    </row>
    <row r="228" spans="56:56" x14ac:dyDescent="0.2">
      <c r="BD228" s="108"/>
    </row>
    <row r="229" spans="56:56" x14ac:dyDescent="0.2">
      <c r="BD229" s="108"/>
    </row>
    <row r="230" spans="56:56" x14ac:dyDescent="0.2">
      <c r="BD230" s="108"/>
    </row>
    <row r="231" spans="56:56" x14ac:dyDescent="0.2">
      <c r="BD231" s="108"/>
    </row>
    <row r="232" spans="56:56" x14ac:dyDescent="0.2">
      <c r="BD232" s="108"/>
    </row>
    <row r="233" spans="56:56" x14ac:dyDescent="0.2">
      <c r="BD233" s="108"/>
    </row>
    <row r="234" spans="56:56" x14ac:dyDescent="0.2">
      <c r="BD234" s="108"/>
    </row>
    <row r="235" spans="56:56" x14ac:dyDescent="0.2">
      <c r="BD235" s="108"/>
    </row>
    <row r="236" spans="56:56" x14ac:dyDescent="0.2">
      <c r="BD236" s="108"/>
    </row>
    <row r="237" spans="56:56" x14ac:dyDescent="0.2">
      <c r="BD237" s="108"/>
    </row>
    <row r="238" spans="56:56" x14ac:dyDescent="0.2">
      <c r="BD238" s="108"/>
    </row>
    <row r="239" spans="56:56" x14ac:dyDescent="0.2">
      <c r="BD239" s="108"/>
    </row>
    <row r="240" spans="56:56" x14ac:dyDescent="0.2">
      <c r="BD240" s="108"/>
    </row>
    <row r="241" spans="56:56" x14ac:dyDescent="0.2">
      <c r="BD241" s="108"/>
    </row>
    <row r="242" spans="56:56" x14ac:dyDescent="0.2">
      <c r="BD242" s="108"/>
    </row>
    <row r="243" spans="56:56" x14ac:dyDescent="0.2">
      <c r="BD243" s="108"/>
    </row>
    <row r="244" spans="56:56" x14ac:dyDescent="0.2">
      <c r="BD244" s="108"/>
    </row>
    <row r="245" spans="56:56" x14ac:dyDescent="0.2">
      <c r="BD245" s="108"/>
    </row>
    <row r="246" spans="56:56" x14ac:dyDescent="0.2">
      <c r="BD246" s="108"/>
    </row>
    <row r="247" spans="56:56" x14ac:dyDescent="0.2">
      <c r="BD247" s="108"/>
    </row>
    <row r="248" spans="56:56" x14ac:dyDescent="0.2">
      <c r="BD248" s="108"/>
    </row>
    <row r="249" spans="56:56" x14ac:dyDescent="0.2">
      <c r="BD249" s="108"/>
    </row>
    <row r="250" spans="56:56" x14ac:dyDescent="0.2">
      <c r="BD250" s="108"/>
    </row>
  </sheetData>
  <mergeCells count="2">
    <mergeCell ref="R6:AT6"/>
    <mergeCell ref="BI6:CK6"/>
  </mergeCells>
  <phoneticPr fontId="0" type="noConversion"/>
  <printOptions horizontalCentered="1" verticalCentered="1" gridLines="1"/>
  <pageMargins left="0.25" right="0.25" top="0.75" bottom="0.25" header="0.3" footer="0.3"/>
  <pageSetup scale="4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/>
  </sheetPr>
  <dimension ref="A1:T60"/>
  <sheetViews>
    <sheetView zoomScaleNormal="100" workbookViewId="0">
      <pane ySplit="3" topLeftCell="A4" activePane="bottomLeft" state="frozen"/>
      <selection activeCell="D53" sqref="D53"/>
      <selection pane="bottomLeft" activeCell="X40" sqref="X40"/>
    </sheetView>
  </sheetViews>
  <sheetFormatPr defaultRowHeight="12.75" x14ac:dyDescent="0.2"/>
  <cols>
    <col min="1" max="1" width="5.7109375" style="1" customWidth="1"/>
    <col min="2" max="2" width="55.42578125" bestFit="1" customWidth="1"/>
    <col min="3" max="3" width="16.42578125" bestFit="1" customWidth="1"/>
    <col min="4" max="5" width="16" bestFit="1" customWidth="1"/>
    <col min="6" max="6" width="3" bestFit="1" customWidth="1"/>
    <col min="7" max="7" width="3.7109375" style="277" customWidth="1"/>
    <col min="8" max="8" width="10" bestFit="1" customWidth="1"/>
    <col min="9" max="9" width="10.7109375" hidden="1" customWidth="1"/>
    <col min="10" max="11" width="9.140625" hidden="1" customWidth="1"/>
    <col min="12" max="12" width="14" hidden="1" customWidth="1"/>
    <col min="13" max="15" width="9.140625" hidden="1" customWidth="1"/>
    <col min="16" max="16" width="17.140625" hidden="1" customWidth="1"/>
    <col min="20" max="20" width="17.140625" customWidth="1"/>
    <col min="26" max="26" width="11" bestFit="1" customWidth="1"/>
  </cols>
  <sheetData>
    <row r="1" spans="1:20" x14ac:dyDescent="0.2">
      <c r="B1" s="104" t="s">
        <v>172</v>
      </c>
      <c r="D1" s="3" t="s">
        <v>1</v>
      </c>
    </row>
    <row r="2" spans="1:20" x14ac:dyDescent="0.2">
      <c r="B2" s="106" t="s">
        <v>530</v>
      </c>
      <c r="D2" s="202" t="s">
        <v>564</v>
      </c>
      <c r="E2" s="46">
        <f>+'Y1'!M7</f>
        <v>24</v>
      </c>
    </row>
    <row r="3" spans="1:20" x14ac:dyDescent="0.2">
      <c r="B3" s="106" t="s">
        <v>152</v>
      </c>
    </row>
    <row r="4" spans="1:20" x14ac:dyDescent="0.2">
      <c r="A4" s="1" t="s">
        <v>138</v>
      </c>
    </row>
    <row r="5" spans="1:20" ht="13.5" thickBot="1" x14ac:dyDescent="0.25"/>
    <row r="6" spans="1:20" ht="13.5" thickBot="1" x14ac:dyDescent="0.25">
      <c r="B6" s="46" t="s">
        <v>532</v>
      </c>
      <c r="Q6" s="279" t="s">
        <v>576</v>
      </c>
      <c r="R6" s="280"/>
      <c r="S6" s="280"/>
      <c r="T6" s="281"/>
    </row>
    <row r="7" spans="1:20" x14ac:dyDescent="0.2">
      <c r="A7" s="1" t="s">
        <v>153</v>
      </c>
      <c r="B7" s="1"/>
      <c r="C7" s="1" t="s">
        <v>154</v>
      </c>
      <c r="D7" s="1" t="s">
        <v>155</v>
      </c>
      <c r="E7" s="1" t="s">
        <v>156</v>
      </c>
      <c r="I7" s="137" t="s">
        <v>490</v>
      </c>
      <c r="J7" s="138" t="s">
        <v>477</v>
      </c>
      <c r="K7" s="139"/>
      <c r="L7" s="140"/>
      <c r="M7" s="156" t="s">
        <v>507</v>
      </c>
      <c r="N7" s="157" t="s">
        <v>477</v>
      </c>
      <c r="O7" s="158"/>
      <c r="P7" s="159"/>
      <c r="Q7" s="209" t="s">
        <v>531</v>
      </c>
      <c r="R7" s="210" t="s">
        <v>477</v>
      </c>
      <c r="S7" s="211"/>
      <c r="T7" s="212"/>
    </row>
    <row r="8" spans="1:20" x14ac:dyDescent="0.2">
      <c r="A8" s="1" t="s">
        <v>157</v>
      </c>
      <c r="B8" s="1" t="s">
        <v>158</v>
      </c>
      <c r="C8" s="1" t="s">
        <v>159</v>
      </c>
      <c r="D8" s="1" t="s">
        <v>159</v>
      </c>
      <c r="E8" s="1" t="s">
        <v>159</v>
      </c>
      <c r="I8" s="141" t="s">
        <v>471</v>
      </c>
      <c r="J8" s="142">
        <v>193</v>
      </c>
      <c r="K8" s="142"/>
      <c r="L8" s="143"/>
      <c r="M8" s="160" t="s">
        <v>471</v>
      </c>
      <c r="N8" s="161">
        <v>189.102</v>
      </c>
      <c r="O8" s="162"/>
      <c r="P8" s="163"/>
      <c r="Q8" s="213" t="s">
        <v>471</v>
      </c>
      <c r="R8" s="214">
        <v>186.73099999999999</v>
      </c>
      <c r="S8" s="215"/>
      <c r="T8" s="216"/>
    </row>
    <row r="9" spans="1:20" x14ac:dyDescent="0.2">
      <c r="I9" s="141" t="s">
        <v>472</v>
      </c>
      <c r="J9" s="142">
        <v>187.6</v>
      </c>
      <c r="K9" s="142"/>
      <c r="L9" s="143"/>
      <c r="M9" s="160" t="s">
        <v>472</v>
      </c>
      <c r="N9" s="161">
        <v>180.08500000000001</v>
      </c>
      <c r="O9" s="162"/>
      <c r="P9" s="163"/>
      <c r="Q9" s="213" t="s">
        <v>472</v>
      </c>
      <c r="R9" s="214">
        <v>188.57599999999999</v>
      </c>
      <c r="S9" s="215"/>
      <c r="T9" s="216"/>
    </row>
    <row r="10" spans="1:20" x14ac:dyDescent="0.2">
      <c r="A10" s="1">
        <v>1</v>
      </c>
      <c r="B10" t="s">
        <v>377</v>
      </c>
      <c r="C10" s="81">
        <f>C31+C42</f>
        <v>2251005000</v>
      </c>
      <c r="D10" s="81">
        <f>D31+D42</f>
        <v>1323976000</v>
      </c>
      <c r="E10" s="81">
        <f>E31+E42</f>
        <v>2758909000</v>
      </c>
      <c r="I10" s="141" t="s">
        <v>489</v>
      </c>
      <c r="J10" s="142">
        <v>143.69999999999999</v>
      </c>
      <c r="K10" s="142"/>
      <c r="L10" s="143"/>
      <c r="M10" s="160" t="s">
        <v>489</v>
      </c>
      <c r="N10" s="161">
        <v>134.23099999999999</v>
      </c>
      <c r="O10" s="162"/>
      <c r="P10" s="163"/>
      <c r="Q10" s="213" t="s">
        <v>489</v>
      </c>
      <c r="R10" s="214">
        <v>138.559</v>
      </c>
      <c r="S10" s="215"/>
      <c r="T10" s="216"/>
    </row>
    <row r="11" spans="1:20" x14ac:dyDescent="0.2">
      <c r="C11" s="3"/>
      <c r="D11" s="3"/>
      <c r="E11" s="3"/>
      <c r="I11" s="141" t="s">
        <v>473</v>
      </c>
      <c r="J11" s="142">
        <v>140.69999999999999</v>
      </c>
      <c r="K11" s="142"/>
      <c r="L11" s="143"/>
      <c r="M11" s="160" t="s">
        <v>473</v>
      </c>
      <c r="N11" s="161">
        <v>150.74100000000001</v>
      </c>
      <c r="O11" s="162"/>
      <c r="P11" s="163"/>
      <c r="Q11" s="213" t="s">
        <v>473</v>
      </c>
      <c r="R11" s="214">
        <v>151.91800000000001</v>
      </c>
      <c r="S11" s="215"/>
      <c r="T11" s="216"/>
    </row>
    <row r="12" spans="1:20" x14ac:dyDescent="0.2">
      <c r="A12" s="1">
        <v>2</v>
      </c>
      <c r="B12" t="s">
        <v>160</v>
      </c>
      <c r="C12" s="11">
        <f>ROUND(C10*0.0066,0)</f>
        <v>14856633</v>
      </c>
      <c r="D12" s="11">
        <f>ROUND(D10*0.0066,0)</f>
        <v>8738242</v>
      </c>
      <c r="E12" s="11">
        <f>ROUND(E10*0.0066,0)</f>
        <v>18208799</v>
      </c>
      <c r="I12" s="141" t="s">
        <v>474</v>
      </c>
      <c r="J12" s="142">
        <v>174.2</v>
      </c>
      <c r="K12" s="142"/>
      <c r="L12" s="143"/>
      <c r="M12" s="160" t="s">
        <v>474</v>
      </c>
      <c r="N12" s="161">
        <v>178.72800000000001</v>
      </c>
      <c r="O12" s="162"/>
      <c r="P12" s="163"/>
      <c r="Q12" s="213" t="s">
        <v>474</v>
      </c>
      <c r="R12" s="214">
        <v>184.583</v>
      </c>
      <c r="S12" s="215"/>
      <c r="T12" s="216"/>
    </row>
    <row r="13" spans="1:20" x14ac:dyDescent="0.2">
      <c r="C13" s="3" t="s">
        <v>161</v>
      </c>
      <c r="D13" s="97" t="s">
        <v>161</v>
      </c>
      <c r="E13" s="97" t="s">
        <v>161</v>
      </c>
      <c r="I13" s="141" t="s">
        <v>475</v>
      </c>
      <c r="J13" s="142">
        <v>264.5</v>
      </c>
      <c r="K13" s="142">
        <f>SUM(J8:J13)</f>
        <v>1103.7</v>
      </c>
      <c r="L13" s="144">
        <f>K13*1000000</f>
        <v>1103700000</v>
      </c>
      <c r="M13" s="160" t="s">
        <v>475</v>
      </c>
      <c r="N13" s="161">
        <v>249.44300000000001</v>
      </c>
      <c r="O13" s="164">
        <f>SUM(N8:N13)</f>
        <v>1082.33</v>
      </c>
      <c r="P13" s="165">
        <f>O13*1000000</f>
        <v>1082330000</v>
      </c>
      <c r="Q13" s="213" t="s">
        <v>475</v>
      </c>
      <c r="R13" s="214">
        <v>250.55799999999999</v>
      </c>
      <c r="S13" s="217">
        <f>SUM(R8:R13)</f>
        <v>1100.925</v>
      </c>
      <c r="T13" s="218">
        <f>S13*1000000</f>
        <v>1100925000</v>
      </c>
    </row>
    <row r="14" spans="1:20" x14ac:dyDescent="0.2">
      <c r="A14" s="1">
        <v>3</v>
      </c>
      <c r="B14" t="s">
        <v>162</v>
      </c>
      <c r="C14" s="11">
        <f>+C10-C12</f>
        <v>2236148367</v>
      </c>
      <c r="D14" s="11">
        <f>+D10-D12</f>
        <v>1315237758</v>
      </c>
      <c r="E14" s="11">
        <f>+E10-E12</f>
        <v>2740700201</v>
      </c>
      <c r="I14" s="141" t="s">
        <v>465</v>
      </c>
      <c r="J14" s="142">
        <v>302.5</v>
      </c>
      <c r="K14" s="142"/>
      <c r="L14" s="143"/>
      <c r="M14" s="160" t="s">
        <v>465</v>
      </c>
      <c r="N14" s="161">
        <v>306.69099999999997</v>
      </c>
      <c r="O14" s="164"/>
      <c r="P14" s="163"/>
      <c r="Q14" s="213" t="s">
        <v>465</v>
      </c>
      <c r="R14" s="214">
        <v>286.98700000000002</v>
      </c>
      <c r="S14" s="217"/>
      <c r="T14" s="216"/>
    </row>
    <row r="15" spans="1:20" x14ac:dyDescent="0.2">
      <c r="C15" s="3"/>
      <c r="D15" s="3"/>
      <c r="E15" s="3"/>
      <c r="I15" s="141" t="s">
        <v>466</v>
      </c>
      <c r="J15" s="142">
        <v>232.8</v>
      </c>
      <c r="K15" s="142"/>
      <c r="L15" s="143"/>
      <c r="M15" s="160" t="s">
        <v>466</v>
      </c>
      <c r="N15" s="161">
        <v>243.37299999999999</v>
      </c>
      <c r="O15" s="164"/>
      <c r="P15" s="163"/>
      <c r="Q15" s="213" t="s">
        <v>466</v>
      </c>
      <c r="R15" s="214">
        <v>228.59200000000001</v>
      </c>
      <c r="S15" s="217"/>
      <c r="T15" s="216"/>
    </row>
    <row r="16" spans="1:20" x14ac:dyDescent="0.2">
      <c r="A16" s="1">
        <v>4</v>
      </c>
      <c r="B16" t="s">
        <v>163</v>
      </c>
      <c r="C16" s="3">
        <v>0</v>
      </c>
      <c r="D16" s="3">
        <v>0</v>
      </c>
      <c r="E16" s="11">
        <v>0</v>
      </c>
      <c r="H16" s="15"/>
      <c r="I16" s="141" t="s">
        <v>467</v>
      </c>
      <c r="J16" s="142">
        <v>216.3</v>
      </c>
      <c r="K16" s="142"/>
      <c r="L16" s="143"/>
      <c r="M16" s="160" t="s">
        <v>467</v>
      </c>
      <c r="N16" s="161">
        <v>227.91900000000001</v>
      </c>
      <c r="O16" s="164"/>
      <c r="P16" s="163"/>
      <c r="Q16" s="213" t="s">
        <v>467</v>
      </c>
      <c r="R16" s="214">
        <v>197.935</v>
      </c>
      <c r="S16" s="217"/>
      <c r="T16" s="216"/>
    </row>
    <row r="17" spans="1:20" x14ac:dyDescent="0.2">
      <c r="C17" s="3" t="s">
        <v>161</v>
      </c>
      <c r="D17" s="3" t="s">
        <v>161</v>
      </c>
      <c r="E17" s="3" t="s">
        <v>161</v>
      </c>
      <c r="I17" s="141" t="s">
        <v>468</v>
      </c>
      <c r="J17" s="142">
        <v>136.9</v>
      </c>
      <c r="K17" s="142"/>
      <c r="L17" s="143"/>
      <c r="M17" s="160" t="s">
        <v>468</v>
      </c>
      <c r="N17" s="161">
        <v>148.08099999999999</v>
      </c>
      <c r="O17" s="164"/>
      <c r="P17" s="163"/>
      <c r="Q17" s="213" t="s">
        <v>468</v>
      </c>
      <c r="R17" s="214">
        <v>131.90600000000001</v>
      </c>
      <c r="S17" s="217"/>
      <c r="T17" s="216"/>
    </row>
    <row r="18" spans="1:20" x14ac:dyDescent="0.2">
      <c r="A18" s="1">
        <v>5</v>
      </c>
      <c r="B18" t="s">
        <v>164</v>
      </c>
      <c r="C18" s="11">
        <f>+C14-C16</f>
        <v>2236148367</v>
      </c>
      <c r="D18" s="11">
        <f>+D14-D16</f>
        <v>1315237758</v>
      </c>
      <c r="E18" s="11">
        <f>+E14-E16</f>
        <v>2740700201</v>
      </c>
      <c r="I18" s="141" t="s">
        <v>469</v>
      </c>
      <c r="J18" s="142">
        <v>133.1</v>
      </c>
      <c r="K18" s="142"/>
      <c r="L18" s="143"/>
      <c r="M18" s="160" t="s">
        <v>469</v>
      </c>
      <c r="N18" s="161">
        <v>132.874</v>
      </c>
      <c r="O18" s="164"/>
      <c r="P18" s="163"/>
      <c r="Q18" s="213" t="s">
        <v>469</v>
      </c>
      <c r="R18" s="214">
        <v>147.702</v>
      </c>
      <c r="S18" s="217"/>
      <c r="T18" s="216"/>
    </row>
    <row r="19" spans="1:20" x14ac:dyDescent="0.2">
      <c r="C19" s="3"/>
      <c r="D19" s="3"/>
      <c r="E19" s="3"/>
      <c r="I19" s="141" t="s">
        <v>470</v>
      </c>
      <c r="J19" s="142">
        <v>154.30000000000001</v>
      </c>
      <c r="K19" s="142">
        <f>SUM(J14:J19)</f>
        <v>1175.8999999999999</v>
      </c>
      <c r="L19" s="144">
        <f>K19*1000000</f>
        <v>1175899999.9999998</v>
      </c>
      <c r="M19" s="160" t="s">
        <v>470</v>
      </c>
      <c r="N19" s="161">
        <v>145.60599999999999</v>
      </c>
      <c r="O19" s="164">
        <f>SUM(N14:N19)</f>
        <v>1204.5439999999999</v>
      </c>
      <c r="P19" s="165">
        <f>O19*1000000</f>
        <v>1204543999.9999998</v>
      </c>
      <c r="Q19" s="213" t="s">
        <v>470</v>
      </c>
      <c r="R19" s="214">
        <v>156.958</v>
      </c>
      <c r="S19" s="217">
        <f>SUM(R14:R19)</f>
        <v>1150.0800000000002</v>
      </c>
      <c r="T19" s="218">
        <f>S19*1000000</f>
        <v>1150080000.0000002</v>
      </c>
    </row>
    <row r="20" spans="1:20" x14ac:dyDescent="0.2">
      <c r="A20" s="1">
        <v>6</v>
      </c>
      <c r="B20" t="s">
        <v>376</v>
      </c>
      <c r="C20" s="11">
        <f>+C59</f>
        <v>17712880</v>
      </c>
      <c r="D20" s="11">
        <f>+D59</f>
        <v>3288411</v>
      </c>
      <c r="E20" s="11">
        <f>+E59</f>
        <v>0</v>
      </c>
      <c r="H20" s="15"/>
      <c r="I20" s="141" t="s">
        <v>138</v>
      </c>
      <c r="J20" s="145">
        <f>SUM(J8:J19)</f>
        <v>2279.6000000000004</v>
      </c>
      <c r="K20" s="146">
        <f>SUM(K19,K13)</f>
        <v>2279.6</v>
      </c>
      <c r="L20" s="144">
        <f>K20*1000000</f>
        <v>2279600000</v>
      </c>
      <c r="M20" s="166"/>
      <c r="N20" s="162"/>
      <c r="O20" s="167">
        <f>SUM(O19,O13)</f>
        <v>2286.8739999999998</v>
      </c>
      <c r="P20" s="165">
        <f>O20*1000000</f>
        <v>2286874000</v>
      </c>
      <c r="Q20" s="219"/>
      <c r="R20" s="215"/>
      <c r="S20" s="220">
        <f>SUM(S19,S13)</f>
        <v>2251.0050000000001</v>
      </c>
      <c r="T20" s="218">
        <f>S20*1000000</f>
        <v>2251005000</v>
      </c>
    </row>
    <row r="21" spans="1:20" x14ac:dyDescent="0.2">
      <c r="C21" s="3" t="s">
        <v>161</v>
      </c>
      <c r="D21" s="3" t="s">
        <v>161</v>
      </c>
      <c r="E21" s="3" t="s">
        <v>161</v>
      </c>
      <c r="I21" s="147"/>
      <c r="J21" s="148"/>
      <c r="K21" s="148"/>
      <c r="L21" s="143"/>
      <c r="M21" s="166"/>
      <c r="N21" s="162"/>
      <c r="O21" s="168"/>
      <c r="P21" s="163"/>
      <c r="Q21" s="219"/>
      <c r="R21" s="215"/>
      <c r="S21" s="221"/>
      <c r="T21" s="216"/>
    </row>
    <row r="22" spans="1:20" x14ac:dyDescent="0.2">
      <c r="A22" s="1">
        <v>7</v>
      </c>
      <c r="B22" t="s">
        <v>165</v>
      </c>
      <c r="C22" s="11">
        <f>+C18-C20</f>
        <v>2218435487</v>
      </c>
      <c r="D22" s="11">
        <f>+D18-D20</f>
        <v>1311949347</v>
      </c>
      <c r="E22" s="11">
        <f>+E18-E20</f>
        <v>2740700201</v>
      </c>
      <c r="I22" s="149" t="str">
        <f t="shared" ref="I22:I34" si="0">I7</f>
        <v>2013 / 2014</v>
      </c>
      <c r="J22" s="150" t="s">
        <v>476</v>
      </c>
      <c r="K22" s="148"/>
      <c r="L22" s="143"/>
      <c r="M22" s="169" t="str">
        <f t="shared" ref="M22:M34" si="1">M7</f>
        <v>2014/2015</v>
      </c>
      <c r="N22" s="170" t="s">
        <v>476</v>
      </c>
      <c r="O22" s="168"/>
      <c r="P22" s="163"/>
      <c r="Q22" s="222" t="str">
        <f t="shared" ref="Q22:Q34" si="2">Q7</f>
        <v>2015/2016</v>
      </c>
      <c r="R22" s="223" t="s">
        <v>476</v>
      </c>
      <c r="S22" s="221"/>
      <c r="T22" s="216"/>
    </row>
    <row r="23" spans="1:20" x14ac:dyDescent="0.2">
      <c r="C23" s="3" t="s">
        <v>12</v>
      </c>
      <c r="D23" s="3" t="s">
        <v>12</v>
      </c>
      <c r="E23" s="3" t="s">
        <v>12</v>
      </c>
      <c r="I23" s="141" t="str">
        <f t="shared" si="0"/>
        <v>Jul</v>
      </c>
      <c r="J23" s="142">
        <v>121.5</v>
      </c>
      <c r="K23" s="142"/>
      <c r="L23" s="143"/>
      <c r="M23" s="160" t="str">
        <f t="shared" si="1"/>
        <v>Jul</v>
      </c>
      <c r="N23" s="171">
        <v>121.402</v>
      </c>
      <c r="O23" s="164"/>
      <c r="P23" s="163"/>
      <c r="Q23" s="213" t="str">
        <f t="shared" si="2"/>
        <v>Jul</v>
      </c>
      <c r="R23" s="224">
        <v>117.80500000000001</v>
      </c>
      <c r="S23" s="217"/>
      <c r="T23" s="216"/>
    </row>
    <row r="24" spans="1:20" x14ac:dyDescent="0.2">
      <c r="A24" s="1">
        <v>8</v>
      </c>
      <c r="B24" t="s">
        <v>166</v>
      </c>
      <c r="C24" s="26">
        <f>ROUND(C22/C10,3)</f>
        <v>0.98599999999999999</v>
      </c>
      <c r="D24" s="26">
        <f>ROUND(D22/D10,3)</f>
        <v>0.99099999999999999</v>
      </c>
      <c r="E24" s="26">
        <f>ROUND(E22/E10,3)</f>
        <v>0.99299999999999999</v>
      </c>
      <c r="I24" s="141" t="str">
        <f t="shared" si="0"/>
        <v>Aug</v>
      </c>
      <c r="J24" s="142">
        <v>118.1</v>
      </c>
      <c r="K24" s="142"/>
      <c r="L24" s="143"/>
      <c r="M24" s="160" t="str">
        <f t="shared" si="1"/>
        <v>Aug</v>
      </c>
      <c r="N24" s="171">
        <v>117.884</v>
      </c>
      <c r="O24" s="164"/>
      <c r="P24" s="163"/>
      <c r="Q24" s="213" t="str">
        <f t="shared" si="2"/>
        <v>Aug</v>
      </c>
      <c r="R24" s="224">
        <v>121.282</v>
      </c>
      <c r="S24" s="217"/>
      <c r="T24" s="216"/>
    </row>
    <row r="25" spans="1:20" x14ac:dyDescent="0.2">
      <c r="C25" s="3" t="s">
        <v>12</v>
      </c>
      <c r="D25" s="3" t="s">
        <v>12</v>
      </c>
      <c r="E25" s="3" t="s">
        <v>12</v>
      </c>
      <c r="I25" s="141" t="str">
        <f t="shared" si="0"/>
        <v>Sept</v>
      </c>
      <c r="J25" s="142">
        <v>107.3</v>
      </c>
      <c r="K25" s="142"/>
      <c r="L25" s="143"/>
      <c r="M25" s="160" t="str">
        <f t="shared" si="1"/>
        <v>Sept</v>
      </c>
      <c r="N25" s="171">
        <v>102.73699999999999</v>
      </c>
      <c r="O25" s="164"/>
      <c r="P25" s="163"/>
      <c r="Q25" s="213" t="str">
        <f t="shared" si="2"/>
        <v>Sept</v>
      </c>
      <c r="R25" s="224">
        <v>101.86499999999999</v>
      </c>
      <c r="S25" s="217"/>
      <c r="T25" s="216"/>
    </row>
    <row r="26" spans="1:20" x14ac:dyDescent="0.2">
      <c r="C26" s="3"/>
      <c r="D26" s="3"/>
      <c r="E26" s="3"/>
      <c r="I26" s="141" t="str">
        <f t="shared" si="0"/>
        <v>Oct</v>
      </c>
      <c r="J26" s="151">
        <v>117</v>
      </c>
      <c r="K26" s="142"/>
      <c r="L26" s="143"/>
      <c r="M26" s="160" t="str">
        <f t="shared" si="1"/>
        <v>Oct</v>
      </c>
      <c r="N26" s="171">
        <v>122.593</v>
      </c>
      <c r="O26" s="164"/>
      <c r="P26" s="163"/>
      <c r="Q26" s="213" t="str">
        <f t="shared" si="2"/>
        <v>Oct</v>
      </c>
      <c r="R26" s="224">
        <v>122.318</v>
      </c>
      <c r="S26" s="217"/>
      <c r="T26" s="216"/>
    </row>
    <row r="27" spans="1:20" x14ac:dyDescent="0.2">
      <c r="C27" s="3"/>
      <c r="D27" s="3"/>
      <c r="E27" s="3"/>
      <c r="I27" s="141" t="str">
        <f t="shared" si="0"/>
        <v>Nov</v>
      </c>
      <c r="J27" s="142">
        <v>103.3</v>
      </c>
      <c r="K27" s="142"/>
      <c r="L27" s="143"/>
      <c r="M27" s="160" t="str">
        <f t="shared" si="1"/>
        <v>Nov</v>
      </c>
      <c r="N27" s="171">
        <v>102.81</v>
      </c>
      <c r="O27" s="164"/>
      <c r="P27" s="163"/>
      <c r="Q27" s="213" t="str">
        <f t="shared" si="2"/>
        <v>Nov</v>
      </c>
      <c r="R27" s="224">
        <v>108.813</v>
      </c>
      <c r="S27" s="217"/>
      <c r="T27" s="216"/>
    </row>
    <row r="28" spans="1:20" x14ac:dyDescent="0.2">
      <c r="A28" s="1" t="s">
        <v>153</v>
      </c>
      <c r="C28" s="3" t="s">
        <v>154</v>
      </c>
      <c r="D28" s="3" t="s">
        <v>155</v>
      </c>
      <c r="E28" s="3" t="s">
        <v>156</v>
      </c>
      <c r="I28" s="141" t="str">
        <f t="shared" si="0"/>
        <v>Dec</v>
      </c>
      <c r="J28" s="142">
        <v>115.2</v>
      </c>
      <c r="K28" s="142">
        <f>SUM(J23:J28)</f>
        <v>682.4</v>
      </c>
      <c r="L28" s="144">
        <f>K28*1000000</f>
        <v>682400000</v>
      </c>
      <c r="M28" s="160" t="str">
        <f t="shared" si="1"/>
        <v>Dec</v>
      </c>
      <c r="N28" s="171">
        <v>109.78100000000001</v>
      </c>
      <c r="O28" s="164">
        <f>SUM(N23:N28)</f>
        <v>677.20700000000011</v>
      </c>
      <c r="P28" s="165">
        <f>O28*1000000</f>
        <v>677207000.00000012</v>
      </c>
      <c r="Q28" s="213" t="str">
        <f t="shared" si="2"/>
        <v>Dec</v>
      </c>
      <c r="R28" s="224">
        <v>108.224</v>
      </c>
      <c r="S28" s="217">
        <f>SUM(R23:R28)</f>
        <v>680.30700000000002</v>
      </c>
      <c r="T28" s="218">
        <f>S28*1000000</f>
        <v>680307000</v>
      </c>
    </row>
    <row r="29" spans="1:20" x14ac:dyDescent="0.2">
      <c r="A29" s="1" t="s">
        <v>157</v>
      </c>
      <c r="B29" s="47" t="s">
        <v>533</v>
      </c>
      <c r="C29" s="3" t="s">
        <v>159</v>
      </c>
      <c r="D29" s="3" t="s">
        <v>159</v>
      </c>
      <c r="E29" s="3" t="s">
        <v>159</v>
      </c>
      <c r="I29" s="141" t="str">
        <f t="shared" si="0"/>
        <v>Jan</v>
      </c>
      <c r="J29" s="142">
        <v>126.1</v>
      </c>
      <c r="K29" s="142"/>
      <c r="L29" s="143"/>
      <c r="M29" s="160" t="str">
        <f t="shared" si="1"/>
        <v>Jan</v>
      </c>
      <c r="N29" s="171">
        <v>123.998</v>
      </c>
      <c r="O29" s="164"/>
      <c r="P29" s="163"/>
      <c r="Q29" s="213" t="str">
        <f t="shared" si="2"/>
        <v>Jan</v>
      </c>
      <c r="R29" s="224">
        <v>120.804</v>
      </c>
      <c r="S29" s="217"/>
      <c r="T29" s="216"/>
    </row>
    <row r="30" spans="1:20" x14ac:dyDescent="0.2">
      <c r="C30" s="3"/>
      <c r="D30" s="3"/>
      <c r="E30" s="3"/>
      <c r="I30" s="141" t="str">
        <f t="shared" si="0"/>
        <v>Feb</v>
      </c>
      <c r="J30" s="142">
        <v>105.3</v>
      </c>
      <c r="K30" s="142"/>
      <c r="L30" s="143"/>
      <c r="M30" s="160" t="str">
        <f t="shared" si="1"/>
        <v>Feb</v>
      </c>
      <c r="N30" s="171">
        <v>107.749</v>
      </c>
      <c r="O30" s="164"/>
      <c r="P30" s="163"/>
      <c r="Q30" s="213" t="str">
        <f t="shared" si="2"/>
        <v>Feb</v>
      </c>
      <c r="R30" s="224">
        <v>105.65900000000001</v>
      </c>
      <c r="S30" s="217"/>
      <c r="T30" s="216"/>
    </row>
    <row r="31" spans="1:20" x14ac:dyDescent="0.2">
      <c r="A31" s="1">
        <v>9</v>
      </c>
      <c r="B31" t="s">
        <v>377</v>
      </c>
      <c r="C31" s="11">
        <f>T13</f>
        <v>1100925000</v>
      </c>
      <c r="D31" s="11">
        <f>T28</f>
        <v>680307000</v>
      </c>
      <c r="E31" s="11">
        <f>T43</f>
        <v>1403417000</v>
      </c>
      <c r="I31" s="141" t="str">
        <f t="shared" si="0"/>
        <v>Mar</v>
      </c>
      <c r="J31" s="142">
        <v>112.3</v>
      </c>
      <c r="K31" s="142"/>
      <c r="L31" s="143"/>
      <c r="M31" s="160" t="str">
        <f t="shared" si="1"/>
        <v>Mar</v>
      </c>
      <c r="N31" s="171">
        <v>114.294</v>
      </c>
      <c r="O31" s="164"/>
      <c r="P31" s="163"/>
      <c r="Q31" s="213" t="str">
        <f t="shared" si="2"/>
        <v>Mar</v>
      </c>
      <c r="R31" s="224">
        <v>101.76600000000001</v>
      </c>
      <c r="S31" s="217"/>
      <c r="T31" s="216"/>
    </row>
    <row r="32" spans="1:20" x14ac:dyDescent="0.2">
      <c r="C32" s="3"/>
      <c r="D32" s="3"/>
      <c r="E32" s="3"/>
      <c r="I32" s="141" t="str">
        <f t="shared" si="0"/>
        <v>Apr</v>
      </c>
      <c r="J32" s="151">
        <v>98.8</v>
      </c>
      <c r="K32" s="142"/>
      <c r="L32" s="143"/>
      <c r="M32" s="160" t="str">
        <f t="shared" si="1"/>
        <v>Apr</v>
      </c>
      <c r="N32" s="171">
        <v>101.532</v>
      </c>
      <c r="O32" s="164"/>
      <c r="P32" s="163"/>
      <c r="Q32" s="213" t="str">
        <f t="shared" si="2"/>
        <v>Apr</v>
      </c>
      <c r="R32" s="224">
        <v>87.519000000000005</v>
      </c>
      <c r="S32" s="217"/>
      <c r="T32" s="216"/>
    </row>
    <row r="33" spans="1:20" x14ac:dyDescent="0.2">
      <c r="A33" s="1">
        <v>10</v>
      </c>
      <c r="B33" t="s">
        <v>167</v>
      </c>
      <c r="C33" s="26">
        <f>+C24</f>
        <v>0.98599999999999999</v>
      </c>
      <c r="D33" s="26">
        <f>+D24</f>
        <v>0.99099999999999999</v>
      </c>
      <c r="E33" s="26">
        <f>+E24</f>
        <v>0.99299999999999999</v>
      </c>
      <c r="I33" s="141" t="str">
        <f t="shared" si="0"/>
        <v>May</v>
      </c>
      <c r="J33" s="142">
        <v>109.2</v>
      </c>
      <c r="K33" s="142"/>
      <c r="L33" s="143"/>
      <c r="M33" s="160" t="str">
        <f t="shared" si="1"/>
        <v>May</v>
      </c>
      <c r="N33" s="171">
        <v>108.148</v>
      </c>
      <c r="O33" s="164"/>
      <c r="P33" s="163"/>
      <c r="Q33" s="213" t="str">
        <f t="shared" si="2"/>
        <v>May</v>
      </c>
      <c r="R33" s="224">
        <v>114.10899999999999</v>
      </c>
      <c r="S33" s="217"/>
      <c r="T33" s="216"/>
    </row>
    <row r="34" spans="1:20" x14ac:dyDescent="0.2">
      <c r="C34" s="3" t="s">
        <v>161</v>
      </c>
      <c r="D34" s="3" t="s">
        <v>161</v>
      </c>
      <c r="E34" s="3" t="s">
        <v>161</v>
      </c>
      <c r="I34" s="141" t="str">
        <f t="shared" si="0"/>
        <v>Jun</v>
      </c>
      <c r="J34" s="142">
        <v>114.2</v>
      </c>
      <c r="K34" s="142">
        <f>SUM(J29:J34)</f>
        <v>665.90000000000009</v>
      </c>
      <c r="L34" s="144">
        <f>K34*1000000</f>
        <v>665900000.00000012</v>
      </c>
      <c r="M34" s="160" t="str">
        <f t="shared" si="1"/>
        <v>Jun</v>
      </c>
      <c r="N34" s="171">
        <v>110.80200000000001</v>
      </c>
      <c r="O34" s="164">
        <f>SUM(N29:N34)</f>
        <v>666.52300000000002</v>
      </c>
      <c r="P34" s="165">
        <f>O34*1000000</f>
        <v>666523000</v>
      </c>
      <c r="Q34" s="213" t="str">
        <f t="shared" si="2"/>
        <v>Jun</v>
      </c>
      <c r="R34" s="224">
        <v>113.812</v>
      </c>
      <c r="S34" s="217">
        <f>SUM(R29:R34)</f>
        <v>643.6690000000001</v>
      </c>
      <c r="T34" s="218">
        <f>S34*1000000</f>
        <v>643669000.00000012</v>
      </c>
    </row>
    <row r="35" spans="1:20" x14ac:dyDescent="0.2">
      <c r="A35" s="1">
        <v>11</v>
      </c>
      <c r="B35" t="s">
        <v>165</v>
      </c>
      <c r="C35" s="11">
        <f>ROUND(C31*C33,0)</f>
        <v>1085512050</v>
      </c>
      <c r="D35" s="11">
        <f>ROUND(D31*D33,0)</f>
        <v>674184237</v>
      </c>
      <c r="E35" s="11">
        <f>ROUND(E31*E33,0)</f>
        <v>1393593081</v>
      </c>
      <c r="I35" s="141" t="s">
        <v>138</v>
      </c>
      <c r="J35" s="145">
        <f>SUM(J23:J34)</f>
        <v>1348.3</v>
      </c>
      <c r="K35" s="146">
        <f>SUM(K34,K28)</f>
        <v>1348.3000000000002</v>
      </c>
      <c r="L35" s="144">
        <f>K35*1000000</f>
        <v>1348300000.0000002</v>
      </c>
      <c r="M35" s="160" t="s">
        <v>138</v>
      </c>
      <c r="N35" s="172"/>
      <c r="O35" s="167">
        <f>SUM(O34,O28)</f>
        <v>1343.73</v>
      </c>
      <c r="P35" s="165">
        <f>O35*1000000</f>
        <v>1343730000</v>
      </c>
      <c r="Q35" s="213" t="s">
        <v>138</v>
      </c>
      <c r="R35" s="225"/>
      <c r="S35" s="220">
        <f>SUM(S34,S28)</f>
        <v>1323.9760000000001</v>
      </c>
      <c r="T35" s="218">
        <f>S35*1000000</f>
        <v>1323976000</v>
      </c>
    </row>
    <row r="36" spans="1:20" x14ac:dyDescent="0.2">
      <c r="C36" s="3" t="s">
        <v>12</v>
      </c>
      <c r="D36" s="3" t="s">
        <v>12</v>
      </c>
      <c r="E36" s="3" t="s">
        <v>12</v>
      </c>
      <c r="I36" s="147"/>
      <c r="J36" s="148"/>
      <c r="K36" s="148"/>
      <c r="L36" s="143"/>
      <c r="M36" s="166"/>
      <c r="N36" s="168"/>
      <c r="O36" s="168"/>
      <c r="P36" s="163"/>
      <c r="Q36" s="219"/>
      <c r="R36" s="221"/>
      <c r="S36" s="221"/>
      <c r="T36" s="216"/>
    </row>
    <row r="37" spans="1:20" x14ac:dyDescent="0.2">
      <c r="C37" s="3"/>
      <c r="D37" s="3"/>
      <c r="E37" s="3"/>
      <c r="I37" s="149" t="str">
        <f>I22</f>
        <v>2013 / 2014</v>
      </c>
      <c r="J37" s="150" t="s">
        <v>478</v>
      </c>
      <c r="K37" s="148"/>
      <c r="L37" s="143"/>
      <c r="M37" s="169" t="str">
        <f>M22</f>
        <v>2014/2015</v>
      </c>
      <c r="N37" s="170" t="s">
        <v>478</v>
      </c>
      <c r="O37" s="168"/>
      <c r="P37" s="163"/>
      <c r="Q37" s="222" t="str">
        <f>Q22</f>
        <v>2015/2016</v>
      </c>
      <c r="R37" s="223" t="s">
        <v>478</v>
      </c>
      <c r="S37" s="221"/>
      <c r="T37" s="216"/>
    </row>
    <row r="38" spans="1:20" x14ac:dyDescent="0.2">
      <c r="C38" s="3"/>
      <c r="D38" s="3"/>
      <c r="E38" s="3"/>
      <c r="I38" s="141" t="str">
        <f>I23</f>
        <v>Jul</v>
      </c>
      <c r="J38" s="142">
        <v>228.8</v>
      </c>
      <c r="K38" s="142"/>
      <c r="L38" s="143"/>
      <c r="M38" s="160" t="str">
        <f>M23</f>
        <v>Jul</v>
      </c>
      <c r="N38" s="171">
        <v>231.08699999999999</v>
      </c>
      <c r="O38" s="164"/>
      <c r="P38" s="163"/>
      <c r="Q38" s="213" t="str">
        <f>Q23</f>
        <v>Jul</v>
      </c>
      <c r="R38" s="224">
        <v>224.64699999999999</v>
      </c>
      <c r="S38" s="217"/>
      <c r="T38" s="216"/>
    </row>
    <row r="39" spans="1:20" x14ac:dyDescent="0.2">
      <c r="A39" s="1" t="s">
        <v>153</v>
      </c>
      <c r="C39" s="3" t="s">
        <v>154</v>
      </c>
      <c r="D39" s="3" t="s">
        <v>155</v>
      </c>
      <c r="E39" s="3" t="s">
        <v>156</v>
      </c>
      <c r="I39" s="141" t="str">
        <f t="shared" ref="I39:I49" si="3">I24</f>
        <v>Aug</v>
      </c>
      <c r="J39" s="142">
        <v>238.8</v>
      </c>
      <c r="K39" s="142"/>
      <c r="L39" s="143"/>
      <c r="M39" s="160" t="str">
        <f t="shared" ref="M39:M49" si="4">M24</f>
        <v>Aug</v>
      </c>
      <c r="N39" s="171">
        <v>237.33799999999999</v>
      </c>
      <c r="O39" s="164"/>
      <c r="P39" s="163"/>
      <c r="Q39" s="213" t="str">
        <f t="shared" ref="Q39:Q49" si="5">Q24</f>
        <v>Aug</v>
      </c>
      <c r="R39" s="224">
        <v>235.91300000000001</v>
      </c>
      <c r="S39" s="217"/>
      <c r="T39" s="216"/>
    </row>
    <row r="40" spans="1:20" x14ac:dyDescent="0.2">
      <c r="A40" s="1" t="s">
        <v>157</v>
      </c>
      <c r="B40" s="47" t="s">
        <v>534</v>
      </c>
      <c r="C40" s="3" t="s">
        <v>159</v>
      </c>
      <c r="D40" s="97" t="s">
        <v>159</v>
      </c>
      <c r="E40" s="97" t="s">
        <v>159</v>
      </c>
      <c r="I40" s="141" t="str">
        <f t="shared" si="3"/>
        <v>Sept</v>
      </c>
      <c r="J40" s="142">
        <v>216.2</v>
      </c>
      <c r="K40" s="142"/>
      <c r="L40" s="143"/>
      <c r="M40" s="160" t="str">
        <f t="shared" si="4"/>
        <v>Sept</v>
      </c>
      <c r="N40" s="171">
        <v>216.714</v>
      </c>
      <c r="O40" s="164"/>
      <c r="P40" s="163"/>
      <c r="Q40" s="213" t="str">
        <f t="shared" si="5"/>
        <v>Sept</v>
      </c>
      <c r="R40" s="224">
        <v>211.517</v>
      </c>
      <c r="S40" s="217"/>
      <c r="T40" s="216"/>
    </row>
    <row r="41" spans="1:20" x14ac:dyDescent="0.2">
      <c r="C41" s="3"/>
      <c r="D41" s="3"/>
      <c r="E41" s="3"/>
      <c r="I41" s="141" t="str">
        <f t="shared" si="3"/>
        <v>Oct</v>
      </c>
      <c r="J41" s="142">
        <v>257</v>
      </c>
      <c r="K41" s="142"/>
      <c r="L41" s="143"/>
      <c r="M41" s="160" t="str">
        <f t="shared" si="4"/>
        <v>Oct</v>
      </c>
      <c r="N41" s="171">
        <v>258.15699999999998</v>
      </c>
      <c r="O41" s="164"/>
      <c r="P41" s="163"/>
      <c r="Q41" s="213" t="str">
        <f t="shared" si="5"/>
        <v>Oct</v>
      </c>
      <c r="R41" s="224">
        <v>250.434</v>
      </c>
      <c r="S41" s="217"/>
      <c r="T41" s="216"/>
    </row>
    <row r="42" spans="1:20" x14ac:dyDescent="0.2">
      <c r="A42" s="1">
        <v>12</v>
      </c>
      <c r="B42" t="s">
        <v>377</v>
      </c>
      <c r="C42" s="11">
        <f>T19</f>
        <v>1150080000.0000002</v>
      </c>
      <c r="D42" s="11">
        <f>T34</f>
        <v>643669000.00000012</v>
      </c>
      <c r="E42" s="11">
        <f>T49</f>
        <v>1355492000</v>
      </c>
      <c r="I42" s="141" t="str">
        <f t="shared" si="3"/>
        <v>Nov</v>
      </c>
      <c r="J42" s="142">
        <v>248.7</v>
      </c>
      <c r="K42" s="142"/>
      <c r="L42" s="143"/>
      <c r="M42" s="160" t="str">
        <f t="shared" si="4"/>
        <v>Nov</v>
      </c>
      <c r="N42" s="171">
        <v>248.64400000000001</v>
      </c>
      <c r="O42" s="164"/>
      <c r="P42" s="163"/>
      <c r="Q42" s="213" t="str">
        <f t="shared" si="5"/>
        <v>Nov</v>
      </c>
      <c r="R42" s="224">
        <v>248.43299999999999</v>
      </c>
      <c r="S42" s="217"/>
      <c r="T42" s="216"/>
    </row>
    <row r="43" spans="1:20" x14ac:dyDescent="0.2">
      <c r="C43" s="3"/>
      <c r="D43" s="3"/>
      <c r="E43" s="3"/>
      <c r="I43" s="141" t="str">
        <f t="shared" si="3"/>
        <v>Dec</v>
      </c>
      <c r="J43" s="142">
        <v>243.2</v>
      </c>
      <c r="K43" s="142">
        <f>SUM(J38:J43)</f>
        <v>1432.7</v>
      </c>
      <c r="L43" s="144">
        <f>K43*1000000</f>
        <v>1432700000</v>
      </c>
      <c r="M43" s="160" t="str">
        <f t="shared" si="4"/>
        <v>Dec</v>
      </c>
      <c r="N43" s="171">
        <v>236.61500000000001</v>
      </c>
      <c r="O43" s="164">
        <f>SUM(N38:N43)</f>
        <v>1428.5549999999998</v>
      </c>
      <c r="P43" s="165">
        <f>O43*1000000</f>
        <v>1428554999.9999998</v>
      </c>
      <c r="Q43" s="213" t="str">
        <f t="shared" si="5"/>
        <v>Dec</v>
      </c>
      <c r="R43" s="224">
        <v>232.47300000000001</v>
      </c>
      <c r="S43" s="217">
        <f>SUM(R38:R43)</f>
        <v>1403.4169999999999</v>
      </c>
      <c r="T43" s="218">
        <f>S43*1000000</f>
        <v>1403417000</v>
      </c>
    </row>
    <row r="44" spans="1:20" x14ac:dyDescent="0.2">
      <c r="A44" s="1">
        <v>13</v>
      </c>
      <c r="B44" t="s">
        <v>167</v>
      </c>
      <c r="C44" s="26">
        <f>+C24</f>
        <v>0.98599999999999999</v>
      </c>
      <c r="D44" s="26">
        <f>+D24</f>
        <v>0.99099999999999999</v>
      </c>
      <c r="E44" s="26">
        <f>+E24</f>
        <v>0.99299999999999999</v>
      </c>
      <c r="I44" s="141" t="str">
        <f t="shared" si="3"/>
        <v>Jan</v>
      </c>
      <c r="J44" s="142">
        <v>234.9</v>
      </c>
      <c r="K44" s="142"/>
      <c r="L44" s="143"/>
      <c r="M44" s="160" t="str">
        <f t="shared" si="4"/>
        <v>Jan</v>
      </c>
      <c r="N44" s="171">
        <v>234.56200000000001</v>
      </c>
      <c r="O44" s="164"/>
      <c r="P44" s="163"/>
      <c r="Q44" s="213" t="str">
        <f t="shared" si="5"/>
        <v>Jan</v>
      </c>
      <c r="R44" s="224">
        <v>223.65100000000001</v>
      </c>
      <c r="S44" s="217"/>
      <c r="T44" s="216"/>
    </row>
    <row r="45" spans="1:20" x14ac:dyDescent="0.2">
      <c r="C45" s="3" t="s">
        <v>161</v>
      </c>
      <c r="D45" s="3" t="s">
        <v>161</v>
      </c>
      <c r="E45" s="3" t="s">
        <v>161</v>
      </c>
      <c r="I45" s="141" t="str">
        <f t="shared" si="3"/>
        <v>Feb</v>
      </c>
      <c r="J45" s="142">
        <v>219.9</v>
      </c>
      <c r="K45" s="142"/>
      <c r="L45" s="143"/>
      <c r="M45" s="160" t="str">
        <f t="shared" si="4"/>
        <v>Feb</v>
      </c>
      <c r="N45" s="171">
        <v>222.37100000000001</v>
      </c>
      <c r="O45" s="164"/>
      <c r="P45" s="163"/>
      <c r="Q45" s="213" t="str">
        <f t="shared" si="5"/>
        <v>Feb</v>
      </c>
      <c r="R45" s="224">
        <v>209.429</v>
      </c>
      <c r="S45" s="217"/>
      <c r="T45" s="216"/>
    </row>
    <row r="46" spans="1:20" x14ac:dyDescent="0.2">
      <c r="A46" s="1">
        <v>14</v>
      </c>
      <c r="B46" t="s">
        <v>165</v>
      </c>
      <c r="C46" s="11">
        <f>ROUND(C42*C44,0)</f>
        <v>1133978880</v>
      </c>
      <c r="D46" s="11">
        <f>ROUND(D42*D44,0)</f>
        <v>637875979</v>
      </c>
      <c r="E46" s="11">
        <f>ROUND(E42*E44,0)</f>
        <v>1346003556</v>
      </c>
      <c r="I46" s="141" t="str">
        <f t="shared" si="3"/>
        <v>Mar</v>
      </c>
      <c r="J46" s="142">
        <v>242.8</v>
      </c>
      <c r="K46" s="142"/>
      <c r="L46" s="143"/>
      <c r="M46" s="160" t="str">
        <f t="shared" si="4"/>
        <v>Mar</v>
      </c>
      <c r="N46" s="171">
        <v>244.07400000000001</v>
      </c>
      <c r="O46" s="164"/>
      <c r="P46" s="163"/>
      <c r="Q46" s="213" t="str">
        <f t="shared" si="5"/>
        <v>Mar</v>
      </c>
      <c r="R46" s="224">
        <v>226.904</v>
      </c>
      <c r="S46" s="217"/>
      <c r="T46" s="216"/>
    </row>
    <row r="47" spans="1:20" x14ac:dyDescent="0.2">
      <c r="C47" s="3" t="s">
        <v>12</v>
      </c>
      <c r="D47" s="3" t="s">
        <v>12</v>
      </c>
      <c r="E47" s="3" t="s">
        <v>12</v>
      </c>
      <c r="I47" s="141" t="str">
        <f t="shared" si="3"/>
        <v>Apr</v>
      </c>
      <c r="J47" s="142">
        <v>233.9</v>
      </c>
      <c r="K47" s="142"/>
      <c r="L47" s="143"/>
      <c r="M47" s="160" t="str">
        <f t="shared" si="4"/>
        <v>Apr</v>
      </c>
      <c r="N47" s="171">
        <v>238.32</v>
      </c>
      <c r="O47" s="164"/>
      <c r="P47" s="163"/>
      <c r="Q47" s="213" t="str">
        <f t="shared" si="5"/>
        <v>Apr</v>
      </c>
      <c r="R47" s="224">
        <v>219.99700000000001</v>
      </c>
      <c r="S47" s="217"/>
      <c r="T47" s="216"/>
    </row>
    <row r="48" spans="1:20" x14ac:dyDescent="0.2">
      <c r="I48" s="141" t="str">
        <f t="shared" si="3"/>
        <v>May</v>
      </c>
      <c r="J48" s="142">
        <v>247.9</v>
      </c>
      <c r="K48" s="142"/>
      <c r="L48" s="143"/>
      <c r="M48" s="160" t="str">
        <f t="shared" si="4"/>
        <v>May</v>
      </c>
      <c r="N48" s="171">
        <v>249.554</v>
      </c>
      <c r="O48" s="164"/>
      <c r="P48" s="163"/>
      <c r="Q48" s="213" t="str">
        <f t="shared" si="5"/>
        <v>May</v>
      </c>
      <c r="R48" s="224">
        <v>246.75</v>
      </c>
      <c r="S48" s="217"/>
      <c r="T48" s="216"/>
    </row>
    <row r="49" spans="1:20" x14ac:dyDescent="0.2">
      <c r="A49" s="1" t="s">
        <v>168</v>
      </c>
      <c r="B49" s="108" t="s">
        <v>535</v>
      </c>
      <c r="I49" s="141" t="str">
        <f t="shared" si="3"/>
        <v>Jun</v>
      </c>
      <c r="J49" s="142">
        <v>232.6</v>
      </c>
      <c r="K49" s="142">
        <f>SUM(J44:J49)</f>
        <v>1412</v>
      </c>
      <c r="L49" s="144">
        <f>K49*1000000</f>
        <v>1412000000</v>
      </c>
      <c r="M49" s="160" t="str">
        <f t="shared" si="4"/>
        <v>Jun</v>
      </c>
      <c r="N49" s="171">
        <v>232.643</v>
      </c>
      <c r="O49" s="164">
        <f>SUM(N44:N49)</f>
        <v>1421.5240000000001</v>
      </c>
      <c r="P49" s="165">
        <f>O49*1000000</f>
        <v>1421524000</v>
      </c>
      <c r="Q49" s="213" t="str">
        <f t="shared" si="5"/>
        <v>Jun</v>
      </c>
      <c r="R49" s="224">
        <v>228.761</v>
      </c>
      <c r="S49" s="217">
        <f>SUM(R44:R49)</f>
        <v>1355.492</v>
      </c>
      <c r="T49" s="218">
        <f>S49*1000000</f>
        <v>1355492000</v>
      </c>
    </row>
    <row r="50" spans="1:20" ht="13.5" thickBot="1" x14ac:dyDescent="0.25">
      <c r="B50" t="s">
        <v>169</v>
      </c>
      <c r="I50" s="152" t="s">
        <v>138</v>
      </c>
      <c r="J50" s="153">
        <f>SUM(J38:J49)</f>
        <v>2844.7000000000003</v>
      </c>
      <c r="K50" s="154">
        <f>SUM(K49,K43)</f>
        <v>2844.7</v>
      </c>
      <c r="L50" s="155">
        <f>K50*1000000</f>
        <v>2844700000</v>
      </c>
      <c r="M50" s="173" t="s">
        <v>138</v>
      </c>
      <c r="N50" s="174"/>
      <c r="O50" s="175">
        <f>SUM(O49,O43)</f>
        <v>2850.0789999999997</v>
      </c>
      <c r="P50" s="176">
        <f>O50*1000000</f>
        <v>2850078999.9999995</v>
      </c>
      <c r="Q50" s="226" t="s">
        <v>138</v>
      </c>
      <c r="R50" s="227"/>
      <c r="S50" s="228">
        <f>SUM(S49,S43)</f>
        <v>2758.9089999999997</v>
      </c>
      <c r="T50" s="229">
        <f>S50*1000000</f>
        <v>2758908999.9999995</v>
      </c>
    </row>
    <row r="52" spans="1:20" x14ac:dyDescent="0.2">
      <c r="A52" s="1" t="s">
        <v>170</v>
      </c>
      <c r="B52" s="47" t="s">
        <v>542</v>
      </c>
    </row>
    <row r="53" spans="1:20" x14ac:dyDescent="0.2">
      <c r="B53" t="s">
        <v>171</v>
      </c>
    </row>
    <row r="54" spans="1:20" x14ac:dyDescent="0.2">
      <c r="B54" s="108" t="s">
        <v>536</v>
      </c>
    </row>
    <row r="55" spans="1:20" x14ac:dyDescent="0.2">
      <c r="C55" s="42"/>
      <c r="D55" s="42"/>
      <c r="E55" s="42"/>
    </row>
    <row r="56" spans="1:20" x14ac:dyDescent="0.2">
      <c r="A56" s="1" t="s">
        <v>358</v>
      </c>
      <c r="B56" s="1" t="s">
        <v>375</v>
      </c>
    </row>
    <row r="57" spans="1:20" x14ac:dyDescent="0.2">
      <c r="B57" s="108" t="s">
        <v>577</v>
      </c>
      <c r="C57" s="44">
        <f>Y20b!I58</f>
        <v>9212390</v>
      </c>
      <c r="D57" s="203">
        <f>Y20b!I95</f>
        <v>2224204</v>
      </c>
      <c r="E57" s="82">
        <f>Y16a!J86</f>
        <v>0</v>
      </c>
    </row>
    <row r="58" spans="1:20" x14ac:dyDescent="0.2">
      <c r="B58" s="108" t="s">
        <v>578</v>
      </c>
      <c r="C58" s="204">
        <f>Y21a!I52</f>
        <v>8500490</v>
      </c>
      <c r="D58" s="205">
        <f>Y21a!I91</f>
        <v>1064207</v>
      </c>
      <c r="E58" s="82">
        <v>0</v>
      </c>
    </row>
    <row r="59" spans="1:20" ht="13.5" thickBot="1" x14ac:dyDescent="0.25">
      <c r="B59" s="1" t="s">
        <v>4</v>
      </c>
      <c r="C59" s="206">
        <f>SUM(C57:C58)</f>
        <v>17712880</v>
      </c>
      <c r="D59" s="207">
        <f>SUM(D57:D58)</f>
        <v>3288411</v>
      </c>
      <c r="E59" s="83">
        <f>SUM(E57:E58)</f>
        <v>0</v>
      </c>
    </row>
    <row r="60" spans="1:20" ht="13.5" thickTop="1" x14ac:dyDescent="0.2"/>
  </sheetData>
  <mergeCells count="1">
    <mergeCell ref="Q6:T6"/>
  </mergeCells>
  <phoneticPr fontId="0" type="noConversion"/>
  <printOptions horizontalCentered="1" verticalCentered="1" gridLines="1"/>
  <pageMargins left="0.5" right="0" top="0" bottom="0" header="0" footer="0"/>
  <pageSetup scale="9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92"/>
  <sheetViews>
    <sheetView tabSelected="1" zoomScale="90" zoomScaleNormal="90" workbookViewId="0">
      <pane xSplit="2" ySplit="3" topLeftCell="C4" activePane="bottomRight" state="frozen"/>
      <selection activeCell="D53" sqref="D53"/>
      <selection pane="topRight" activeCell="D53" sqref="D53"/>
      <selection pane="bottomLeft" activeCell="D53" sqref="D53"/>
      <selection pane="bottomRight" activeCell="E98" sqref="E98"/>
    </sheetView>
  </sheetViews>
  <sheetFormatPr defaultRowHeight="12.75" x14ac:dyDescent="0.2"/>
  <cols>
    <col min="1" max="1" width="4.85546875" bestFit="1" customWidth="1"/>
    <col min="2" max="2" width="51.7109375" customWidth="1"/>
    <col min="3" max="3" width="15.7109375" style="42" customWidth="1"/>
    <col min="4" max="4" width="14.28515625" style="42" customWidth="1"/>
    <col min="5" max="6" width="14.28515625" style="42" bestFit="1" customWidth="1"/>
    <col min="7" max="8" width="14.28515625" style="42" customWidth="1"/>
    <col min="9" max="9" width="14.28515625" bestFit="1" customWidth="1"/>
    <col min="10" max="10" width="3" bestFit="1" customWidth="1"/>
    <col min="12" max="12" width="12.5703125" customWidth="1"/>
    <col min="13" max="13" width="14.85546875" customWidth="1"/>
    <col min="14" max="14" width="13.85546875" bestFit="1" customWidth="1"/>
    <col min="15" max="15" width="13.7109375" customWidth="1"/>
    <col min="18" max="18" width="12.7109375" bestFit="1" customWidth="1"/>
    <col min="20" max="20" width="11.140625" bestFit="1" customWidth="1"/>
    <col min="21" max="21" width="16.140625" bestFit="1" customWidth="1"/>
  </cols>
  <sheetData>
    <row r="1" spans="1:18" ht="13.7" customHeight="1" x14ac:dyDescent="0.2">
      <c r="A1" t="s">
        <v>138</v>
      </c>
      <c r="B1" t="s">
        <v>0</v>
      </c>
      <c r="C1" s="188" t="s">
        <v>140</v>
      </c>
      <c r="D1" s="188"/>
      <c r="E1" s="188"/>
      <c r="F1" s="188"/>
      <c r="G1" s="188"/>
      <c r="H1" s="188"/>
      <c r="I1" s="1"/>
    </row>
    <row r="2" spans="1:18" ht="25.5" x14ac:dyDescent="0.2">
      <c r="B2" s="35" t="s">
        <v>2</v>
      </c>
      <c r="G2" s="97" t="s">
        <v>25</v>
      </c>
      <c r="H2" s="189">
        <f>'Y1'!M7</f>
        <v>24</v>
      </c>
    </row>
    <row r="3" spans="1:18" x14ac:dyDescent="0.2">
      <c r="C3" s="190"/>
      <c r="D3" s="190"/>
    </row>
    <row r="4" spans="1:18" ht="27.95" customHeight="1" x14ac:dyDescent="0.2">
      <c r="B4" t="s">
        <v>3</v>
      </c>
      <c r="C4" s="232" t="s">
        <v>488</v>
      </c>
      <c r="D4" s="191" t="s">
        <v>462</v>
      </c>
      <c r="E4" s="116" t="s">
        <v>504</v>
      </c>
      <c r="F4" s="116" t="s">
        <v>504</v>
      </c>
      <c r="G4" s="116" t="s">
        <v>547</v>
      </c>
      <c r="H4" s="188" t="s">
        <v>4</v>
      </c>
      <c r="I4" s="1"/>
      <c r="K4" s="276" t="s">
        <v>519</v>
      </c>
      <c r="L4" s="276"/>
      <c r="M4" s="276"/>
      <c r="N4" s="276"/>
      <c r="O4" s="276"/>
    </row>
    <row r="5" spans="1:18" ht="25.5" x14ac:dyDescent="0.2">
      <c r="C5" s="192" t="s">
        <v>546</v>
      </c>
      <c r="D5" s="192" t="s">
        <v>501</v>
      </c>
      <c r="E5" s="94" t="s">
        <v>443</v>
      </c>
      <c r="F5" s="116" t="s">
        <v>501</v>
      </c>
      <c r="G5" s="116" t="s">
        <v>502</v>
      </c>
      <c r="H5" s="94"/>
      <c r="I5" s="1"/>
      <c r="K5" s="128" t="s">
        <v>138</v>
      </c>
      <c r="L5" s="129">
        <v>2012</v>
      </c>
      <c r="M5" s="129">
        <v>2013</v>
      </c>
      <c r="N5" s="129">
        <v>2014</v>
      </c>
      <c r="O5" s="129">
        <v>2015</v>
      </c>
    </row>
    <row r="6" spans="1:18" x14ac:dyDescent="0.2">
      <c r="C6" s="126" t="s">
        <v>5</v>
      </c>
      <c r="D6" s="126">
        <v>-2</v>
      </c>
      <c r="E6" s="126">
        <f>+D6-1</f>
        <v>-3</v>
      </c>
      <c r="F6" s="126">
        <f t="shared" ref="F6:H6" si="0">+E6-1</f>
        <v>-4</v>
      </c>
      <c r="G6" s="126">
        <f t="shared" si="0"/>
        <v>-5</v>
      </c>
      <c r="H6" s="126">
        <f t="shared" si="0"/>
        <v>-6</v>
      </c>
      <c r="I6" s="7"/>
      <c r="K6" s="130" t="s">
        <v>465</v>
      </c>
      <c r="L6" s="131">
        <v>209985.21</v>
      </c>
      <c r="M6" s="131">
        <v>229532.2</v>
      </c>
      <c r="N6" s="132">
        <v>688569.13</v>
      </c>
      <c r="O6" s="132">
        <v>406919.59</v>
      </c>
    </row>
    <row r="7" spans="1:18" x14ac:dyDescent="0.2">
      <c r="K7" s="130" t="s">
        <v>466</v>
      </c>
      <c r="L7" s="131">
        <v>195056.12</v>
      </c>
      <c r="M7" s="131">
        <v>218140.94</v>
      </c>
      <c r="N7" s="132">
        <v>691871.93</v>
      </c>
      <c r="O7" s="132">
        <v>415939.12</v>
      </c>
    </row>
    <row r="8" spans="1:18" x14ac:dyDescent="0.2">
      <c r="A8" s="109"/>
      <c r="B8" s="108"/>
      <c r="C8" s="56"/>
      <c r="D8" s="56"/>
      <c r="E8" s="56"/>
      <c r="F8" s="56"/>
      <c r="G8" s="56"/>
      <c r="H8" s="193"/>
      <c r="I8" s="21"/>
      <c r="K8" s="130" t="s">
        <v>467</v>
      </c>
      <c r="L8" s="131">
        <v>167114.32999999999</v>
      </c>
      <c r="M8" s="131">
        <v>203374.26</v>
      </c>
      <c r="N8" s="132">
        <v>544389.69999999995</v>
      </c>
      <c r="O8" s="132">
        <v>235024.96</v>
      </c>
    </row>
    <row r="9" spans="1:18" x14ac:dyDescent="0.2">
      <c r="A9">
        <v>1</v>
      </c>
      <c r="B9" t="s">
        <v>175</v>
      </c>
      <c r="C9" s="56">
        <f>16909146+1418412+1427646+1366552+1408558+1541081-9543</f>
        <v>24061852</v>
      </c>
      <c r="D9" s="193">
        <f>+Y19b!O52</f>
        <v>2117566.9900000002</v>
      </c>
      <c r="E9" s="193">
        <f>+Y20a!O58</f>
        <v>2138684.1499999994</v>
      </c>
      <c r="F9" s="193">
        <f>Y20b!O58</f>
        <v>2774472.7</v>
      </c>
      <c r="G9" s="193">
        <f>Y21a!O52</f>
        <v>2918598.51</v>
      </c>
      <c r="H9" s="193">
        <f>+C9+E9+D9+G9+F9</f>
        <v>34011174.350000001</v>
      </c>
      <c r="I9" s="21"/>
      <c r="K9" s="130" t="s">
        <v>468</v>
      </c>
      <c r="L9" s="131">
        <v>115176.64</v>
      </c>
      <c r="M9" s="131">
        <v>169674.59</v>
      </c>
      <c r="N9" s="132">
        <v>374482.24</v>
      </c>
      <c r="O9" s="132">
        <v>60373.07</v>
      </c>
    </row>
    <row r="10" spans="1:18" x14ac:dyDescent="0.2">
      <c r="A10">
        <f>+A9+1</f>
        <v>2</v>
      </c>
      <c r="B10" s="108" t="s">
        <v>19</v>
      </c>
      <c r="C10" s="44">
        <v>0</v>
      </c>
      <c r="D10" s="44">
        <f>C19</f>
        <v>-682257</v>
      </c>
      <c r="E10" s="44">
        <f>D19</f>
        <v>-61165.239999999758</v>
      </c>
      <c r="F10" s="193">
        <f>E19</f>
        <v>854916.27999999956</v>
      </c>
      <c r="G10" s="44">
        <f>F19</f>
        <v>3213637.9799999995</v>
      </c>
      <c r="H10" s="193">
        <v>0</v>
      </c>
      <c r="I10" s="4"/>
      <c r="K10" s="130" t="s">
        <v>469</v>
      </c>
      <c r="L10" s="131">
        <v>114504.64</v>
      </c>
      <c r="M10" s="131">
        <v>105687.74</v>
      </c>
      <c r="N10" s="132">
        <v>278175.09000000003</v>
      </c>
      <c r="O10" s="132">
        <v>47506.62</v>
      </c>
    </row>
    <row r="11" spans="1:18" x14ac:dyDescent="0.2">
      <c r="A11">
        <f>+A10+1</f>
        <v>3</v>
      </c>
      <c r="B11" t="s">
        <v>7</v>
      </c>
      <c r="C11" s="44">
        <v>-41824</v>
      </c>
      <c r="D11" s="44">
        <v>0</v>
      </c>
      <c r="E11" s="44">
        <v>0</v>
      </c>
      <c r="F11" s="44">
        <v>0</v>
      </c>
      <c r="G11" s="44">
        <v>0</v>
      </c>
      <c r="H11" s="193">
        <f>+C11+E11+D11+G11+F11</f>
        <v>-41824</v>
      </c>
      <c r="I11" s="21"/>
      <c r="K11" s="130" t="s">
        <v>470</v>
      </c>
      <c r="L11" s="131">
        <v>127788.36</v>
      </c>
      <c r="M11" s="131">
        <v>121368.09</v>
      </c>
      <c r="N11" s="132">
        <v>311768.65000000002</v>
      </c>
      <c r="O11" s="132">
        <v>56839.27</v>
      </c>
    </row>
    <row r="12" spans="1:18" x14ac:dyDescent="0.2">
      <c r="C12" s="43" t="s">
        <v>202</v>
      </c>
      <c r="D12" s="43" t="s">
        <v>202</v>
      </c>
      <c r="E12" s="43" t="s">
        <v>202</v>
      </c>
      <c r="F12" s="43" t="s">
        <v>202</v>
      </c>
      <c r="G12" s="43" t="s">
        <v>202</v>
      </c>
      <c r="H12" s="43" t="s">
        <v>202</v>
      </c>
      <c r="I12" s="6"/>
      <c r="K12" s="133" t="s">
        <v>491</v>
      </c>
      <c r="L12" s="134">
        <f>SUM(L6:L11)</f>
        <v>929625.29999999993</v>
      </c>
      <c r="M12" s="135">
        <f t="shared" ref="M12:O12" si="1">SUM(M6:M11)</f>
        <v>1047777.82</v>
      </c>
      <c r="N12" s="135">
        <f t="shared" si="1"/>
        <v>2889256.7399999998</v>
      </c>
      <c r="O12" s="135">
        <f t="shared" si="1"/>
        <v>1222602.6300000001</v>
      </c>
      <c r="R12" s="233"/>
    </row>
    <row r="13" spans="1:18" x14ac:dyDescent="0.2">
      <c r="A13">
        <f>+A11+1</f>
        <v>4</v>
      </c>
      <c r="B13" t="s">
        <v>8</v>
      </c>
      <c r="C13" s="44">
        <f>SUM(C8:C11)</f>
        <v>24020028</v>
      </c>
      <c r="D13" s="44">
        <f>SUM(D8:D11)</f>
        <v>1435309.9900000002</v>
      </c>
      <c r="E13" s="44">
        <f>SUM(E8:E11)</f>
        <v>2077518.9099999997</v>
      </c>
      <c r="F13" s="44">
        <f>SUM(F8:F11)</f>
        <v>3629388.9799999995</v>
      </c>
      <c r="G13" s="44">
        <f>SUM(G8:G11)</f>
        <v>6132236.4899999993</v>
      </c>
      <c r="H13" s="44">
        <f t="shared" ref="H13" si="2">SUM(H8:H11)</f>
        <v>33969350.350000001</v>
      </c>
      <c r="I13" s="4"/>
      <c r="K13" s="127"/>
      <c r="L13" s="127"/>
      <c r="M13" s="127"/>
      <c r="N13" s="127"/>
      <c r="O13" s="132"/>
    </row>
    <row r="14" spans="1:18" x14ac:dyDescent="0.2">
      <c r="A14">
        <f>+A13+1</f>
        <v>5</v>
      </c>
      <c r="B14" t="s">
        <v>281</v>
      </c>
      <c r="C14" s="44">
        <f>16846815+929625+881792+1047778+2106672+2889257</f>
        <v>24701939</v>
      </c>
      <c r="D14" s="44">
        <f>N20</f>
        <v>1496475.23</v>
      </c>
      <c r="E14" s="44">
        <f>O12</f>
        <v>1222602.6300000001</v>
      </c>
      <c r="G14" s="44">
        <v>0</v>
      </c>
      <c r="H14" s="193">
        <f>+C14+E14+D14+G14+F14</f>
        <v>27421016.859999999</v>
      </c>
      <c r="I14" s="21"/>
      <c r="K14" s="130" t="s">
        <v>471</v>
      </c>
      <c r="L14" s="131">
        <v>158281.51999999999</v>
      </c>
      <c r="M14" s="134">
        <v>262457.15999999997</v>
      </c>
      <c r="N14" s="132">
        <v>309496.90000000002</v>
      </c>
      <c r="O14" s="132"/>
    </row>
    <row r="15" spans="1:18" x14ac:dyDescent="0.2">
      <c r="A15">
        <f>+A14+1</f>
        <v>6</v>
      </c>
      <c r="B15" t="s">
        <v>9</v>
      </c>
      <c r="C15" s="44">
        <v>0</v>
      </c>
      <c r="D15" s="195"/>
      <c r="E15" s="194">
        <v>0</v>
      </c>
      <c r="F15" s="195">
        <f>ROUND($F$24*$F$28,0)</f>
        <v>415751</v>
      </c>
      <c r="G15" s="195">
        <f>ROUND($G$24*$G$28,0)</f>
        <v>3533478</v>
      </c>
      <c r="H15" s="193">
        <f>+C15+E15+D15+G15+F15</f>
        <v>3949229</v>
      </c>
      <c r="I15" s="21"/>
      <c r="K15" s="130" t="s">
        <v>472</v>
      </c>
      <c r="L15" s="131">
        <v>152863.17000000001</v>
      </c>
      <c r="M15" s="134">
        <v>362048.34</v>
      </c>
      <c r="N15" s="132">
        <v>220047.35999999999</v>
      </c>
      <c r="O15" s="132"/>
    </row>
    <row r="16" spans="1:18" x14ac:dyDescent="0.2">
      <c r="A16">
        <f>+A15+1</f>
        <v>7</v>
      </c>
      <c r="B16" t="s">
        <v>10</v>
      </c>
      <c r="C16" s="44">
        <v>-9833</v>
      </c>
      <c r="D16" s="44">
        <v>0</v>
      </c>
      <c r="E16" s="44">
        <v>0</v>
      </c>
      <c r="F16" s="44">
        <v>0</v>
      </c>
      <c r="G16" s="44">
        <v>0</v>
      </c>
      <c r="H16" s="193">
        <f>+C16+E16+D16+G16</f>
        <v>-9833</v>
      </c>
      <c r="I16" s="21"/>
      <c r="K16" s="130" t="s">
        <v>489</v>
      </c>
      <c r="L16" s="131">
        <v>137530.57</v>
      </c>
      <c r="M16" s="134">
        <v>341839.88</v>
      </c>
      <c r="N16" s="132">
        <v>230191.66</v>
      </c>
      <c r="O16" s="132"/>
    </row>
    <row r="17" spans="1:21" x14ac:dyDescent="0.2">
      <c r="A17">
        <f>+A16+1</f>
        <v>8</v>
      </c>
      <c r="B17" t="s">
        <v>294</v>
      </c>
      <c r="C17" s="44">
        <v>9487</v>
      </c>
      <c r="D17" s="44">
        <v>0</v>
      </c>
      <c r="E17" s="44">
        <v>0</v>
      </c>
      <c r="F17" s="44">
        <v>0</v>
      </c>
      <c r="G17" s="44">
        <v>0</v>
      </c>
      <c r="H17" s="193">
        <f>+C17+E17+D17+G17</f>
        <v>9487</v>
      </c>
      <c r="I17" s="21"/>
      <c r="K17" s="130" t="s">
        <v>473</v>
      </c>
      <c r="L17" s="131">
        <v>107154.53</v>
      </c>
      <c r="M17" s="134">
        <v>271837.68</v>
      </c>
      <c r="N17" s="132">
        <v>172800.22</v>
      </c>
      <c r="O17" s="132"/>
    </row>
    <row r="18" spans="1:21" x14ac:dyDescent="0.2">
      <c r="C18" s="43" t="s">
        <v>202</v>
      </c>
      <c r="D18" s="43" t="s">
        <v>202</v>
      </c>
      <c r="E18" s="43" t="s">
        <v>202</v>
      </c>
      <c r="F18" s="43" t="s">
        <v>202</v>
      </c>
      <c r="G18" s="43" t="s">
        <v>202</v>
      </c>
      <c r="H18" s="43" t="s">
        <v>202</v>
      </c>
      <c r="I18" s="6"/>
      <c r="K18" s="130" t="s">
        <v>474</v>
      </c>
      <c r="L18" s="131">
        <v>135422.46</v>
      </c>
      <c r="M18" s="134">
        <v>330848.05</v>
      </c>
      <c r="N18" s="132">
        <v>219714.04</v>
      </c>
      <c r="O18" s="132"/>
    </row>
    <row r="19" spans="1:21" x14ac:dyDescent="0.2">
      <c r="A19">
        <f>+A17+1</f>
        <v>9</v>
      </c>
      <c r="B19" t="s">
        <v>11</v>
      </c>
      <c r="C19" s="193">
        <f>+C13-C14-C15+C16+C17</f>
        <v>-682257</v>
      </c>
      <c r="D19" s="193">
        <f t="shared" ref="D19:E19" si="3">+D13-D14-D15+D16+D17</f>
        <v>-61165.239999999758</v>
      </c>
      <c r="E19" s="193">
        <f t="shared" si="3"/>
        <v>854916.27999999956</v>
      </c>
      <c r="F19" s="193">
        <f>+F13-F14-F15+F16+F17</f>
        <v>3213637.9799999995</v>
      </c>
      <c r="G19" s="193">
        <f>+G13-G14-G15+G16+G17</f>
        <v>2598758.4899999993</v>
      </c>
      <c r="H19" s="247">
        <f>+H13-H14-H15+H16+H17</f>
        <v>2598758.4900000021</v>
      </c>
      <c r="I19" s="21"/>
      <c r="K19" s="130" t="s">
        <v>475</v>
      </c>
      <c r="L19" s="131">
        <v>190540.11</v>
      </c>
      <c r="M19" s="134">
        <v>537640.92000000004</v>
      </c>
      <c r="N19" s="132">
        <v>344225.05</v>
      </c>
      <c r="O19" s="132"/>
    </row>
    <row r="20" spans="1:21" x14ac:dyDescent="0.2">
      <c r="C20" s="97" t="s">
        <v>189</v>
      </c>
      <c r="D20" s="97" t="s">
        <v>189</v>
      </c>
      <c r="E20" s="97" t="s">
        <v>189</v>
      </c>
      <c r="F20" s="97" t="s">
        <v>189</v>
      </c>
      <c r="G20" s="97" t="s">
        <v>189</v>
      </c>
      <c r="H20" s="97" t="s">
        <v>189</v>
      </c>
      <c r="I20" s="3"/>
      <c r="K20" s="136" t="s">
        <v>492</v>
      </c>
      <c r="L20" s="135">
        <f>SUM(L14:L19)</f>
        <v>881792.36</v>
      </c>
      <c r="M20" s="135">
        <f t="shared" ref="M20:O20" si="4">SUM(M14:M19)</f>
        <v>2106672.0300000003</v>
      </c>
      <c r="N20" s="135">
        <f t="shared" si="4"/>
        <v>1496475.23</v>
      </c>
      <c r="O20" s="135">
        <f t="shared" si="4"/>
        <v>0</v>
      </c>
    </row>
    <row r="22" spans="1:21" x14ac:dyDescent="0.2">
      <c r="A22">
        <f>+A19+1</f>
        <v>10</v>
      </c>
      <c r="B22" t="s">
        <v>13</v>
      </c>
      <c r="E22" s="196"/>
      <c r="G22" s="196">
        <f>G13</f>
        <v>6132236.4899999993</v>
      </c>
      <c r="H22" s="196"/>
      <c r="I22" s="51"/>
      <c r="U22" s="115"/>
    </row>
    <row r="23" spans="1:21" x14ac:dyDescent="0.2">
      <c r="E23" s="44"/>
      <c r="F23" s="44"/>
      <c r="G23" s="44"/>
      <c r="H23" s="44"/>
      <c r="I23" s="4"/>
    </row>
    <row r="24" spans="1:21" x14ac:dyDescent="0.2">
      <c r="A24">
        <f>+A22+1</f>
        <v>11</v>
      </c>
      <c r="B24" s="108" t="s">
        <v>526</v>
      </c>
      <c r="F24" s="44">
        <f>+'c23'!C35</f>
        <v>1085512050</v>
      </c>
      <c r="G24" s="44">
        <f>+'c23'!C46</f>
        <v>1133978880</v>
      </c>
      <c r="H24" s="44"/>
      <c r="I24" s="4"/>
    </row>
    <row r="25" spans="1:21" x14ac:dyDescent="0.2">
      <c r="I25" s="4"/>
    </row>
    <row r="26" spans="1:21" x14ac:dyDescent="0.2">
      <c r="B26" t="s">
        <v>14</v>
      </c>
      <c r="I26" s="4"/>
    </row>
    <row r="27" spans="1:21" x14ac:dyDescent="0.2">
      <c r="A27">
        <f>+A24+1</f>
        <v>12</v>
      </c>
      <c r="B27" t="s">
        <v>15</v>
      </c>
      <c r="C27" s="42" t="s">
        <v>444</v>
      </c>
      <c r="F27" s="197"/>
      <c r="G27" s="197">
        <f>ROUND((F10+G10)/(G24+F24),6)</f>
        <v>1.833E-3</v>
      </c>
      <c r="H27" s="197"/>
      <c r="I27" s="4"/>
    </row>
    <row r="28" spans="1:21" x14ac:dyDescent="0.2">
      <c r="A28">
        <f>+A27+1</f>
        <v>13</v>
      </c>
      <c r="B28" t="s">
        <v>16</v>
      </c>
      <c r="F28" s="198">
        <v>3.8299999999999999E-4</v>
      </c>
      <c r="G28" s="199">
        <f>ROUND((+G29+G27)/2,6)</f>
        <v>3.1159999999999998E-3</v>
      </c>
      <c r="H28" s="199"/>
    </row>
    <row r="29" spans="1:21" x14ac:dyDescent="0.2">
      <c r="A29">
        <f>+A28+1</f>
        <v>14</v>
      </c>
      <c r="B29" t="s">
        <v>17</v>
      </c>
      <c r="C29" s="42" t="s">
        <v>445</v>
      </c>
      <c r="F29" s="197"/>
      <c r="G29" s="197">
        <f>ROUND((F13+G13)/(G24+F24),6)</f>
        <v>4.398E-3</v>
      </c>
      <c r="H29" s="197"/>
    </row>
    <row r="30" spans="1:21" ht="13.7" customHeight="1" x14ac:dyDescent="0.2">
      <c r="B30" s="23"/>
      <c r="E30" s="97"/>
      <c r="F30" s="97"/>
      <c r="G30" s="97"/>
      <c r="H30" s="97"/>
      <c r="I30" s="3"/>
    </row>
    <row r="31" spans="1:21" ht="13.7" customHeight="1" x14ac:dyDescent="0.2"/>
    <row r="32" spans="1:21" ht="27.95" customHeight="1" x14ac:dyDescent="0.2">
      <c r="B32" t="s">
        <v>18</v>
      </c>
      <c r="C32" s="191" t="s">
        <v>488</v>
      </c>
      <c r="D32" s="181" t="s">
        <v>462</v>
      </c>
      <c r="E32" s="116" t="s">
        <v>504</v>
      </c>
      <c r="F32" s="116" t="s">
        <v>504</v>
      </c>
      <c r="G32" s="116" t="s">
        <v>547</v>
      </c>
      <c r="H32" s="188" t="s">
        <v>4</v>
      </c>
      <c r="I32" s="1"/>
      <c r="K32" s="276" t="s">
        <v>520</v>
      </c>
      <c r="L32" s="276"/>
      <c r="M32" s="276"/>
      <c r="N32" s="276"/>
      <c r="O32" s="276"/>
    </row>
    <row r="33" spans="1:15" ht="25.5" x14ac:dyDescent="0.2">
      <c r="C33" s="192" t="s">
        <v>546</v>
      </c>
      <c r="D33" s="94" t="s">
        <v>503</v>
      </c>
      <c r="E33" s="94" t="s">
        <v>443</v>
      </c>
      <c r="F33" s="116" t="s">
        <v>501</v>
      </c>
      <c r="G33" s="116" t="s">
        <v>502</v>
      </c>
      <c r="H33" s="94"/>
      <c r="I33" s="1"/>
      <c r="K33" s="127"/>
      <c r="L33" s="129">
        <f>L5</f>
        <v>2012</v>
      </c>
      <c r="M33" s="129">
        <f>M5</f>
        <v>2013</v>
      </c>
      <c r="N33" s="129">
        <v>2014</v>
      </c>
      <c r="O33" s="129">
        <v>2015</v>
      </c>
    </row>
    <row r="34" spans="1:15" x14ac:dyDescent="0.2">
      <c r="C34" s="126" t="s">
        <v>5</v>
      </c>
      <c r="D34" s="126">
        <f t="shared" ref="D34" si="5">+C34-1</f>
        <v>-2</v>
      </c>
      <c r="E34" s="126">
        <f>+D34-1</f>
        <v>-3</v>
      </c>
      <c r="F34" s="126">
        <f t="shared" ref="F34:H34" si="6">+E34-1</f>
        <v>-4</v>
      </c>
      <c r="G34" s="126">
        <f t="shared" si="6"/>
        <v>-5</v>
      </c>
      <c r="H34" s="126">
        <f t="shared" si="6"/>
        <v>-6</v>
      </c>
      <c r="I34" s="7"/>
      <c r="K34" s="130" t="s">
        <v>465</v>
      </c>
      <c r="L34" s="131">
        <v>71813.06</v>
      </c>
      <c r="M34" s="131">
        <v>67814.41</v>
      </c>
      <c r="N34" s="132">
        <v>113391.67</v>
      </c>
      <c r="O34" s="132">
        <v>126870.01</v>
      </c>
    </row>
    <row r="35" spans="1:15" x14ac:dyDescent="0.2">
      <c r="E35" s="126"/>
      <c r="F35" s="126"/>
      <c r="G35" s="126"/>
      <c r="H35" s="126"/>
      <c r="K35" s="130" t="s">
        <v>466</v>
      </c>
      <c r="L35" s="131">
        <v>111607</v>
      </c>
      <c r="M35" s="131">
        <v>64622.09</v>
      </c>
      <c r="N35" s="132">
        <v>108379.63</v>
      </c>
      <c r="O35" s="132">
        <v>123823.19</v>
      </c>
    </row>
    <row r="36" spans="1:15" x14ac:dyDescent="0.2">
      <c r="A36">
        <f>+A29+1</f>
        <v>15</v>
      </c>
      <c r="B36" t="s">
        <v>6</v>
      </c>
      <c r="C36" s="56">
        <f>3267224+405549+860775+352346+735321+488115</f>
        <v>6109330</v>
      </c>
      <c r="D36" s="56">
        <f>Y19b!O89</f>
        <v>929745.73</v>
      </c>
      <c r="E36" s="80">
        <f>Y20a!O95</f>
        <v>816889.2</v>
      </c>
      <c r="F36" s="80">
        <f>Y20b!O95</f>
        <v>1418151.39</v>
      </c>
      <c r="G36" s="80">
        <f>Y21a!O91</f>
        <v>1044221.05</v>
      </c>
      <c r="H36" s="193">
        <f>SUM(C36:G36)</f>
        <v>10318337.370000001</v>
      </c>
      <c r="I36" s="21"/>
      <c r="K36" s="130" t="s">
        <v>467</v>
      </c>
      <c r="L36" s="131">
        <v>167425.16</v>
      </c>
      <c r="M36" s="131">
        <v>70674.460000000006</v>
      </c>
      <c r="N36" s="132">
        <v>97088.86</v>
      </c>
      <c r="O36" s="132">
        <v>158582.21</v>
      </c>
    </row>
    <row r="37" spans="1:15" x14ac:dyDescent="0.2">
      <c r="A37">
        <f>+A36+1</f>
        <v>16</v>
      </c>
      <c r="B37" t="s">
        <v>19</v>
      </c>
      <c r="C37" s="44">
        <v>0</v>
      </c>
      <c r="D37" s="44">
        <f>C46</f>
        <v>128605</v>
      </c>
      <c r="E37" s="44">
        <f>D46</f>
        <v>422329.38</v>
      </c>
      <c r="F37" s="44">
        <f>+E46</f>
        <v>384044.99000000011</v>
      </c>
      <c r="G37" s="44">
        <f>+F46</f>
        <v>809123.37999999989</v>
      </c>
      <c r="H37" s="193">
        <v>0</v>
      </c>
      <c r="I37" s="21"/>
      <c r="K37" s="130" t="s">
        <v>468</v>
      </c>
      <c r="L37" s="131">
        <v>149896.19</v>
      </c>
      <c r="M37" s="131">
        <v>60692.5</v>
      </c>
      <c r="N37" s="132">
        <v>84086.57</v>
      </c>
      <c r="O37" s="132">
        <v>148866.59</v>
      </c>
    </row>
    <row r="38" spans="1:15" x14ac:dyDescent="0.2">
      <c r="A38">
        <f>+A37+1</f>
        <v>17</v>
      </c>
      <c r="B38" t="s">
        <v>7</v>
      </c>
      <c r="C38" s="44">
        <v>1520</v>
      </c>
      <c r="D38" s="44">
        <v>0</v>
      </c>
      <c r="E38" s="44">
        <v>0</v>
      </c>
      <c r="F38" s="44">
        <v>0</v>
      </c>
      <c r="G38" s="44">
        <v>0</v>
      </c>
      <c r="H38" s="193">
        <f>SUM(C38:C38:G38)</f>
        <v>1520</v>
      </c>
      <c r="I38" s="21"/>
      <c r="K38" s="130" t="s">
        <v>469</v>
      </c>
      <c r="L38" s="131">
        <v>153583.88</v>
      </c>
      <c r="M38" s="131">
        <v>52509.120000000003</v>
      </c>
      <c r="N38" s="132">
        <v>82569.899999999994</v>
      </c>
      <c r="O38" s="132">
        <v>137235.70000000001</v>
      </c>
    </row>
    <row r="39" spans="1:15" x14ac:dyDescent="0.2">
      <c r="C39" s="43" t="s">
        <v>202</v>
      </c>
      <c r="D39" s="43" t="s">
        <v>202</v>
      </c>
      <c r="E39" s="43" t="s">
        <v>202</v>
      </c>
      <c r="F39" s="43" t="s">
        <v>202</v>
      </c>
      <c r="G39" s="43" t="s">
        <v>202</v>
      </c>
      <c r="H39" s="43" t="s">
        <v>202</v>
      </c>
      <c r="I39" s="4"/>
      <c r="K39" s="130" t="s">
        <v>470</v>
      </c>
      <c r="L39" s="131">
        <v>117210.29</v>
      </c>
      <c r="M39" s="131">
        <v>57624.58</v>
      </c>
      <c r="N39" s="132">
        <v>89679.82</v>
      </c>
      <c r="O39" s="132">
        <v>159795.89000000001</v>
      </c>
    </row>
    <row r="40" spans="1:15" x14ac:dyDescent="0.2">
      <c r="A40">
        <f>+A38+1</f>
        <v>18</v>
      </c>
      <c r="B40" t="s">
        <v>8</v>
      </c>
      <c r="C40" s="44">
        <f t="shared" ref="C40:G40" si="7">SUM(C36:C39)</f>
        <v>6110850</v>
      </c>
      <c r="D40" s="44">
        <f t="shared" si="7"/>
        <v>1058350.73</v>
      </c>
      <c r="E40" s="44">
        <f t="shared" si="7"/>
        <v>1239218.58</v>
      </c>
      <c r="F40" s="44">
        <f t="shared" si="7"/>
        <v>1802196.38</v>
      </c>
      <c r="G40" s="44">
        <f t="shared" si="7"/>
        <v>1853344.43</v>
      </c>
      <c r="H40" s="44">
        <f>SUM(H36:H39)</f>
        <v>10319857.370000001</v>
      </c>
      <c r="I40" s="21"/>
      <c r="K40" s="133" t="s">
        <v>491</v>
      </c>
      <c r="L40" s="134">
        <f>SUM(L34:L39)</f>
        <v>771535.58000000007</v>
      </c>
      <c r="M40" s="135">
        <f>SUM(M34:M39)</f>
        <v>373937.16000000003</v>
      </c>
      <c r="N40" s="135">
        <f t="shared" ref="N40:O40" si="8">SUM(N34:N39)</f>
        <v>575196.44999999995</v>
      </c>
      <c r="O40" s="135">
        <f t="shared" si="8"/>
        <v>855173.59</v>
      </c>
    </row>
    <row r="41" spans="1:15" x14ac:dyDescent="0.2">
      <c r="A41">
        <f>+A40+1</f>
        <v>19</v>
      </c>
      <c r="B41" t="s">
        <v>281</v>
      </c>
      <c r="C41" s="44">
        <f>3356384+771536+358386+373937+534041+575196</f>
        <v>5969480</v>
      </c>
      <c r="D41" s="44">
        <f>N48</f>
        <v>636021.35</v>
      </c>
      <c r="E41" s="44">
        <f>O40</f>
        <v>855173.59</v>
      </c>
      <c r="F41" s="44">
        <v>0</v>
      </c>
      <c r="G41" s="44">
        <v>0</v>
      </c>
      <c r="H41" s="44">
        <f>SUM(C41:G41)</f>
        <v>7460674.9399999995</v>
      </c>
      <c r="I41" s="6"/>
      <c r="K41" s="127"/>
      <c r="L41" s="127"/>
      <c r="M41" s="127"/>
      <c r="N41" s="127"/>
      <c r="O41" s="127"/>
    </row>
    <row r="42" spans="1:15" x14ac:dyDescent="0.2">
      <c r="A42">
        <f>+A41+1</f>
        <v>20</v>
      </c>
      <c r="B42" t="s">
        <v>9</v>
      </c>
      <c r="C42" s="44">
        <v>0</v>
      </c>
      <c r="D42" s="44">
        <v>0</v>
      </c>
      <c r="E42" s="195">
        <v>0</v>
      </c>
      <c r="F42" s="195">
        <f>ROUND($F$51*$F$55,0)</f>
        <v>993073</v>
      </c>
      <c r="G42" s="195">
        <f>ROUND($G$51*$G$55,0)</f>
        <v>1178795</v>
      </c>
      <c r="H42" s="44">
        <f>SUM(C42:G42)</f>
        <v>2171868</v>
      </c>
      <c r="I42" s="4"/>
      <c r="K42" s="130" t="s">
        <v>471</v>
      </c>
      <c r="L42" s="131">
        <v>65409.57</v>
      </c>
      <c r="M42" s="134">
        <v>78135.05</v>
      </c>
      <c r="N42" s="132">
        <v>103946.76</v>
      </c>
      <c r="O42" s="127"/>
    </row>
    <row r="43" spans="1:15" x14ac:dyDescent="0.2">
      <c r="A43">
        <f>+A42+1</f>
        <v>21</v>
      </c>
      <c r="B43" t="s">
        <v>10</v>
      </c>
      <c r="C43" s="44">
        <v>-3278</v>
      </c>
      <c r="D43" s="44">
        <v>0</v>
      </c>
      <c r="E43" s="44">
        <v>0</v>
      </c>
      <c r="F43" s="44">
        <v>0</v>
      </c>
      <c r="G43" s="44">
        <v>0</v>
      </c>
      <c r="H43" s="44">
        <f t="shared" ref="H43:H44" si="9">SUM(C43:G43)</f>
        <v>-3278</v>
      </c>
      <c r="I43" s="21"/>
      <c r="K43" s="130" t="s">
        <v>472</v>
      </c>
      <c r="L43" s="131">
        <v>63087.13</v>
      </c>
      <c r="M43" s="134">
        <v>94628.3</v>
      </c>
      <c r="N43" s="132">
        <v>108004.68</v>
      </c>
      <c r="O43" s="127"/>
    </row>
    <row r="44" spans="1:15" x14ac:dyDescent="0.2">
      <c r="A44">
        <f>+A43+1</f>
        <v>22</v>
      </c>
      <c r="B44" t="s">
        <v>295</v>
      </c>
      <c r="C44" s="44">
        <v>-9487</v>
      </c>
      <c r="D44" s="44">
        <v>0</v>
      </c>
      <c r="E44" s="44">
        <v>0</v>
      </c>
      <c r="F44" s="44">
        <v>0</v>
      </c>
      <c r="G44" s="44">
        <v>0</v>
      </c>
      <c r="H44" s="44">
        <f t="shared" si="9"/>
        <v>-9487</v>
      </c>
      <c r="I44" s="21"/>
      <c r="K44" s="130" t="s">
        <v>489</v>
      </c>
      <c r="L44" s="131">
        <v>63462.64</v>
      </c>
      <c r="M44" s="134">
        <v>94977.17</v>
      </c>
      <c r="N44" s="132">
        <v>114197.8</v>
      </c>
      <c r="O44" s="127"/>
    </row>
    <row r="45" spans="1:15" x14ac:dyDescent="0.2">
      <c r="C45" s="43" t="s">
        <v>202</v>
      </c>
      <c r="D45" s="43" t="s">
        <v>202</v>
      </c>
      <c r="E45" s="43" t="s">
        <v>202</v>
      </c>
      <c r="F45" s="43" t="s">
        <v>202</v>
      </c>
      <c r="G45" s="43" t="s">
        <v>202</v>
      </c>
      <c r="H45" s="43" t="s">
        <v>202</v>
      </c>
      <c r="I45" s="21"/>
      <c r="K45" s="130" t="s">
        <v>473</v>
      </c>
      <c r="L45" s="131">
        <v>53790.79</v>
      </c>
      <c r="M45" s="134">
        <v>85519.56</v>
      </c>
      <c r="N45" s="132">
        <v>97683.34</v>
      </c>
      <c r="O45" s="127"/>
    </row>
    <row r="46" spans="1:15" x14ac:dyDescent="0.2">
      <c r="A46">
        <f>+A43+1</f>
        <v>22</v>
      </c>
      <c r="B46" t="s">
        <v>11</v>
      </c>
      <c r="C46" s="193">
        <f>+C40-C41-C42+C43+C44</f>
        <v>128605</v>
      </c>
      <c r="D46" s="193">
        <f>+D40-D41-D42+D43-D44</f>
        <v>422329.38</v>
      </c>
      <c r="E46" s="193">
        <f>+E40-E41-E42+E43-E44</f>
        <v>384044.99000000011</v>
      </c>
      <c r="F46" s="193">
        <f>+F40-F41-F42+F43-F44</f>
        <v>809123.37999999989</v>
      </c>
      <c r="G46" s="193">
        <f>+G40-G41-G42+G43-G44</f>
        <v>674549.42999999993</v>
      </c>
      <c r="H46" s="193">
        <f>+H40-H41-H42+H43+H44</f>
        <v>674549.43000000156</v>
      </c>
      <c r="I46" s="21"/>
      <c r="K46" s="130" t="s">
        <v>474</v>
      </c>
      <c r="L46" s="131">
        <v>53230.59</v>
      </c>
      <c r="M46" s="134">
        <v>81106.960000000006</v>
      </c>
      <c r="N46" s="132">
        <v>95582.14</v>
      </c>
      <c r="O46" s="127"/>
    </row>
    <row r="47" spans="1:15" x14ac:dyDescent="0.2">
      <c r="C47" s="97" t="s">
        <v>189</v>
      </c>
      <c r="D47" s="97" t="s">
        <v>189</v>
      </c>
      <c r="E47" s="97" t="s">
        <v>189</v>
      </c>
      <c r="F47" s="97" t="s">
        <v>189</v>
      </c>
      <c r="G47" s="97" t="s">
        <v>189</v>
      </c>
      <c r="H47" s="97" t="s">
        <v>189</v>
      </c>
      <c r="I47" s="6"/>
      <c r="K47" s="130" t="s">
        <v>475</v>
      </c>
      <c r="L47" s="131">
        <v>59405.03</v>
      </c>
      <c r="M47" s="134">
        <v>99673.84</v>
      </c>
      <c r="N47" s="132">
        <v>116606.63</v>
      </c>
      <c r="O47" s="127"/>
    </row>
    <row r="48" spans="1:15" x14ac:dyDescent="0.2">
      <c r="C48" s="44"/>
      <c r="D48" s="44"/>
      <c r="E48" s="44"/>
      <c r="F48" s="44"/>
      <c r="G48" s="44"/>
      <c r="H48" s="44"/>
      <c r="I48" s="21"/>
      <c r="K48" s="136" t="s">
        <v>492</v>
      </c>
      <c r="L48" s="135">
        <f>SUM(L42:L47)</f>
        <v>358385.75</v>
      </c>
      <c r="M48" s="135">
        <f>SUM(M42:M47)</f>
        <v>534040.88</v>
      </c>
      <c r="N48" s="135">
        <f t="shared" ref="N48:O48" si="10">SUM(N42:N47)</f>
        <v>636021.35</v>
      </c>
      <c r="O48" s="135">
        <f t="shared" si="10"/>
        <v>0</v>
      </c>
    </row>
    <row r="49" spans="1:10" x14ac:dyDescent="0.2">
      <c r="A49">
        <f>+A46+1</f>
        <v>23</v>
      </c>
      <c r="B49" t="s">
        <v>13</v>
      </c>
      <c r="C49" s="44"/>
      <c r="D49" s="44"/>
      <c r="F49" s="56"/>
      <c r="G49" s="196">
        <f>G40</f>
        <v>1853344.43</v>
      </c>
      <c r="H49" s="196"/>
      <c r="I49" s="3"/>
    </row>
    <row r="50" spans="1:10" x14ac:dyDescent="0.2">
      <c r="C50" s="44"/>
      <c r="D50" s="44"/>
      <c r="F50" s="44"/>
      <c r="G50" s="44"/>
      <c r="H50" s="44"/>
      <c r="I50" s="4"/>
      <c r="J50" s="4"/>
    </row>
    <row r="51" spans="1:10" x14ac:dyDescent="0.2">
      <c r="A51">
        <f>+A49+1</f>
        <v>24</v>
      </c>
      <c r="B51" s="108" t="s">
        <v>526</v>
      </c>
      <c r="C51" s="44"/>
      <c r="D51" s="44"/>
      <c r="F51" s="44">
        <f>+'c23'!D35</f>
        <v>674184237</v>
      </c>
      <c r="G51" s="44">
        <f>+'c23'!D46</f>
        <v>637875979</v>
      </c>
      <c r="H51" s="44"/>
      <c r="I51" s="51"/>
      <c r="J51" s="4"/>
    </row>
    <row r="52" spans="1:10" x14ac:dyDescent="0.2">
      <c r="I52" s="4"/>
      <c r="J52" s="4"/>
    </row>
    <row r="53" spans="1:10" x14ac:dyDescent="0.2">
      <c r="B53" t="s">
        <v>14</v>
      </c>
      <c r="I53" s="122" t="s">
        <v>508</v>
      </c>
      <c r="J53" s="4"/>
    </row>
    <row r="54" spans="1:10" x14ac:dyDescent="0.2">
      <c r="A54">
        <f>+A51+1</f>
        <v>25</v>
      </c>
      <c r="B54" t="s">
        <v>15</v>
      </c>
      <c r="F54" s="197"/>
      <c r="G54" s="197">
        <f>ROUND((F37+G37)/(G51+F51),6)</f>
        <v>9.0899999999999998E-4</v>
      </c>
      <c r="H54" s="197"/>
      <c r="I54" s="4"/>
    </row>
    <row r="55" spans="1:10" x14ac:dyDescent="0.2">
      <c r="A55">
        <f>+A54+1</f>
        <v>26</v>
      </c>
      <c r="B55" t="s">
        <v>16</v>
      </c>
      <c r="F55" s="198">
        <v>1.4729999999999999E-3</v>
      </c>
      <c r="G55" s="199">
        <f>ROUND((+G56+G54)/2,6)</f>
        <v>1.848E-3</v>
      </c>
      <c r="H55" s="199"/>
      <c r="I55" s="4"/>
    </row>
    <row r="56" spans="1:10" x14ac:dyDescent="0.2">
      <c r="A56">
        <f>+A55+1</f>
        <v>27</v>
      </c>
      <c r="B56" t="s">
        <v>17</v>
      </c>
      <c r="F56" s="197"/>
      <c r="G56" s="197">
        <f>ROUND((F40+G40)/(G51+F51),6)</f>
        <v>2.7859999999999998E-3</v>
      </c>
      <c r="H56" s="197"/>
    </row>
    <row r="59" spans="1:10" ht="25.5" x14ac:dyDescent="0.2">
      <c r="B59" t="s">
        <v>20</v>
      </c>
      <c r="C59" s="191" t="s">
        <v>488</v>
      </c>
      <c r="D59" s="181" t="s">
        <v>462</v>
      </c>
      <c r="E59" s="116" t="s">
        <v>504</v>
      </c>
      <c r="F59" s="116" t="s">
        <v>504</v>
      </c>
      <c r="G59" s="116" t="s">
        <v>547</v>
      </c>
      <c r="H59" s="188" t="s">
        <v>4</v>
      </c>
    </row>
    <row r="60" spans="1:10" ht="25.5" x14ac:dyDescent="0.2">
      <c r="C60" s="200" t="s">
        <v>546</v>
      </c>
      <c r="D60" s="94" t="s">
        <v>503</v>
      </c>
      <c r="E60" s="94" t="s">
        <v>443</v>
      </c>
      <c r="F60" s="94" t="s">
        <v>503</v>
      </c>
      <c r="G60" s="94" t="s">
        <v>443</v>
      </c>
      <c r="H60" s="94"/>
    </row>
    <row r="61" spans="1:10" x14ac:dyDescent="0.2">
      <c r="C61" s="126" t="s">
        <v>5</v>
      </c>
      <c r="D61" s="126">
        <f t="shared" ref="D61:H61" si="11">+C61-1</f>
        <v>-2</v>
      </c>
      <c r="E61" s="126">
        <f>+D61-1</f>
        <v>-3</v>
      </c>
      <c r="F61" s="126">
        <f t="shared" si="11"/>
        <v>-4</v>
      </c>
      <c r="G61" s="126">
        <f t="shared" si="11"/>
        <v>-5</v>
      </c>
      <c r="H61" s="126">
        <f t="shared" si="11"/>
        <v>-6</v>
      </c>
      <c r="I61" s="1"/>
    </row>
    <row r="62" spans="1:10" x14ac:dyDescent="0.2">
      <c r="I62" s="1"/>
    </row>
    <row r="63" spans="1:10" x14ac:dyDescent="0.2">
      <c r="A63">
        <f>+A56+1</f>
        <v>28</v>
      </c>
      <c r="B63" t="s">
        <v>6</v>
      </c>
      <c r="C63" s="56">
        <v>79026</v>
      </c>
      <c r="D63" s="193">
        <f>+Y19b!OP100</f>
        <v>0</v>
      </c>
      <c r="E63" s="193">
        <f>+Y20a!O106</f>
        <v>0</v>
      </c>
      <c r="F63" s="193">
        <f>Y20b!O106</f>
        <v>0</v>
      </c>
      <c r="G63" s="193">
        <f>Y21a!O102</f>
        <v>0</v>
      </c>
      <c r="H63" s="193">
        <f>SUM(C63:G63)</f>
        <v>79026</v>
      </c>
      <c r="I63" s="7"/>
    </row>
    <row r="64" spans="1:10" x14ac:dyDescent="0.2">
      <c r="A64">
        <f>+A63+1</f>
        <v>29</v>
      </c>
      <c r="B64" t="s">
        <v>19</v>
      </c>
      <c r="C64" s="44">
        <v>0</v>
      </c>
      <c r="D64" s="44">
        <f>C72</f>
        <v>0</v>
      </c>
      <c r="E64" s="44">
        <f>D72</f>
        <v>0</v>
      </c>
      <c r="F64" s="44">
        <f>E72</f>
        <v>0</v>
      </c>
      <c r="G64" s="44">
        <f>F72</f>
        <v>0</v>
      </c>
      <c r="H64" s="44">
        <v>0</v>
      </c>
    </row>
    <row r="65" spans="1:10" x14ac:dyDescent="0.2">
      <c r="A65">
        <f>+A64+1</f>
        <v>30</v>
      </c>
      <c r="B65" t="s">
        <v>7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f>SUM(C65:G65)</f>
        <v>0</v>
      </c>
      <c r="I65" s="21"/>
    </row>
    <row r="66" spans="1:10" x14ac:dyDescent="0.2">
      <c r="C66" s="43" t="s">
        <v>202</v>
      </c>
      <c r="D66" s="43" t="s">
        <v>202</v>
      </c>
      <c r="E66" s="43" t="s">
        <v>202</v>
      </c>
      <c r="F66" s="43" t="s">
        <v>202</v>
      </c>
      <c r="G66" s="43" t="s">
        <v>202</v>
      </c>
      <c r="H66" s="43" t="s">
        <v>202</v>
      </c>
      <c r="I66" s="4"/>
    </row>
    <row r="67" spans="1:10" x14ac:dyDescent="0.2">
      <c r="A67">
        <f>+A65+1</f>
        <v>31</v>
      </c>
      <c r="B67" t="s">
        <v>8</v>
      </c>
      <c r="C67" s="44">
        <f t="shared" ref="C67:H67" si="12">SUM(C63:C65)</f>
        <v>79026</v>
      </c>
      <c r="D67" s="44">
        <f t="shared" ref="D67" si="13">SUM(D63:D65)</f>
        <v>0</v>
      </c>
      <c r="E67" s="44">
        <f t="shared" si="12"/>
        <v>0</v>
      </c>
      <c r="F67" s="44">
        <f t="shared" ref="F67:G67" si="14">SUM(F63:F65)</f>
        <v>0</v>
      </c>
      <c r="G67" s="44">
        <f t="shared" si="14"/>
        <v>0</v>
      </c>
      <c r="H67" s="44">
        <f t="shared" si="12"/>
        <v>79026</v>
      </c>
      <c r="I67" s="21"/>
    </row>
    <row r="68" spans="1:10" x14ac:dyDescent="0.2">
      <c r="A68">
        <f>+A67+1</f>
        <v>32</v>
      </c>
      <c r="B68" t="s">
        <v>281</v>
      </c>
      <c r="C68" s="44">
        <v>92137</v>
      </c>
      <c r="D68" s="44">
        <v>0</v>
      </c>
      <c r="E68" s="44">
        <v>0</v>
      </c>
      <c r="F68" s="44">
        <v>0</v>
      </c>
      <c r="G68" s="44">
        <v>0</v>
      </c>
      <c r="H68" s="44">
        <f>SUM(C68:G68)</f>
        <v>92137</v>
      </c>
      <c r="I68" s="6"/>
    </row>
    <row r="69" spans="1:10" x14ac:dyDescent="0.2">
      <c r="A69">
        <f>+A68+1</f>
        <v>33</v>
      </c>
      <c r="B69" t="s">
        <v>9</v>
      </c>
      <c r="C69" s="44">
        <v>0</v>
      </c>
      <c r="D69" s="44">
        <v>0</v>
      </c>
      <c r="E69" s="44">
        <v>0</v>
      </c>
      <c r="F69" s="44">
        <f>F77*F81</f>
        <v>0</v>
      </c>
      <c r="G69" s="44">
        <f>G77*G81</f>
        <v>0</v>
      </c>
      <c r="H69" s="44">
        <f t="shared" ref="H69:H70" si="15">SUM(C69:G69)</f>
        <v>0</v>
      </c>
      <c r="I69" s="4"/>
    </row>
    <row r="70" spans="1:10" x14ac:dyDescent="0.2">
      <c r="A70">
        <f>+A69+1</f>
        <v>34</v>
      </c>
      <c r="B70" t="s">
        <v>21</v>
      </c>
      <c r="C70" s="44">
        <v>13111</v>
      </c>
      <c r="D70" s="44">
        <v>0</v>
      </c>
      <c r="E70" s="44">
        <v>0</v>
      </c>
      <c r="F70" s="44">
        <v>0</v>
      </c>
      <c r="G70" s="44">
        <v>0</v>
      </c>
      <c r="H70" s="44">
        <f t="shared" si="15"/>
        <v>13111</v>
      </c>
      <c r="I70" s="21"/>
    </row>
    <row r="71" spans="1:10" x14ac:dyDescent="0.2">
      <c r="C71" s="43" t="s">
        <v>202</v>
      </c>
      <c r="D71" s="43" t="s">
        <v>202</v>
      </c>
      <c r="E71" s="43" t="s">
        <v>202</v>
      </c>
      <c r="F71" s="43" t="s">
        <v>202</v>
      </c>
      <c r="G71" s="43" t="s">
        <v>202</v>
      </c>
      <c r="H71" s="43" t="s">
        <v>202</v>
      </c>
      <c r="I71" s="21"/>
    </row>
    <row r="72" spans="1:10" x14ac:dyDescent="0.2">
      <c r="A72">
        <f>+A70+1</f>
        <v>35</v>
      </c>
      <c r="B72" t="s">
        <v>11</v>
      </c>
      <c r="C72" s="193">
        <f t="shared" ref="C72:E72" si="16">+C67-C68-C69+C70</f>
        <v>0</v>
      </c>
      <c r="D72" s="193">
        <f t="shared" ref="D72" si="17">+D67-D68-D69+D70</f>
        <v>0</v>
      </c>
      <c r="E72" s="193">
        <f t="shared" si="16"/>
        <v>0</v>
      </c>
      <c r="F72" s="193">
        <f t="shared" ref="F72:G72" si="18">+F67-F68-F69+F70</f>
        <v>0</v>
      </c>
      <c r="G72" s="193">
        <f t="shared" si="18"/>
        <v>0</v>
      </c>
      <c r="H72" s="193">
        <f>+H67-H68-H69+H70</f>
        <v>0</v>
      </c>
      <c r="I72" s="21"/>
    </row>
    <row r="73" spans="1:10" x14ac:dyDescent="0.2">
      <c r="C73" s="97" t="s">
        <v>189</v>
      </c>
      <c r="D73" s="97" t="s">
        <v>189</v>
      </c>
      <c r="E73" s="97" t="s">
        <v>189</v>
      </c>
      <c r="F73" s="97" t="s">
        <v>189</v>
      </c>
      <c r="G73" s="97" t="s">
        <v>189</v>
      </c>
      <c r="H73" s="97" t="s">
        <v>189</v>
      </c>
      <c r="I73" s="6"/>
    </row>
    <row r="74" spans="1:10" x14ac:dyDescent="0.2">
      <c r="C74" s="44"/>
      <c r="D74" s="44"/>
      <c r="E74" s="44"/>
      <c r="F74" s="44"/>
      <c r="G74" s="44"/>
      <c r="H74" s="44"/>
      <c r="I74" s="21"/>
    </row>
    <row r="75" spans="1:10" x14ac:dyDescent="0.2">
      <c r="A75">
        <f>+A72+1</f>
        <v>36</v>
      </c>
      <c r="B75" t="s">
        <v>13</v>
      </c>
      <c r="C75" s="44"/>
      <c r="D75" s="44"/>
      <c r="E75" s="56"/>
      <c r="F75" s="196"/>
      <c r="G75" s="196">
        <f>G67</f>
        <v>0</v>
      </c>
      <c r="H75" s="196"/>
      <c r="I75" s="3"/>
    </row>
    <row r="76" spans="1:10" x14ac:dyDescent="0.2">
      <c r="C76" s="44"/>
      <c r="D76" s="44"/>
      <c r="E76" s="44"/>
      <c r="F76" s="44"/>
      <c r="G76" s="44"/>
      <c r="H76" s="44"/>
      <c r="I76" s="4"/>
    </row>
    <row r="77" spans="1:10" x14ac:dyDescent="0.2">
      <c r="A77">
        <f>+A75+1</f>
        <v>37</v>
      </c>
      <c r="B77" s="108" t="s">
        <v>527</v>
      </c>
      <c r="C77" s="44"/>
      <c r="D77" s="44"/>
      <c r="F77" s="44">
        <f>+'c23'!E35</f>
        <v>1393593081</v>
      </c>
      <c r="G77" s="44">
        <f>+'c23'!E46</f>
        <v>1346003556</v>
      </c>
      <c r="H77" s="44"/>
      <c r="I77" s="51"/>
      <c r="J77" s="4"/>
    </row>
    <row r="78" spans="1:10" x14ac:dyDescent="0.2">
      <c r="C78" s="44"/>
      <c r="D78" s="44"/>
      <c r="F78" s="44"/>
      <c r="G78" s="44"/>
      <c r="H78" s="44"/>
      <c r="I78" s="4"/>
      <c r="J78" s="4"/>
    </row>
    <row r="79" spans="1:10" x14ac:dyDescent="0.2">
      <c r="B79" t="s">
        <v>14</v>
      </c>
      <c r="C79" s="44"/>
      <c r="D79" s="44"/>
      <c r="F79" s="44"/>
      <c r="G79" s="44"/>
      <c r="H79" s="44"/>
      <c r="I79" s="4"/>
      <c r="J79" s="4"/>
    </row>
    <row r="80" spans="1:10" x14ac:dyDescent="0.2">
      <c r="A80">
        <f>+A77+1</f>
        <v>38</v>
      </c>
      <c r="B80" t="s">
        <v>15</v>
      </c>
      <c r="C80" s="44"/>
      <c r="D80" s="44"/>
      <c r="F80" s="197"/>
      <c r="G80" s="197">
        <v>0</v>
      </c>
      <c r="H80" s="197"/>
      <c r="I80" s="4"/>
      <c r="J80" s="4"/>
    </row>
    <row r="81" spans="1:10" x14ac:dyDescent="0.2">
      <c r="A81">
        <f>+A80+1</f>
        <v>39</v>
      </c>
      <c r="B81" t="s">
        <v>22</v>
      </c>
      <c r="C81" s="44"/>
      <c r="D81" s="44"/>
      <c r="F81" s="201">
        <f>ROUND((+F82+F80)/2,6)</f>
        <v>0</v>
      </c>
      <c r="G81" s="201">
        <v>0</v>
      </c>
      <c r="H81" s="201"/>
      <c r="I81" s="4"/>
      <c r="J81" s="4"/>
    </row>
    <row r="82" spans="1:10" x14ac:dyDescent="0.2">
      <c r="A82">
        <f>+A81+1</f>
        <v>40</v>
      </c>
      <c r="B82" t="s">
        <v>23</v>
      </c>
      <c r="C82" s="44"/>
      <c r="D82" s="44"/>
      <c r="F82" s="197"/>
      <c r="G82" s="197">
        <v>0</v>
      </c>
      <c r="H82" s="197"/>
      <c r="I82" s="5"/>
      <c r="J82" s="4"/>
    </row>
    <row r="83" spans="1:10" x14ac:dyDescent="0.2">
      <c r="C83" s="44"/>
      <c r="D83" s="44"/>
      <c r="E83" s="44"/>
      <c r="F83" s="44"/>
      <c r="G83" s="44"/>
      <c r="H83" s="44"/>
      <c r="I83" s="50"/>
      <c r="J83" s="4"/>
    </row>
    <row r="84" spans="1:10" x14ac:dyDescent="0.2">
      <c r="C84" s="44"/>
      <c r="D84" s="44"/>
      <c r="E84" s="44"/>
      <c r="F84" s="44"/>
      <c r="G84" s="44"/>
      <c r="H84" s="44"/>
      <c r="I84" s="5"/>
      <c r="J84" s="4"/>
    </row>
    <row r="85" spans="1:10" x14ac:dyDescent="0.2">
      <c r="C85" s="44"/>
      <c r="D85" s="44"/>
      <c r="E85" s="44"/>
      <c r="F85" s="44"/>
      <c r="G85" s="44"/>
      <c r="H85" s="44"/>
      <c r="I85" s="4"/>
      <c r="J85" s="4"/>
    </row>
    <row r="86" spans="1:10" x14ac:dyDescent="0.2">
      <c r="C86" s="44"/>
      <c r="D86" s="44"/>
      <c r="E86" s="44"/>
      <c r="F86" s="44"/>
      <c r="G86" s="44"/>
      <c r="H86" s="44"/>
      <c r="I86" s="4"/>
      <c r="J86" s="4"/>
    </row>
    <row r="87" spans="1:10" x14ac:dyDescent="0.2">
      <c r="B87" s="277"/>
      <c r="C87" s="278"/>
      <c r="D87" s="278"/>
      <c r="E87" s="278"/>
      <c r="F87" s="278"/>
      <c r="G87" s="278"/>
      <c r="H87" s="278"/>
      <c r="I87" s="278"/>
      <c r="J87" s="4"/>
    </row>
    <row r="88" spans="1:10" x14ac:dyDescent="0.2">
      <c r="A88">
        <f>+A82+1</f>
        <v>41</v>
      </c>
      <c r="B88" t="s">
        <v>24</v>
      </c>
      <c r="C88" s="44">
        <f>+C10+C37+C64</f>
        <v>0</v>
      </c>
      <c r="D88" s="44"/>
      <c r="E88" s="44">
        <f>+E10+E37+E64</f>
        <v>361164.14000000025</v>
      </c>
      <c r="F88" s="44">
        <f>+D10+F37+F64</f>
        <v>-298212.00999999989</v>
      </c>
      <c r="G88" s="44">
        <f>+G10+G37+G64</f>
        <v>4022761.3599999994</v>
      </c>
      <c r="H88" s="44"/>
      <c r="I88" s="44"/>
      <c r="J88" s="44"/>
    </row>
    <row r="89" spans="1:10" x14ac:dyDescent="0.2">
      <c r="C89" s="44"/>
      <c r="D89" s="44"/>
      <c r="E89" s="44"/>
      <c r="F89" s="44"/>
      <c r="G89" s="44"/>
      <c r="H89" s="44"/>
      <c r="I89" s="44"/>
      <c r="J89" s="44"/>
    </row>
    <row r="90" spans="1:10" x14ac:dyDescent="0.2">
      <c r="B90" s="14"/>
      <c r="C90" s="44"/>
      <c r="D90" s="44"/>
      <c r="E90" s="44"/>
      <c r="F90" s="44"/>
      <c r="G90" s="44"/>
      <c r="H90" s="44"/>
      <c r="I90" s="44"/>
      <c r="J90" s="44"/>
    </row>
    <row r="91" spans="1:10" x14ac:dyDescent="0.2">
      <c r="I91" s="4"/>
      <c r="J91" s="4"/>
    </row>
    <row r="92" spans="1:10" x14ac:dyDescent="0.2">
      <c r="I92" s="4"/>
      <c r="J92" s="4"/>
    </row>
  </sheetData>
  <mergeCells count="2">
    <mergeCell ref="K4:O4"/>
    <mergeCell ref="K32:O32"/>
  </mergeCells>
  <phoneticPr fontId="0" type="noConversion"/>
  <printOptions horizontalCentered="1" verticalCentered="1" gridLines="1"/>
  <pageMargins left="0.75" right="0" top="0.5" bottom="0" header="0.35" footer="0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6"/>
  <sheetViews>
    <sheetView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" bestFit="1" customWidth="1"/>
    <col min="8" max="8" width="10" bestFit="1" customWidth="1"/>
    <col min="9" max="13" width="16" bestFit="1" customWidth="1"/>
  </cols>
  <sheetData>
    <row r="1" spans="1:14" x14ac:dyDescent="0.2">
      <c r="A1" s="14">
        <v>1998</v>
      </c>
    </row>
    <row r="6" spans="1:14" x14ac:dyDescent="0.2">
      <c r="A6" t="s">
        <v>0</v>
      </c>
      <c r="L6" t="s">
        <v>1</v>
      </c>
      <c r="M6" s="2"/>
    </row>
    <row r="7" spans="1:14" x14ac:dyDescent="0.2">
      <c r="A7" t="s">
        <v>111</v>
      </c>
      <c r="L7" s="1" t="s">
        <v>112</v>
      </c>
      <c r="M7" s="2">
        <f>+'Y1'!M7</f>
        <v>24</v>
      </c>
    </row>
    <row r="11" spans="1:14" x14ac:dyDescent="0.2">
      <c r="A11" t="s">
        <v>113</v>
      </c>
      <c r="B11" s="1" t="s">
        <v>57</v>
      </c>
      <c r="C11" s="1" t="s">
        <v>58</v>
      </c>
      <c r="D11" s="1" t="s">
        <v>59</v>
      </c>
      <c r="E11" s="1" t="s">
        <v>60</v>
      </c>
      <c r="F11" s="1" t="s">
        <v>61</v>
      </c>
      <c r="G11" s="1" t="s">
        <v>4</v>
      </c>
      <c r="H11" s="1" t="s">
        <v>61</v>
      </c>
      <c r="I11" s="1" t="s">
        <v>62</v>
      </c>
      <c r="J11" s="12" t="s">
        <v>63</v>
      </c>
      <c r="K11" s="1" t="s">
        <v>64</v>
      </c>
      <c r="L11" s="1"/>
      <c r="M11" s="1" t="s">
        <v>65</v>
      </c>
      <c r="N11" s="1"/>
    </row>
    <row r="12" spans="1:14" x14ac:dyDescent="0.2">
      <c r="B12" s="1" t="s">
        <v>66</v>
      </c>
      <c r="C12" s="1" t="s">
        <v>66</v>
      </c>
      <c r="D12" s="1" t="s">
        <v>67</v>
      </c>
      <c r="E12" s="1" t="s">
        <v>27</v>
      </c>
      <c r="F12" s="1" t="s">
        <v>100</v>
      </c>
      <c r="G12" s="1" t="s">
        <v>69</v>
      </c>
      <c r="H12" s="1" t="s">
        <v>70</v>
      </c>
      <c r="I12" s="1" t="s">
        <v>71</v>
      </c>
      <c r="J12" s="12" t="s">
        <v>72</v>
      </c>
      <c r="K12" s="1" t="s">
        <v>72</v>
      </c>
      <c r="L12" s="1" t="s">
        <v>73</v>
      </c>
      <c r="M12" s="1" t="s">
        <v>74</v>
      </c>
      <c r="N12" s="1"/>
    </row>
    <row r="13" spans="1:14" ht="25.5" x14ac:dyDescent="0.2">
      <c r="A13" t="s">
        <v>28</v>
      </c>
      <c r="B13" s="1" t="s">
        <v>75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101</v>
      </c>
      <c r="H13" s="1" t="s">
        <v>80</v>
      </c>
      <c r="I13" s="1" t="s">
        <v>81</v>
      </c>
      <c r="J13" s="8" t="str">
        <f>+'Y1'!J13</f>
        <v>(EX. C,                            PG.23C)</v>
      </c>
      <c r="K13" s="1" t="s">
        <v>82</v>
      </c>
      <c r="L13" s="1" t="s">
        <v>72</v>
      </c>
      <c r="M13" s="1" t="s">
        <v>83</v>
      </c>
      <c r="N13" s="1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"/>
    </row>
    <row r="15" spans="1:14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  <c r="N15" s="1"/>
    </row>
    <row r="16" spans="1:14" x14ac:dyDescent="0.2">
      <c r="A16" t="s">
        <v>29</v>
      </c>
    </row>
    <row r="17" spans="1:13" x14ac:dyDescent="0.2">
      <c r="A17" t="s">
        <v>30</v>
      </c>
      <c r="B17" s="3">
        <v>544</v>
      </c>
      <c r="C17" s="11">
        <v>1768</v>
      </c>
      <c r="D17" s="9">
        <v>184.44</v>
      </c>
      <c r="E17" s="10">
        <v>100334</v>
      </c>
      <c r="F17" s="3">
        <v>682</v>
      </c>
      <c r="G17" s="11">
        <v>1205776</v>
      </c>
      <c r="H17" s="9">
        <v>3.1119999999999998E-2</v>
      </c>
      <c r="I17" s="10">
        <v>37524</v>
      </c>
      <c r="J17" s="10">
        <v>11304</v>
      </c>
      <c r="K17" s="3" t="s">
        <v>38</v>
      </c>
      <c r="L17" s="10">
        <v>11304</v>
      </c>
      <c r="M17" s="10">
        <v>149162</v>
      </c>
    </row>
    <row r="18" spans="1:13" x14ac:dyDescent="0.2">
      <c r="A18" t="s">
        <v>31</v>
      </c>
      <c r="B18" s="3">
        <v>122</v>
      </c>
      <c r="C18" s="3">
        <v>565</v>
      </c>
      <c r="D18" s="9">
        <v>1132.92</v>
      </c>
      <c r="E18" s="10">
        <v>138216</v>
      </c>
      <c r="F18" s="11">
        <v>2784</v>
      </c>
      <c r="G18" s="11">
        <v>1572960</v>
      </c>
      <c r="H18" s="9">
        <v>3.1109999999999999E-2</v>
      </c>
      <c r="I18" s="10">
        <v>48935</v>
      </c>
      <c r="J18" s="10">
        <v>0</v>
      </c>
      <c r="K18" s="10">
        <v>6911</v>
      </c>
      <c r="L18" s="10">
        <v>6911</v>
      </c>
      <c r="M18" s="10">
        <v>194062</v>
      </c>
    </row>
    <row r="19" spans="1:13" x14ac:dyDescent="0.2">
      <c r="A19" t="s">
        <v>32</v>
      </c>
      <c r="B19" s="3">
        <v>24</v>
      </c>
      <c r="C19" s="3">
        <v>203</v>
      </c>
      <c r="D19" s="9">
        <v>112.92</v>
      </c>
      <c r="E19" s="10">
        <v>2710</v>
      </c>
      <c r="F19" s="3">
        <v>340</v>
      </c>
      <c r="G19" s="11">
        <v>69020</v>
      </c>
      <c r="H19" s="9">
        <v>3.124E-2</v>
      </c>
      <c r="I19" s="10">
        <v>2156</v>
      </c>
      <c r="J19" s="10">
        <v>40</v>
      </c>
      <c r="K19" s="3" t="s">
        <v>38</v>
      </c>
      <c r="L19" s="10">
        <v>40</v>
      </c>
      <c r="M19" s="10">
        <v>4906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9">
        <v>0</v>
      </c>
      <c r="E21" s="10">
        <v>0</v>
      </c>
      <c r="F21" s="3">
        <v>32</v>
      </c>
      <c r="G21" s="11">
        <v>8608</v>
      </c>
      <c r="H21" s="9">
        <v>3.091E-2</v>
      </c>
      <c r="I21" s="10">
        <v>266</v>
      </c>
      <c r="J21" s="10">
        <v>0</v>
      </c>
      <c r="K21" s="10">
        <v>0</v>
      </c>
      <c r="L21" s="10">
        <v>0</v>
      </c>
      <c r="M21" s="10">
        <v>266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21</v>
      </c>
      <c r="C23" s="3">
        <v>887</v>
      </c>
      <c r="D23" s="9">
        <v>70.099999999999994</v>
      </c>
      <c r="E23" s="10">
        <v>1472</v>
      </c>
      <c r="F23" s="11">
        <v>1094</v>
      </c>
      <c r="G23" s="11">
        <v>970378</v>
      </c>
      <c r="H23" s="9">
        <v>3.1140000000000001E-2</v>
      </c>
      <c r="I23" s="10">
        <v>30218</v>
      </c>
      <c r="J23" s="10">
        <v>152</v>
      </c>
      <c r="K23" s="3" t="s">
        <v>38</v>
      </c>
      <c r="L23" s="10">
        <v>152</v>
      </c>
      <c r="M23" s="10">
        <v>31842</v>
      </c>
    </row>
    <row r="24" spans="1:13" x14ac:dyDescent="0.2">
      <c r="A24" t="s">
        <v>35</v>
      </c>
      <c r="B24" s="3">
        <v>26</v>
      </c>
      <c r="C24" s="3">
        <v>848</v>
      </c>
      <c r="D24" s="9">
        <v>70</v>
      </c>
      <c r="E24" s="10">
        <v>1820</v>
      </c>
      <c r="F24" s="3">
        <v>442</v>
      </c>
      <c r="G24" s="11">
        <v>374816</v>
      </c>
      <c r="H24" s="9">
        <v>3.116E-2</v>
      </c>
      <c r="I24" s="10">
        <v>11679</v>
      </c>
      <c r="J24" s="10">
        <v>757</v>
      </c>
      <c r="K24" s="3" t="s">
        <v>38</v>
      </c>
      <c r="L24" s="10">
        <v>757</v>
      </c>
      <c r="M24" s="10">
        <v>14256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66</v>
      </c>
      <c r="C26" s="3">
        <v>616</v>
      </c>
      <c r="D26" s="9">
        <v>535.29999999999995</v>
      </c>
      <c r="E26" s="10">
        <v>35330</v>
      </c>
      <c r="F26" s="11">
        <v>1250</v>
      </c>
      <c r="G26" s="11">
        <v>770000</v>
      </c>
      <c r="H26" s="9">
        <v>3.1099999999999999E-2</v>
      </c>
      <c r="I26" s="10">
        <v>23947</v>
      </c>
      <c r="J26" s="10">
        <v>2145</v>
      </c>
      <c r="K26" s="3" t="s">
        <v>38</v>
      </c>
      <c r="L26" s="10">
        <v>2145</v>
      </c>
      <c r="M26" s="10">
        <v>61422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0</v>
      </c>
      <c r="C28" s="3">
        <v>82</v>
      </c>
      <c r="D28" s="3" t="s">
        <v>38</v>
      </c>
      <c r="E28" s="10">
        <v>0</v>
      </c>
      <c r="F28" s="3">
        <v>0</v>
      </c>
      <c r="G28" s="3">
        <v>0</v>
      </c>
      <c r="H28" s="3" t="s">
        <v>38</v>
      </c>
      <c r="I28" s="3"/>
      <c r="J28" s="10">
        <v>0</v>
      </c>
      <c r="K28" s="10">
        <v>0</v>
      </c>
      <c r="L28" s="10">
        <v>0</v>
      </c>
      <c r="M28" s="10">
        <v>0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90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803</v>
      </c>
      <c r="C30" s="11">
        <v>5238</v>
      </c>
      <c r="D30" s="3"/>
      <c r="E30" s="10">
        <v>279882</v>
      </c>
      <c r="F30" s="3"/>
      <c r="G30" s="11">
        <v>4971558</v>
      </c>
      <c r="H30" s="3"/>
      <c r="I30" s="10">
        <v>154725</v>
      </c>
      <c r="J30" s="10">
        <v>14398</v>
      </c>
      <c r="K30" s="10">
        <v>6911</v>
      </c>
      <c r="L30" s="10">
        <v>21309</v>
      </c>
      <c r="M30" s="10">
        <v>455916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93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204</v>
      </c>
      <c r="C35" s="3">
        <v>597</v>
      </c>
      <c r="D35" s="9">
        <v>194.13</v>
      </c>
      <c r="E35" s="10">
        <v>39602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1980</v>
      </c>
      <c r="L35" s="10">
        <v>1980</v>
      </c>
      <c r="M35" s="10">
        <v>41582</v>
      </c>
    </row>
    <row r="36" spans="1:13" x14ac:dyDescent="0.2">
      <c r="A36" t="s">
        <v>42</v>
      </c>
      <c r="B36" s="3">
        <v>28</v>
      </c>
      <c r="C36" s="3">
        <v>60</v>
      </c>
      <c r="D36" s="9">
        <v>1600</v>
      </c>
      <c r="E36" s="10">
        <v>44800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2240</v>
      </c>
      <c r="L36" s="10">
        <v>2240</v>
      </c>
      <c r="M36" s="10">
        <v>47040</v>
      </c>
    </row>
    <row r="37" spans="1:13" x14ac:dyDescent="0.2">
      <c r="A37" t="s">
        <v>43</v>
      </c>
      <c r="B37" s="3">
        <v>8</v>
      </c>
      <c r="C37" s="3">
        <v>16</v>
      </c>
      <c r="D37" s="9">
        <v>5581.5</v>
      </c>
      <c r="E37" s="10">
        <v>44652</v>
      </c>
      <c r="F37" s="11">
        <v>22200</v>
      </c>
      <c r="G37" s="11">
        <v>355200</v>
      </c>
      <c r="H37" s="9">
        <v>4.2349999999999999E-2</v>
      </c>
      <c r="I37" s="10">
        <v>15043</v>
      </c>
      <c r="J37" s="10">
        <v>6506</v>
      </c>
      <c r="K37" s="3" t="s">
        <v>38</v>
      </c>
      <c r="L37" s="10">
        <v>6506</v>
      </c>
      <c r="M37" s="10">
        <v>66201</v>
      </c>
    </row>
    <row r="38" spans="1:13" x14ac:dyDescent="0.2">
      <c r="A38" t="s">
        <v>44</v>
      </c>
      <c r="B38" s="3">
        <v>1</v>
      </c>
      <c r="C38" s="3">
        <v>1</v>
      </c>
      <c r="D38" s="9">
        <v>4564</v>
      </c>
      <c r="E38" s="10">
        <v>4564</v>
      </c>
      <c r="F38" s="11">
        <v>15300</v>
      </c>
      <c r="G38" s="11">
        <v>15300</v>
      </c>
      <c r="H38" s="9">
        <v>4.2770000000000002E-2</v>
      </c>
      <c r="I38" s="10">
        <v>654</v>
      </c>
      <c r="J38" s="10">
        <v>29</v>
      </c>
      <c r="K38" s="10">
        <v>0</v>
      </c>
      <c r="L38" s="10">
        <v>29</v>
      </c>
      <c r="M38" s="10">
        <v>5247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90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241</v>
      </c>
      <c r="C40" s="3">
        <v>674</v>
      </c>
      <c r="D40" s="3"/>
      <c r="E40" s="10">
        <v>133618</v>
      </c>
      <c r="F40" s="3"/>
      <c r="G40" s="11">
        <v>370500</v>
      </c>
      <c r="H40" s="3"/>
      <c r="I40" s="10">
        <v>15697</v>
      </c>
      <c r="J40" s="10">
        <v>6535</v>
      </c>
      <c r="K40" s="10">
        <v>4220</v>
      </c>
      <c r="L40" s="10">
        <v>10755</v>
      </c>
      <c r="M40" s="10">
        <v>160070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93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12</v>
      </c>
      <c r="C46" s="3">
        <v>51</v>
      </c>
      <c r="D46" s="9">
        <v>246.08</v>
      </c>
      <c r="E46" s="10">
        <v>2953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148</v>
      </c>
      <c r="L46" s="10">
        <v>148</v>
      </c>
      <c r="M46" s="10">
        <v>3101</v>
      </c>
    </row>
    <row r="47" spans="1:13" x14ac:dyDescent="0.2">
      <c r="A47" t="s">
        <v>48</v>
      </c>
      <c r="B47" s="3">
        <v>1</v>
      </c>
      <c r="C47" s="3">
        <v>3</v>
      </c>
      <c r="D47" s="9">
        <v>1800</v>
      </c>
      <c r="E47" s="10">
        <v>1800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90</v>
      </c>
      <c r="L47" s="10">
        <v>90</v>
      </c>
      <c r="M47" s="10">
        <v>1890</v>
      </c>
    </row>
    <row r="48" spans="1:13" x14ac:dyDescent="0.2">
      <c r="A48" t="s">
        <v>49</v>
      </c>
      <c r="B48" s="3">
        <v>0</v>
      </c>
      <c r="C48" s="3">
        <v>0</v>
      </c>
      <c r="D48" s="9">
        <v>0</v>
      </c>
      <c r="E48" s="10">
        <v>1338</v>
      </c>
      <c r="F48" s="11">
        <v>29250</v>
      </c>
      <c r="G48" s="3">
        <v>0</v>
      </c>
      <c r="H48" s="9">
        <v>3.653E-2</v>
      </c>
      <c r="I48" s="10">
        <v>0</v>
      </c>
      <c r="J48" s="10">
        <v>0</v>
      </c>
      <c r="K48" s="10">
        <v>67</v>
      </c>
      <c r="L48" s="10">
        <v>67</v>
      </c>
      <c r="M48" s="10">
        <v>1405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11">
        <v>82400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90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13</v>
      </c>
      <c r="C51" s="3">
        <v>54</v>
      </c>
      <c r="D51" s="3"/>
      <c r="E51" s="10">
        <v>6091</v>
      </c>
      <c r="F51" s="3"/>
      <c r="G51" s="3">
        <v>0</v>
      </c>
      <c r="H51" s="3"/>
      <c r="I51" s="10">
        <v>0</v>
      </c>
      <c r="J51" s="10">
        <v>0</v>
      </c>
      <c r="K51" s="10">
        <v>305</v>
      </c>
      <c r="L51" s="10">
        <v>305</v>
      </c>
      <c r="M51" s="10">
        <v>6396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93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11">
        <v>1057</v>
      </c>
      <c r="C53" s="11">
        <v>5966</v>
      </c>
      <c r="D53" s="3"/>
      <c r="E53" s="10">
        <v>419591</v>
      </c>
      <c r="F53" s="3"/>
      <c r="G53" s="11">
        <v>5342058</v>
      </c>
      <c r="H53" s="3"/>
      <c r="I53" s="10">
        <v>170422</v>
      </c>
      <c r="J53" s="10">
        <v>20933</v>
      </c>
      <c r="K53" s="10">
        <v>11436</v>
      </c>
      <c r="L53" s="10">
        <v>32369</v>
      </c>
      <c r="M53" s="10">
        <v>622382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93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5" spans="1:13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t="s">
        <v>108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6"/>
  <sheetViews>
    <sheetView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3" x14ac:dyDescent="0.2">
      <c r="A1" s="14">
        <v>1998</v>
      </c>
    </row>
    <row r="6" spans="1:13" x14ac:dyDescent="0.2">
      <c r="A6" t="s">
        <v>0</v>
      </c>
      <c r="L6" t="s">
        <v>1</v>
      </c>
    </row>
    <row r="7" spans="1:13" x14ac:dyDescent="0.2">
      <c r="A7" t="s">
        <v>111</v>
      </c>
      <c r="L7" s="1" t="s">
        <v>114</v>
      </c>
      <c r="M7" s="2">
        <f>+'Y1'!M7</f>
        <v>24</v>
      </c>
    </row>
    <row r="11" spans="1:13" x14ac:dyDescent="0.2">
      <c r="A11" t="s">
        <v>115</v>
      </c>
      <c r="B11" s="8" t="s">
        <v>57</v>
      </c>
      <c r="C11" s="8" t="s">
        <v>58</v>
      </c>
      <c r="D11" s="8" t="s">
        <v>59</v>
      </c>
      <c r="E11" s="8" t="s">
        <v>60</v>
      </c>
      <c r="F11" s="8" t="s">
        <v>61</v>
      </c>
      <c r="G11" s="8" t="s">
        <v>4</v>
      </c>
      <c r="H11" s="8" t="s">
        <v>61</v>
      </c>
      <c r="I11" s="8" t="s">
        <v>62</v>
      </c>
      <c r="J11" s="12" t="s">
        <v>63</v>
      </c>
      <c r="K11" s="8" t="s">
        <v>64</v>
      </c>
      <c r="L11" s="8"/>
      <c r="M11" s="8" t="s">
        <v>65</v>
      </c>
    </row>
    <row r="12" spans="1:13" x14ac:dyDescent="0.2">
      <c r="B12" s="8" t="s">
        <v>66</v>
      </c>
      <c r="C12" s="8" t="s">
        <v>66</v>
      </c>
      <c r="D12" s="8" t="s">
        <v>67</v>
      </c>
      <c r="E12" s="8" t="s">
        <v>27</v>
      </c>
      <c r="F12" s="8" t="s">
        <v>100</v>
      </c>
      <c r="G12" s="8" t="s">
        <v>69</v>
      </c>
      <c r="H12" s="8" t="s">
        <v>70</v>
      </c>
      <c r="I12" s="8" t="s">
        <v>71</v>
      </c>
      <c r="J12" s="12" t="s">
        <v>72</v>
      </c>
      <c r="K12" s="8" t="s">
        <v>72</v>
      </c>
      <c r="L12" s="8" t="s">
        <v>73</v>
      </c>
      <c r="M12" s="8" t="s">
        <v>74</v>
      </c>
    </row>
    <row r="13" spans="1:13" ht="25.5" x14ac:dyDescent="0.2">
      <c r="A13" t="s">
        <v>28</v>
      </c>
      <c r="B13" s="13" t="s">
        <v>75</v>
      </c>
      <c r="C13" s="13" t="s">
        <v>75</v>
      </c>
      <c r="D13" s="13" t="s">
        <v>76</v>
      </c>
      <c r="E13" s="13" t="s">
        <v>77</v>
      </c>
      <c r="F13" s="13" t="s">
        <v>78</v>
      </c>
      <c r="G13" s="13" t="s">
        <v>101</v>
      </c>
      <c r="H13" s="13" t="s">
        <v>80</v>
      </c>
      <c r="I13" s="13" t="s">
        <v>81</v>
      </c>
      <c r="J13" s="8" t="str">
        <f>+'Y1'!J13</f>
        <v>(EX. C,                            PG.23C)</v>
      </c>
      <c r="K13" s="13" t="s">
        <v>82</v>
      </c>
      <c r="L13" s="13" t="s">
        <v>72</v>
      </c>
      <c r="M13" s="13" t="s">
        <v>83</v>
      </c>
    </row>
    <row r="14" spans="1:13" x14ac:dyDescent="0.2">
      <c r="B14" s="13">
        <v>-1</v>
      </c>
      <c r="C14" s="13">
        <v>-2</v>
      </c>
      <c r="D14" s="13">
        <v>-3</v>
      </c>
      <c r="E14" s="13">
        <v>-4</v>
      </c>
      <c r="F14" s="13">
        <v>-5</v>
      </c>
      <c r="G14" s="13">
        <v>-6</v>
      </c>
      <c r="H14" s="13">
        <v>-7</v>
      </c>
      <c r="I14" s="13">
        <v>-8</v>
      </c>
      <c r="J14" s="13">
        <v>-9</v>
      </c>
      <c r="K14" s="13">
        <v>-10</v>
      </c>
      <c r="L14" s="13">
        <v>-11</v>
      </c>
      <c r="M14" s="13">
        <v>-12</v>
      </c>
    </row>
    <row r="15" spans="1:13" x14ac:dyDescent="0.2">
      <c r="B15" s="8"/>
      <c r="C15" s="8"/>
      <c r="D15" s="8"/>
      <c r="E15" s="8" t="s">
        <v>84</v>
      </c>
      <c r="F15" s="8"/>
      <c r="G15" s="8" t="s">
        <v>85</v>
      </c>
      <c r="H15" s="8"/>
      <c r="I15" s="8" t="s">
        <v>86</v>
      </c>
      <c r="J15" s="8"/>
      <c r="K15" s="8" t="s">
        <v>87</v>
      </c>
      <c r="L15" s="8" t="s">
        <v>88</v>
      </c>
      <c r="M15" s="8" t="s">
        <v>89</v>
      </c>
    </row>
    <row r="16" spans="1:13" x14ac:dyDescent="0.2">
      <c r="A16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t="s">
        <v>30</v>
      </c>
      <c r="B17" s="3">
        <v>448</v>
      </c>
      <c r="C17" s="11">
        <v>2277</v>
      </c>
      <c r="D17" s="9">
        <v>301.3</v>
      </c>
      <c r="E17" s="10">
        <v>134982</v>
      </c>
      <c r="F17" s="3">
        <v>682</v>
      </c>
      <c r="G17" s="11">
        <v>1552914</v>
      </c>
      <c r="H17" s="9">
        <v>3.1119999999999998E-2</v>
      </c>
      <c r="I17" s="10">
        <v>48327</v>
      </c>
      <c r="J17" s="10">
        <v>9309</v>
      </c>
      <c r="K17" s="10">
        <v>0</v>
      </c>
      <c r="L17" s="10">
        <v>9309</v>
      </c>
      <c r="M17" s="10">
        <v>192618</v>
      </c>
    </row>
    <row r="18" spans="1:13" x14ac:dyDescent="0.2">
      <c r="A18" t="s">
        <v>31</v>
      </c>
      <c r="B18" s="3">
        <v>131</v>
      </c>
      <c r="C18" s="3">
        <v>697</v>
      </c>
      <c r="D18" s="9">
        <v>1187.51</v>
      </c>
      <c r="E18" s="10">
        <v>155564</v>
      </c>
      <c r="F18" s="11">
        <v>2784</v>
      </c>
      <c r="G18" s="11">
        <v>1940448</v>
      </c>
      <c r="H18" s="9">
        <v>3.1109999999999999E-2</v>
      </c>
      <c r="I18" s="10">
        <v>60367</v>
      </c>
      <c r="J18" s="10">
        <v>0</v>
      </c>
      <c r="K18" s="10">
        <v>7778</v>
      </c>
      <c r="L18" s="10">
        <v>7778</v>
      </c>
      <c r="M18" s="10">
        <v>223709</v>
      </c>
    </row>
    <row r="19" spans="1:13" x14ac:dyDescent="0.2">
      <c r="A19" t="s">
        <v>32</v>
      </c>
      <c r="B19" s="3">
        <v>42</v>
      </c>
      <c r="C19" s="3">
        <v>238</v>
      </c>
      <c r="D19" s="9">
        <v>139.62</v>
      </c>
      <c r="E19" s="10">
        <v>5864</v>
      </c>
      <c r="F19" s="3">
        <v>340</v>
      </c>
      <c r="G19" s="11">
        <v>80920</v>
      </c>
      <c r="H19" s="9">
        <v>3.124E-2</v>
      </c>
      <c r="I19" s="10">
        <v>2528</v>
      </c>
      <c r="J19" s="10">
        <v>70</v>
      </c>
      <c r="K19" s="10">
        <v>0</v>
      </c>
      <c r="L19" s="10">
        <v>70</v>
      </c>
      <c r="M19" s="10">
        <v>8462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9">
        <v>0</v>
      </c>
      <c r="E21" s="10">
        <v>0</v>
      </c>
      <c r="F21" s="3">
        <v>32</v>
      </c>
      <c r="G21" s="11">
        <v>8608</v>
      </c>
      <c r="H21" s="9">
        <v>3.091E-2</v>
      </c>
      <c r="I21" s="10">
        <v>266</v>
      </c>
      <c r="J21" s="10">
        <v>0</v>
      </c>
      <c r="K21" s="10">
        <v>0</v>
      </c>
      <c r="L21" s="10">
        <v>0</v>
      </c>
      <c r="M21" s="10">
        <v>266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108</v>
      </c>
      <c r="C23" s="3">
        <v>940</v>
      </c>
      <c r="D23" s="9">
        <v>147.44999999999999</v>
      </c>
      <c r="E23" s="10">
        <v>15925</v>
      </c>
      <c r="F23" s="11">
        <v>1094</v>
      </c>
      <c r="G23" s="11">
        <v>1028360</v>
      </c>
      <c r="H23" s="9">
        <v>3.1140000000000001E-2</v>
      </c>
      <c r="I23" s="10">
        <v>32023</v>
      </c>
      <c r="J23" s="10">
        <v>780</v>
      </c>
      <c r="K23" s="10">
        <v>0</v>
      </c>
      <c r="L23" s="10">
        <v>780</v>
      </c>
      <c r="M23" s="10">
        <v>48728</v>
      </c>
    </row>
    <row r="24" spans="1:13" x14ac:dyDescent="0.2">
      <c r="A24" t="s">
        <v>35</v>
      </c>
      <c r="B24" s="3">
        <v>64</v>
      </c>
      <c r="C24" s="3">
        <v>894</v>
      </c>
      <c r="D24" s="9">
        <v>72.27</v>
      </c>
      <c r="E24" s="10">
        <v>4625</v>
      </c>
      <c r="F24" s="3">
        <v>442</v>
      </c>
      <c r="G24" s="11">
        <v>395148</v>
      </c>
      <c r="H24" s="9">
        <v>3.116E-2</v>
      </c>
      <c r="I24" s="10">
        <v>12313</v>
      </c>
      <c r="J24" s="10">
        <v>1863</v>
      </c>
      <c r="K24" s="10">
        <v>0</v>
      </c>
      <c r="L24" s="10">
        <v>1863</v>
      </c>
      <c r="M24" s="10">
        <v>18801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173</v>
      </c>
      <c r="C26" s="3">
        <v>764</v>
      </c>
      <c r="D26" s="9">
        <v>514.5</v>
      </c>
      <c r="E26" s="10">
        <v>89009</v>
      </c>
      <c r="F26" s="11">
        <v>1250</v>
      </c>
      <c r="G26" s="11">
        <v>955000</v>
      </c>
      <c r="H26" s="9">
        <v>3.1099999999999999E-2</v>
      </c>
      <c r="I26" s="10">
        <v>29701</v>
      </c>
      <c r="J26" s="10">
        <v>5623</v>
      </c>
      <c r="K26" s="10">
        <v>0</v>
      </c>
      <c r="L26" s="10">
        <v>5623</v>
      </c>
      <c r="M26" s="10">
        <v>124333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37</v>
      </c>
      <c r="B28" s="3">
        <v>33</v>
      </c>
      <c r="C28" s="3">
        <v>11</v>
      </c>
      <c r="D28" s="9">
        <v>549.45000000000005</v>
      </c>
      <c r="E28" s="10">
        <v>18132</v>
      </c>
      <c r="F28" s="3">
        <v>0</v>
      </c>
      <c r="G28" s="3">
        <v>0</v>
      </c>
      <c r="H28" s="3" t="s">
        <v>38</v>
      </c>
      <c r="I28" s="3"/>
      <c r="J28" s="10">
        <v>0</v>
      </c>
      <c r="K28" s="10">
        <v>907</v>
      </c>
      <c r="L28" s="10">
        <v>907</v>
      </c>
      <c r="M28" s="10">
        <v>19039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999</v>
      </c>
      <c r="C30" s="11">
        <v>6090</v>
      </c>
      <c r="D30" s="3"/>
      <c r="E30" s="10">
        <v>424101</v>
      </c>
      <c r="F30" s="3"/>
      <c r="G30" s="11">
        <v>5961398</v>
      </c>
      <c r="H30" s="3"/>
      <c r="I30" s="10">
        <v>185525</v>
      </c>
      <c r="J30" s="10">
        <v>17645</v>
      </c>
      <c r="K30" s="10">
        <v>8685</v>
      </c>
      <c r="L30" s="10">
        <v>26330</v>
      </c>
      <c r="M30" s="10">
        <v>635956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178</v>
      </c>
      <c r="C35" s="3">
        <v>795</v>
      </c>
      <c r="D35" s="9">
        <v>534.85</v>
      </c>
      <c r="E35" s="10">
        <v>95203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4760</v>
      </c>
      <c r="L35" s="10">
        <v>4760</v>
      </c>
      <c r="M35" s="10">
        <v>99963</v>
      </c>
    </row>
    <row r="36" spans="1:13" x14ac:dyDescent="0.2">
      <c r="A36" t="s">
        <v>42</v>
      </c>
      <c r="B36" s="3">
        <v>9</v>
      </c>
      <c r="C36" s="3">
        <v>73</v>
      </c>
      <c r="D36" s="9">
        <v>2800</v>
      </c>
      <c r="E36" s="10">
        <v>25200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1260</v>
      </c>
      <c r="L36" s="10">
        <v>1260</v>
      </c>
      <c r="M36" s="10">
        <v>26460</v>
      </c>
    </row>
    <row r="37" spans="1:13" x14ac:dyDescent="0.2">
      <c r="A37" t="s">
        <v>43</v>
      </c>
      <c r="B37" s="3">
        <v>29</v>
      </c>
      <c r="C37" s="3">
        <v>32</v>
      </c>
      <c r="D37" s="9">
        <v>1878.86</v>
      </c>
      <c r="E37" s="10">
        <v>54487</v>
      </c>
      <c r="F37" s="11">
        <v>22200</v>
      </c>
      <c r="G37" s="11">
        <v>710400</v>
      </c>
      <c r="H37" s="9">
        <v>4.2349999999999999E-2</v>
      </c>
      <c r="I37" s="10">
        <v>30085</v>
      </c>
      <c r="J37" s="10">
        <v>23585</v>
      </c>
      <c r="K37" s="10">
        <v>0</v>
      </c>
      <c r="L37" s="10">
        <v>23585</v>
      </c>
      <c r="M37" s="10">
        <v>108157</v>
      </c>
    </row>
    <row r="38" spans="1:13" x14ac:dyDescent="0.2">
      <c r="A38" t="s">
        <v>44</v>
      </c>
      <c r="B38" s="3">
        <v>5</v>
      </c>
      <c r="C38" s="3">
        <v>6</v>
      </c>
      <c r="D38" s="9">
        <v>1529.2</v>
      </c>
      <c r="E38" s="10">
        <v>7646</v>
      </c>
      <c r="F38" s="11">
        <v>15300</v>
      </c>
      <c r="G38" s="11">
        <v>91800</v>
      </c>
      <c r="H38" s="9">
        <v>4.2770000000000002E-2</v>
      </c>
      <c r="I38" s="10">
        <v>3926</v>
      </c>
      <c r="J38" s="10">
        <v>144</v>
      </c>
      <c r="K38" s="10">
        <v>0</v>
      </c>
      <c r="L38" s="10">
        <v>144</v>
      </c>
      <c r="M38" s="10">
        <v>11716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221</v>
      </c>
      <c r="C40" s="3">
        <v>906</v>
      </c>
      <c r="D40" s="3"/>
      <c r="E40" s="10">
        <v>182536</v>
      </c>
      <c r="F40" s="3"/>
      <c r="G40" s="11">
        <v>802200</v>
      </c>
      <c r="H40" s="3"/>
      <c r="I40" s="10">
        <v>34011</v>
      </c>
      <c r="J40" s="10">
        <v>23729</v>
      </c>
      <c r="K40" s="10">
        <v>6020</v>
      </c>
      <c r="L40" s="10">
        <v>29749</v>
      </c>
      <c r="M40" s="10">
        <v>246296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3</v>
      </c>
      <c r="C46" s="3">
        <v>59</v>
      </c>
      <c r="D46" s="9">
        <v>852.33</v>
      </c>
      <c r="E46" s="10">
        <v>2557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128</v>
      </c>
      <c r="L46" s="10">
        <v>128</v>
      </c>
      <c r="M46" s="10">
        <v>2685</v>
      </c>
    </row>
    <row r="47" spans="1:13" x14ac:dyDescent="0.2">
      <c r="A47" t="s">
        <v>48</v>
      </c>
      <c r="B47" s="3">
        <v>0</v>
      </c>
      <c r="C47" s="3">
        <v>4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1</v>
      </c>
      <c r="C48" s="3">
        <v>0</v>
      </c>
      <c r="D48" s="9">
        <v>0</v>
      </c>
      <c r="E48" s="10">
        <v>2430</v>
      </c>
      <c r="F48" s="11">
        <v>29250</v>
      </c>
      <c r="G48" s="3">
        <v>0</v>
      </c>
      <c r="H48" s="9">
        <v>3.653E-2</v>
      </c>
      <c r="I48" s="10">
        <v>0</v>
      </c>
      <c r="J48" s="10">
        <v>383</v>
      </c>
      <c r="K48" s="10">
        <v>0</v>
      </c>
      <c r="L48" s="10">
        <v>383</v>
      </c>
      <c r="M48" s="10">
        <v>2813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11">
        <v>82400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4</v>
      </c>
      <c r="C51" s="3">
        <v>63</v>
      </c>
      <c r="D51" s="3"/>
      <c r="E51" s="10">
        <v>4987</v>
      </c>
      <c r="F51" s="3"/>
      <c r="G51" s="3">
        <v>0</v>
      </c>
      <c r="H51" s="3"/>
      <c r="I51" s="10">
        <v>0</v>
      </c>
      <c r="J51" s="10">
        <v>383</v>
      </c>
      <c r="K51" s="10">
        <v>128</v>
      </c>
      <c r="L51" s="10">
        <v>511</v>
      </c>
      <c r="M51" s="10">
        <v>5498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11">
        <v>1224</v>
      </c>
      <c r="C53" s="11">
        <v>7059</v>
      </c>
      <c r="D53" s="3"/>
      <c r="E53" s="10">
        <v>611624</v>
      </c>
      <c r="F53" s="3"/>
      <c r="G53" s="11">
        <v>6763598</v>
      </c>
      <c r="H53" s="3"/>
      <c r="I53" s="10">
        <v>219536</v>
      </c>
      <c r="J53" s="10">
        <v>41757</v>
      </c>
      <c r="K53" s="10">
        <v>14833</v>
      </c>
      <c r="L53" s="10">
        <v>56590</v>
      </c>
      <c r="M53" s="10">
        <v>887750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108</v>
      </c>
    </row>
  </sheetData>
  <phoneticPr fontId="0" type="noConversion"/>
  <printOptions horizontalCentered="1" verticalCentered="1" gridLines="1"/>
  <pageMargins left="0" right="0" top="0" bottom="0" header="0" footer="0"/>
  <pageSetup scale="5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58"/>
  <sheetViews>
    <sheetView topLeftCell="A10" workbookViewId="0">
      <selection activeCell="O6" sqref="O6"/>
    </sheetView>
  </sheetViews>
  <sheetFormatPr defaultRowHeight="12.75" x14ac:dyDescent="0.2"/>
  <cols>
    <col min="1" max="1" width="42.7109375" customWidth="1"/>
    <col min="2" max="3" width="12.85546875" customWidth="1"/>
    <col min="4" max="4" width="18" customWidth="1"/>
    <col min="5" max="5" width="14.7109375" customWidth="1"/>
    <col min="6" max="6" width="13.85546875" bestFit="1" customWidth="1"/>
    <col min="7" max="7" width="18" customWidth="1"/>
    <col min="8" max="8" width="10" customWidth="1"/>
    <col min="9" max="9" width="12.140625" customWidth="1"/>
    <col min="10" max="10" width="16" bestFit="1" customWidth="1"/>
    <col min="11" max="11" width="14.42578125" customWidth="1"/>
    <col min="12" max="13" width="16" bestFit="1" customWidth="1"/>
  </cols>
  <sheetData>
    <row r="1" spans="1:14" x14ac:dyDescent="0.2">
      <c r="A1" s="14">
        <v>1999</v>
      </c>
    </row>
    <row r="6" spans="1:14" x14ac:dyDescent="0.2">
      <c r="A6" t="s">
        <v>0</v>
      </c>
      <c r="L6" t="s">
        <v>1</v>
      </c>
    </row>
    <row r="7" spans="1:14" x14ac:dyDescent="0.2">
      <c r="A7" t="s">
        <v>111</v>
      </c>
      <c r="L7" s="1" t="s">
        <v>116</v>
      </c>
      <c r="M7" s="2">
        <f>+'Y1'!M7</f>
        <v>24</v>
      </c>
    </row>
    <row r="11" spans="1:14" x14ac:dyDescent="0.2">
      <c r="A11" t="s">
        <v>117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4</v>
      </c>
      <c r="H11" s="12" t="s">
        <v>61</v>
      </c>
      <c r="I11" s="12" t="s">
        <v>62</v>
      </c>
      <c r="J11" s="12" t="s">
        <v>63</v>
      </c>
      <c r="K11" s="12" t="s">
        <v>64</v>
      </c>
      <c r="L11" s="12"/>
      <c r="M11" s="12" t="s">
        <v>65</v>
      </c>
      <c r="N11" s="12"/>
    </row>
    <row r="12" spans="1:14" x14ac:dyDescent="0.2">
      <c r="B12" s="12" t="s">
        <v>66</v>
      </c>
      <c r="C12" s="12" t="s">
        <v>66</v>
      </c>
      <c r="D12" s="12" t="s">
        <v>67</v>
      </c>
      <c r="E12" s="12" t="s">
        <v>27</v>
      </c>
      <c r="F12" s="12" t="s">
        <v>118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72</v>
      </c>
      <c r="L12" s="12" t="s">
        <v>73</v>
      </c>
      <c r="M12" s="12" t="s">
        <v>74</v>
      </c>
      <c r="N12" s="12"/>
    </row>
    <row r="13" spans="1:14" ht="25.5" x14ac:dyDescent="0.2">
      <c r="A13" t="s">
        <v>28</v>
      </c>
      <c r="B13" s="12" t="s">
        <v>75</v>
      </c>
      <c r="C13" s="12" t="s">
        <v>119</v>
      </c>
      <c r="D13" s="12" t="s">
        <v>76</v>
      </c>
      <c r="E13" s="12" t="s">
        <v>77</v>
      </c>
      <c r="F13" s="12" t="s">
        <v>78</v>
      </c>
      <c r="G13" s="12" t="s">
        <v>120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  <c r="N13" s="12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2"/>
    </row>
    <row r="15" spans="1:14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  <c r="N15" s="12"/>
    </row>
    <row r="16" spans="1:14" x14ac:dyDescent="0.2">
      <c r="A16" t="s">
        <v>29</v>
      </c>
    </row>
    <row r="17" spans="1:13" x14ac:dyDescent="0.2">
      <c r="A17" t="s">
        <v>30</v>
      </c>
      <c r="B17" s="3">
        <v>306</v>
      </c>
      <c r="C17" s="11">
        <v>2694</v>
      </c>
      <c r="D17" s="9">
        <v>312.58</v>
      </c>
      <c r="E17" s="10">
        <v>95650</v>
      </c>
      <c r="F17" s="3">
        <v>707</v>
      </c>
      <c r="G17" s="11">
        <v>1904658</v>
      </c>
      <c r="H17" s="9">
        <v>3.1119999999999998E-2</v>
      </c>
      <c r="I17" s="10">
        <v>59273</v>
      </c>
      <c r="J17" s="10">
        <v>10370</v>
      </c>
      <c r="K17" s="10">
        <v>0</v>
      </c>
      <c r="L17" s="10">
        <v>10370</v>
      </c>
      <c r="M17" s="10">
        <v>165293</v>
      </c>
    </row>
    <row r="18" spans="1:13" x14ac:dyDescent="0.2">
      <c r="A18" t="s">
        <v>31</v>
      </c>
      <c r="B18" s="3">
        <v>75</v>
      </c>
      <c r="C18" s="3">
        <v>773</v>
      </c>
      <c r="D18" s="9">
        <v>1907.41</v>
      </c>
      <c r="E18" s="10">
        <v>143056</v>
      </c>
      <c r="F18" s="3">
        <v>630</v>
      </c>
      <c r="G18" s="11">
        <v>486990</v>
      </c>
      <c r="H18" s="9">
        <v>3.1109999999999999E-2</v>
      </c>
      <c r="I18" s="10">
        <v>15150</v>
      </c>
      <c r="J18" s="10">
        <v>0</v>
      </c>
      <c r="K18" s="10">
        <v>7153</v>
      </c>
      <c r="L18" s="10">
        <v>7153</v>
      </c>
      <c r="M18" s="10">
        <v>165359</v>
      </c>
    </row>
    <row r="19" spans="1:13" x14ac:dyDescent="0.2">
      <c r="A19" t="s">
        <v>32</v>
      </c>
      <c r="B19" s="3">
        <v>12</v>
      </c>
      <c r="C19" s="3">
        <v>249</v>
      </c>
      <c r="D19" s="9">
        <v>112</v>
      </c>
      <c r="E19" s="10">
        <v>1344</v>
      </c>
      <c r="F19" s="3">
        <v>306</v>
      </c>
      <c r="G19" s="11">
        <v>76194</v>
      </c>
      <c r="H19" s="9">
        <v>3.124E-2</v>
      </c>
      <c r="I19" s="10">
        <v>2380</v>
      </c>
      <c r="J19" s="10">
        <v>60</v>
      </c>
      <c r="K19" s="10">
        <v>0</v>
      </c>
      <c r="L19" s="10">
        <v>60</v>
      </c>
      <c r="M19" s="10">
        <v>3784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269</v>
      </c>
      <c r="D21" s="9">
        <v>0</v>
      </c>
      <c r="E21" s="10">
        <v>0</v>
      </c>
      <c r="F21" s="3">
        <v>31</v>
      </c>
      <c r="G21" s="11">
        <v>8339</v>
      </c>
      <c r="H21" s="9">
        <v>3.091E-2</v>
      </c>
      <c r="I21" s="10">
        <v>258</v>
      </c>
      <c r="J21" s="10">
        <v>0</v>
      </c>
      <c r="K21" s="10">
        <v>0</v>
      </c>
      <c r="L21" s="10">
        <v>0</v>
      </c>
      <c r="M21" s="10">
        <v>258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99</v>
      </c>
      <c r="C23" s="11">
        <v>1002</v>
      </c>
      <c r="D23" s="9">
        <v>273.74</v>
      </c>
      <c r="E23" s="10">
        <v>27100</v>
      </c>
      <c r="F23" s="11">
        <v>1200</v>
      </c>
      <c r="G23" s="11">
        <v>1202400</v>
      </c>
      <c r="H23" s="9">
        <v>3.1140000000000001E-2</v>
      </c>
      <c r="I23" s="10">
        <v>37443</v>
      </c>
      <c r="J23" s="10">
        <v>4375</v>
      </c>
      <c r="K23" s="10">
        <v>0</v>
      </c>
      <c r="L23" s="10">
        <v>4375</v>
      </c>
      <c r="M23" s="10">
        <v>68918</v>
      </c>
    </row>
    <row r="24" spans="1:13" x14ac:dyDescent="0.2">
      <c r="A24" t="s">
        <v>35</v>
      </c>
      <c r="B24" s="3">
        <v>2</v>
      </c>
      <c r="C24" s="3">
        <v>853</v>
      </c>
      <c r="D24" s="9">
        <v>50</v>
      </c>
      <c r="E24" s="10">
        <v>100</v>
      </c>
      <c r="F24" s="3">
        <v>442</v>
      </c>
      <c r="G24" s="11">
        <v>377026</v>
      </c>
      <c r="H24" s="9">
        <v>3.116E-2</v>
      </c>
      <c r="I24" s="10">
        <v>11748</v>
      </c>
      <c r="J24" s="10">
        <v>0</v>
      </c>
      <c r="K24" s="10">
        <v>5</v>
      </c>
      <c r="L24" s="10">
        <v>5</v>
      </c>
      <c r="M24" s="10">
        <v>11853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101</v>
      </c>
      <c r="C26" s="3">
        <v>826</v>
      </c>
      <c r="D26" s="9">
        <v>545.99</v>
      </c>
      <c r="E26" s="10">
        <v>55145</v>
      </c>
      <c r="F26" s="11">
        <v>1475</v>
      </c>
      <c r="G26" s="11">
        <v>1218350</v>
      </c>
      <c r="H26" s="9">
        <v>3.1099999999999999E-2</v>
      </c>
      <c r="I26" s="10">
        <v>37891</v>
      </c>
      <c r="J26" s="10">
        <v>8505</v>
      </c>
      <c r="K26" s="10">
        <v>0</v>
      </c>
      <c r="L26" s="10">
        <v>8505</v>
      </c>
      <c r="M26" s="10">
        <v>101541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121</v>
      </c>
      <c r="B28" s="3">
        <v>98</v>
      </c>
      <c r="C28" s="3">
        <v>45</v>
      </c>
      <c r="D28" s="9">
        <v>587.20000000000005</v>
      </c>
      <c r="E28" s="10">
        <v>57546</v>
      </c>
      <c r="F28" s="11">
        <v>1756</v>
      </c>
      <c r="G28" s="11">
        <v>79020</v>
      </c>
      <c r="H28" s="9">
        <v>3.1099999999999999E-2</v>
      </c>
      <c r="I28" s="10">
        <v>2458</v>
      </c>
      <c r="J28" s="10">
        <v>4353</v>
      </c>
      <c r="K28" s="10">
        <v>0</v>
      </c>
      <c r="L28" s="10">
        <v>4353</v>
      </c>
      <c r="M28" s="10">
        <v>64357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693</v>
      </c>
      <c r="C30" s="11">
        <v>6711</v>
      </c>
      <c r="D30" s="3"/>
      <c r="E30" s="10">
        <v>379941</v>
      </c>
      <c r="F30" s="3"/>
      <c r="G30" s="11">
        <v>5352977</v>
      </c>
      <c r="H30" s="3"/>
      <c r="I30" s="10">
        <v>166601</v>
      </c>
      <c r="J30" s="10">
        <v>27663</v>
      </c>
      <c r="K30" s="10">
        <v>7158</v>
      </c>
      <c r="L30" s="10">
        <v>34821</v>
      </c>
      <c r="M30" s="10">
        <v>581363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186</v>
      </c>
      <c r="C35" s="3">
        <v>964</v>
      </c>
      <c r="D35" s="9">
        <v>204.71</v>
      </c>
      <c r="E35" s="10">
        <v>38076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1904</v>
      </c>
      <c r="L35" s="10">
        <v>1904</v>
      </c>
      <c r="M35" s="10">
        <v>39980</v>
      </c>
    </row>
    <row r="36" spans="1:13" x14ac:dyDescent="0.2">
      <c r="A36" t="s">
        <v>42</v>
      </c>
      <c r="B36" s="3">
        <v>16</v>
      </c>
      <c r="C36" s="3">
        <v>87</v>
      </c>
      <c r="D36" s="9">
        <v>2705</v>
      </c>
      <c r="E36" s="10">
        <v>43280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2164</v>
      </c>
      <c r="L36" s="10">
        <v>2164</v>
      </c>
      <c r="M36" s="10">
        <v>45444</v>
      </c>
    </row>
    <row r="37" spans="1:13" x14ac:dyDescent="0.2">
      <c r="A37" t="s">
        <v>43</v>
      </c>
      <c r="B37" s="3">
        <v>6</v>
      </c>
      <c r="C37" s="3">
        <v>51</v>
      </c>
      <c r="D37" s="9">
        <v>5109.67</v>
      </c>
      <c r="E37" s="10">
        <v>30658</v>
      </c>
      <c r="F37" s="11">
        <v>13282</v>
      </c>
      <c r="G37" s="11">
        <v>677382</v>
      </c>
      <c r="H37" s="9">
        <v>4.2349999999999999E-2</v>
      </c>
      <c r="I37" s="10">
        <v>28687</v>
      </c>
      <c r="J37" s="10">
        <v>1395</v>
      </c>
      <c r="K37" s="10">
        <v>0</v>
      </c>
      <c r="L37" s="10">
        <v>1395</v>
      </c>
      <c r="M37" s="10">
        <v>60740</v>
      </c>
    </row>
    <row r="38" spans="1:13" x14ac:dyDescent="0.2">
      <c r="A38" t="s">
        <v>44</v>
      </c>
      <c r="B38" s="3">
        <v>3</v>
      </c>
      <c r="C38" s="3">
        <v>9</v>
      </c>
      <c r="D38" s="9">
        <v>0</v>
      </c>
      <c r="E38" s="10">
        <v>2350</v>
      </c>
      <c r="F38" s="11">
        <v>14101</v>
      </c>
      <c r="G38" s="11">
        <v>126909</v>
      </c>
      <c r="H38" s="9">
        <v>4.2770000000000002E-2</v>
      </c>
      <c r="I38" s="10">
        <v>5428</v>
      </c>
      <c r="J38" s="10">
        <v>787</v>
      </c>
      <c r="K38" s="10">
        <v>0</v>
      </c>
      <c r="L38" s="10">
        <v>787</v>
      </c>
      <c r="M38" s="10">
        <v>8565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211</v>
      </c>
      <c r="C40" s="11">
        <v>1111</v>
      </c>
      <c r="D40" s="3"/>
      <c r="E40" s="10">
        <v>114364</v>
      </c>
      <c r="F40" s="3"/>
      <c r="G40" s="11">
        <v>804291</v>
      </c>
      <c r="H40" s="3"/>
      <c r="I40" s="10">
        <v>34115</v>
      </c>
      <c r="J40" s="10">
        <v>2182</v>
      </c>
      <c r="K40" s="10">
        <v>4068</v>
      </c>
      <c r="L40" s="10">
        <v>6250</v>
      </c>
      <c r="M40" s="10">
        <v>154729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0</v>
      </c>
      <c r="C46" s="3">
        <v>60</v>
      </c>
      <c r="D46" s="9">
        <v>0</v>
      </c>
      <c r="E46" s="10">
        <v>0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t="s">
        <v>48</v>
      </c>
      <c r="B47" s="3">
        <v>0</v>
      </c>
      <c r="C47" s="3">
        <v>4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1</v>
      </c>
      <c r="D48" s="9">
        <v>0</v>
      </c>
      <c r="E48" s="10">
        <v>0</v>
      </c>
      <c r="F48" s="3">
        <v>0</v>
      </c>
      <c r="G48" s="3">
        <v>0</v>
      </c>
      <c r="H48" s="9">
        <v>3.653E-2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4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4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4" x14ac:dyDescent="0.2">
      <c r="A51" t="s">
        <v>51</v>
      </c>
      <c r="B51" s="3">
        <v>0</v>
      </c>
      <c r="C51" s="3">
        <v>65</v>
      </c>
      <c r="D51" s="3"/>
      <c r="E51" s="10">
        <v>0</v>
      </c>
      <c r="F51" s="3"/>
      <c r="G51" s="3">
        <v>0</v>
      </c>
      <c r="H51" s="3"/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4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4" x14ac:dyDescent="0.2">
      <c r="A53" t="s">
        <v>52</v>
      </c>
      <c r="B53" s="3">
        <v>904</v>
      </c>
      <c r="C53" s="11">
        <v>7920</v>
      </c>
      <c r="D53" s="3"/>
      <c r="E53" s="10">
        <v>494305</v>
      </c>
      <c r="F53" s="3"/>
      <c r="G53" s="11">
        <v>6215216</v>
      </c>
      <c r="H53" s="3"/>
      <c r="I53" s="10">
        <v>200716</v>
      </c>
      <c r="J53" s="10">
        <v>29845</v>
      </c>
      <c r="K53" s="10">
        <v>11226</v>
      </c>
      <c r="L53" s="10">
        <v>41071</v>
      </c>
      <c r="M53" s="10">
        <v>736092</v>
      </c>
      <c r="N53" s="3"/>
    </row>
    <row r="54" spans="1:14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  <c r="N54" s="3"/>
    </row>
    <row r="56" spans="1:14" x14ac:dyDescent="0.2">
      <c r="A56" t="s">
        <v>108</v>
      </c>
    </row>
    <row r="57" spans="1:14" x14ac:dyDescent="0.2">
      <c r="A57" t="s">
        <v>122</v>
      </c>
    </row>
    <row r="58" spans="1:14" x14ac:dyDescent="0.2">
      <c r="A58" t="s">
        <v>123</v>
      </c>
    </row>
  </sheetData>
  <phoneticPr fontId="0" type="noConversion"/>
  <printOptions horizontalCentered="1" verticalCentered="1" gridLines="1"/>
  <pageMargins left="0" right="0" top="0" bottom="0" header="0" footer="0"/>
  <pageSetup scale="6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58"/>
  <sheetViews>
    <sheetView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4" x14ac:dyDescent="0.2">
      <c r="A1" s="14">
        <v>1999</v>
      </c>
    </row>
    <row r="6" spans="1:14" x14ac:dyDescent="0.2">
      <c r="A6" t="s">
        <v>0</v>
      </c>
      <c r="L6" t="s">
        <v>1</v>
      </c>
    </row>
    <row r="7" spans="1:14" x14ac:dyDescent="0.2">
      <c r="A7" t="s">
        <v>111</v>
      </c>
      <c r="L7" s="1" t="s">
        <v>124</v>
      </c>
      <c r="M7" s="2">
        <f>+'Y1'!M7</f>
        <v>24</v>
      </c>
    </row>
    <row r="11" spans="1:14" x14ac:dyDescent="0.2">
      <c r="A11" t="s">
        <v>125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4</v>
      </c>
      <c r="H11" s="12" t="s">
        <v>61</v>
      </c>
      <c r="I11" s="12" t="s">
        <v>62</v>
      </c>
      <c r="J11" s="12" t="s">
        <v>63</v>
      </c>
      <c r="K11" s="12" t="s">
        <v>64</v>
      </c>
      <c r="L11" s="12"/>
      <c r="M11" s="12" t="s">
        <v>65</v>
      </c>
      <c r="N11" s="12"/>
    </row>
    <row r="12" spans="1:14" x14ac:dyDescent="0.2">
      <c r="B12" s="12" t="s">
        <v>66</v>
      </c>
      <c r="C12" s="12" t="s">
        <v>66</v>
      </c>
      <c r="D12" s="12" t="s">
        <v>67</v>
      </c>
      <c r="E12" s="12" t="s">
        <v>27</v>
      </c>
      <c r="F12" s="12" t="s">
        <v>118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72</v>
      </c>
      <c r="L12" s="12" t="s">
        <v>73</v>
      </c>
      <c r="M12" s="12" t="s">
        <v>74</v>
      </c>
      <c r="N12" s="12"/>
    </row>
    <row r="13" spans="1:14" ht="25.5" x14ac:dyDescent="0.2">
      <c r="A13" t="s">
        <v>28</v>
      </c>
      <c r="B13" s="12" t="s">
        <v>75</v>
      </c>
      <c r="C13" s="12" t="s">
        <v>119</v>
      </c>
      <c r="D13" s="12" t="s">
        <v>76</v>
      </c>
      <c r="E13" s="12" t="s">
        <v>77</v>
      </c>
      <c r="F13" s="12" t="s">
        <v>78</v>
      </c>
      <c r="G13" s="12" t="s">
        <v>120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  <c r="N13" s="12"/>
    </row>
    <row r="14" spans="1:14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  <c r="N14" s="12"/>
    </row>
    <row r="15" spans="1:14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  <c r="N15" s="12"/>
    </row>
    <row r="16" spans="1:14" x14ac:dyDescent="0.2">
      <c r="A16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t="s">
        <v>30</v>
      </c>
      <c r="B17" s="3">
        <v>0</v>
      </c>
      <c r="C17" s="11">
        <v>2519</v>
      </c>
      <c r="D17" s="9">
        <v>0</v>
      </c>
      <c r="E17" s="10">
        <v>972</v>
      </c>
      <c r="F17" s="3">
        <v>707</v>
      </c>
      <c r="G17" s="11">
        <v>1780933</v>
      </c>
      <c r="H17" s="9">
        <v>3.1119999999999998E-2</v>
      </c>
      <c r="I17" s="10">
        <v>55423</v>
      </c>
      <c r="J17" s="10">
        <v>0</v>
      </c>
      <c r="K17" s="10">
        <v>0</v>
      </c>
      <c r="L17" s="10">
        <v>0</v>
      </c>
      <c r="M17" s="10">
        <v>56395</v>
      </c>
    </row>
    <row r="18" spans="1:13" x14ac:dyDescent="0.2">
      <c r="A18" t="s">
        <v>31</v>
      </c>
      <c r="B18" s="3">
        <v>66</v>
      </c>
      <c r="C18" s="3">
        <v>700</v>
      </c>
      <c r="D18" s="9">
        <v>1222.76</v>
      </c>
      <c r="E18" s="10">
        <v>80702</v>
      </c>
      <c r="F18" s="3">
        <v>630</v>
      </c>
      <c r="G18" s="11">
        <v>441000</v>
      </c>
      <c r="H18" s="9">
        <v>3.1109999999999999E-2</v>
      </c>
      <c r="I18" s="10">
        <v>13720</v>
      </c>
      <c r="J18" s="10">
        <v>0</v>
      </c>
      <c r="K18" s="10">
        <v>4035</v>
      </c>
      <c r="L18" s="10">
        <v>4035</v>
      </c>
      <c r="M18" s="10">
        <v>98457</v>
      </c>
    </row>
    <row r="19" spans="1:13" x14ac:dyDescent="0.2">
      <c r="A19" t="s">
        <v>32</v>
      </c>
      <c r="B19" s="3">
        <v>8</v>
      </c>
      <c r="C19" s="3">
        <v>220</v>
      </c>
      <c r="D19" s="9">
        <v>67.5</v>
      </c>
      <c r="E19" s="10">
        <v>540</v>
      </c>
      <c r="F19" s="3">
        <v>306</v>
      </c>
      <c r="G19" s="11">
        <v>67320</v>
      </c>
      <c r="H19" s="9">
        <v>3.124E-2</v>
      </c>
      <c r="I19" s="10">
        <v>2103</v>
      </c>
      <c r="J19" s="10">
        <v>40</v>
      </c>
      <c r="K19" s="10">
        <v>0</v>
      </c>
      <c r="L19" s="10">
        <v>40</v>
      </c>
      <c r="M19" s="10">
        <v>2683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123</v>
      </c>
      <c r="D21" s="9">
        <v>0</v>
      </c>
      <c r="E21" s="10">
        <v>0</v>
      </c>
      <c r="F21" s="3">
        <v>31</v>
      </c>
      <c r="G21" s="11">
        <v>3813</v>
      </c>
      <c r="H21" s="9">
        <v>3.091E-2</v>
      </c>
      <c r="I21" s="10">
        <v>118</v>
      </c>
      <c r="J21" s="10">
        <v>0</v>
      </c>
      <c r="K21" s="10">
        <v>0</v>
      </c>
      <c r="L21" s="10">
        <v>0</v>
      </c>
      <c r="M21" s="10">
        <v>118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140</v>
      </c>
      <c r="C23" s="3">
        <v>810</v>
      </c>
      <c r="D23" s="9">
        <v>211.14</v>
      </c>
      <c r="E23" s="10">
        <v>29560</v>
      </c>
      <c r="F23" s="11">
        <v>1200</v>
      </c>
      <c r="G23" s="11">
        <v>972000</v>
      </c>
      <c r="H23" s="9">
        <v>3.1140000000000001E-2</v>
      </c>
      <c r="I23" s="10">
        <v>30268</v>
      </c>
      <c r="J23" s="10">
        <v>6187</v>
      </c>
      <c r="K23" s="10">
        <v>0</v>
      </c>
      <c r="L23" s="10">
        <v>6187</v>
      </c>
      <c r="M23" s="10">
        <v>66015</v>
      </c>
    </row>
    <row r="24" spans="1:13" x14ac:dyDescent="0.2">
      <c r="A24" t="s">
        <v>35</v>
      </c>
      <c r="B24" s="3">
        <v>0</v>
      </c>
      <c r="C24" s="3">
        <v>593</v>
      </c>
      <c r="D24" s="9">
        <v>0</v>
      </c>
      <c r="E24" s="10">
        <v>0</v>
      </c>
      <c r="F24" s="3">
        <v>447</v>
      </c>
      <c r="G24" s="11">
        <v>265071</v>
      </c>
      <c r="H24" s="9">
        <v>3.116E-2</v>
      </c>
      <c r="I24" s="10">
        <v>8260</v>
      </c>
      <c r="J24" s="10">
        <v>0</v>
      </c>
      <c r="K24" s="10">
        <v>0</v>
      </c>
      <c r="L24" s="10">
        <v>0</v>
      </c>
      <c r="M24" s="10">
        <v>8260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134</v>
      </c>
      <c r="C26" s="3">
        <v>739</v>
      </c>
      <c r="D26" s="9">
        <v>539.07000000000005</v>
      </c>
      <c r="E26" s="10">
        <v>72236</v>
      </c>
      <c r="F26" s="11">
        <v>1475</v>
      </c>
      <c r="G26" s="11">
        <v>1090025</v>
      </c>
      <c r="H26" s="9">
        <v>3.1099999999999999E-2</v>
      </c>
      <c r="I26" s="10">
        <v>33900</v>
      </c>
      <c r="J26" s="10">
        <v>11284</v>
      </c>
      <c r="K26" s="10">
        <v>0</v>
      </c>
      <c r="L26" s="10">
        <v>11284</v>
      </c>
      <c r="M26" s="10">
        <v>117420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121</v>
      </c>
      <c r="B28" s="3">
        <v>123</v>
      </c>
      <c r="C28" s="3">
        <v>196</v>
      </c>
      <c r="D28" s="9">
        <v>581.41999999999996</v>
      </c>
      <c r="E28" s="10">
        <v>71515</v>
      </c>
      <c r="F28" s="11">
        <v>1755</v>
      </c>
      <c r="G28" s="11">
        <v>343980</v>
      </c>
      <c r="H28" s="9">
        <v>3.1099999999999999E-2</v>
      </c>
      <c r="I28" s="10">
        <v>10698</v>
      </c>
      <c r="J28" s="10">
        <v>5464</v>
      </c>
      <c r="K28" s="10">
        <v>0</v>
      </c>
      <c r="L28" s="10">
        <v>5464</v>
      </c>
      <c r="M28" s="10">
        <v>87677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471</v>
      </c>
      <c r="C30" s="11">
        <v>5900</v>
      </c>
      <c r="D30" s="3"/>
      <c r="E30" s="10">
        <v>255525</v>
      </c>
      <c r="F30" s="3"/>
      <c r="G30" s="11">
        <v>4964142</v>
      </c>
      <c r="H30" s="3"/>
      <c r="I30" s="10">
        <v>154490</v>
      </c>
      <c r="J30" s="10">
        <v>22975</v>
      </c>
      <c r="K30" s="10">
        <v>4035</v>
      </c>
      <c r="L30" s="10">
        <v>27010</v>
      </c>
      <c r="M30" s="10">
        <v>437025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188</v>
      </c>
      <c r="C35" s="11">
        <v>1129</v>
      </c>
      <c r="D35" s="9">
        <v>356.11</v>
      </c>
      <c r="E35" s="10">
        <v>66948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3347</v>
      </c>
      <c r="L35" s="10">
        <v>3347</v>
      </c>
      <c r="M35" s="10">
        <v>70295</v>
      </c>
    </row>
    <row r="36" spans="1:13" x14ac:dyDescent="0.2">
      <c r="A36" t="s">
        <v>42</v>
      </c>
      <c r="B36" s="3">
        <v>21</v>
      </c>
      <c r="C36" s="3">
        <v>103</v>
      </c>
      <c r="D36" s="9">
        <v>2705</v>
      </c>
      <c r="E36" s="10">
        <v>56805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2840</v>
      </c>
      <c r="L36" s="10">
        <v>2840</v>
      </c>
      <c r="M36" s="10">
        <v>59645</v>
      </c>
    </row>
    <row r="37" spans="1:13" x14ac:dyDescent="0.2">
      <c r="A37" t="s">
        <v>43</v>
      </c>
      <c r="B37" s="3">
        <v>25</v>
      </c>
      <c r="C37" s="3">
        <v>66</v>
      </c>
      <c r="D37" s="9">
        <v>2726.04</v>
      </c>
      <c r="E37" s="10">
        <v>68151</v>
      </c>
      <c r="F37" s="11">
        <v>13282</v>
      </c>
      <c r="G37" s="11">
        <v>876612</v>
      </c>
      <c r="H37" s="9">
        <v>4.2349999999999999E-2</v>
      </c>
      <c r="I37" s="10">
        <v>37125</v>
      </c>
      <c r="J37" s="10">
        <v>5814</v>
      </c>
      <c r="K37" s="10">
        <v>0</v>
      </c>
      <c r="L37" s="10">
        <v>5814</v>
      </c>
      <c r="M37" s="10">
        <v>111090</v>
      </c>
    </row>
    <row r="38" spans="1:13" x14ac:dyDescent="0.2">
      <c r="A38" t="s">
        <v>44</v>
      </c>
      <c r="B38" s="3">
        <v>8</v>
      </c>
      <c r="C38" s="3">
        <v>13</v>
      </c>
      <c r="D38" s="9">
        <v>3087</v>
      </c>
      <c r="E38" s="10">
        <v>24696</v>
      </c>
      <c r="F38" s="11">
        <v>14101</v>
      </c>
      <c r="G38" s="11">
        <v>183313</v>
      </c>
      <c r="H38" s="9">
        <v>4.2770000000000002E-2</v>
      </c>
      <c r="I38" s="10">
        <v>7840</v>
      </c>
      <c r="J38" s="10">
        <v>2099</v>
      </c>
      <c r="K38" s="10">
        <v>0</v>
      </c>
      <c r="L38" s="10">
        <v>2099</v>
      </c>
      <c r="M38" s="10">
        <v>34635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242</v>
      </c>
      <c r="C40" s="11">
        <v>1311</v>
      </c>
      <c r="D40" s="3"/>
      <c r="E40" s="10">
        <v>216600</v>
      </c>
      <c r="F40" s="3"/>
      <c r="G40" s="11">
        <v>1059925</v>
      </c>
      <c r="H40" s="3"/>
      <c r="I40" s="10">
        <v>44965</v>
      </c>
      <c r="J40" s="10">
        <v>7913</v>
      </c>
      <c r="K40" s="10">
        <v>6187</v>
      </c>
      <c r="L40" s="10">
        <v>14100</v>
      </c>
      <c r="M40" s="10">
        <v>275665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0</v>
      </c>
      <c r="C46" s="3">
        <v>57</v>
      </c>
      <c r="D46" s="9">
        <v>0</v>
      </c>
      <c r="E46" s="10">
        <v>0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t="s">
        <v>48</v>
      </c>
      <c r="B47" s="3">
        <v>0</v>
      </c>
      <c r="C47" s="3">
        <v>4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1</v>
      </c>
      <c r="D48" s="9">
        <v>0</v>
      </c>
      <c r="E48" s="10">
        <v>0</v>
      </c>
      <c r="F48" s="3">
        <v>0</v>
      </c>
      <c r="G48" s="3">
        <v>0</v>
      </c>
      <c r="H48" s="9">
        <v>3.653E-2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4.0379999999999999E-2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0</v>
      </c>
      <c r="C51" s="3">
        <v>62</v>
      </c>
      <c r="D51" s="3"/>
      <c r="E51" s="10">
        <v>0</v>
      </c>
      <c r="F51" s="3"/>
      <c r="G51" s="3">
        <v>0</v>
      </c>
      <c r="H51" s="3"/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3">
        <v>713</v>
      </c>
      <c r="C53" s="11">
        <v>7273</v>
      </c>
      <c r="D53" s="3"/>
      <c r="E53" s="10">
        <v>472125</v>
      </c>
      <c r="F53" s="3"/>
      <c r="G53" s="11">
        <v>6024067</v>
      </c>
      <c r="H53" s="3"/>
      <c r="I53" s="10">
        <v>199455</v>
      </c>
      <c r="J53" s="10">
        <v>30888</v>
      </c>
      <c r="K53" s="10">
        <v>10222</v>
      </c>
      <c r="L53" s="10">
        <v>41110</v>
      </c>
      <c r="M53" s="10">
        <v>712690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108</v>
      </c>
    </row>
    <row r="57" spans="1:13" x14ac:dyDescent="0.2">
      <c r="A57" t="s">
        <v>126</v>
      </c>
    </row>
    <row r="58" spans="1:13" x14ac:dyDescent="0.2">
      <c r="A58" t="s">
        <v>123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58"/>
  <sheetViews>
    <sheetView workbookViewId="0">
      <selection activeCell="O6" sqref="O6"/>
    </sheetView>
  </sheetViews>
  <sheetFormatPr defaultRowHeight="12.75" x14ac:dyDescent="0.2"/>
  <cols>
    <col min="1" max="1" width="42.7109375" customWidth="1"/>
    <col min="2" max="3" width="14.28515625" bestFit="1" customWidth="1"/>
    <col min="4" max="4" width="18" bestFit="1" customWidth="1"/>
    <col min="5" max="5" width="14.28515625" bestFit="1" customWidth="1"/>
    <col min="6" max="6" width="13.85546875" bestFit="1" customWidth="1"/>
    <col min="7" max="7" width="18.7109375" customWidth="1"/>
    <col min="8" max="8" width="10" bestFit="1" customWidth="1"/>
    <col min="9" max="13" width="16" bestFit="1" customWidth="1"/>
  </cols>
  <sheetData>
    <row r="1" spans="1:13" x14ac:dyDescent="0.2">
      <c r="A1" s="14" t="s">
        <v>127</v>
      </c>
    </row>
    <row r="6" spans="1:13" x14ac:dyDescent="0.2">
      <c r="A6" t="s">
        <v>0</v>
      </c>
      <c r="L6" t="s">
        <v>1</v>
      </c>
    </row>
    <row r="7" spans="1:13" x14ac:dyDescent="0.2">
      <c r="A7" t="s">
        <v>128</v>
      </c>
      <c r="L7" s="1" t="s">
        <v>129</v>
      </c>
      <c r="M7" s="2">
        <f>+'Y1'!M7</f>
        <v>24</v>
      </c>
    </row>
    <row r="11" spans="1:13" x14ac:dyDescent="0.2">
      <c r="A11" t="s">
        <v>130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61</v>
      </c>
      <c r="G11" s="12" t="s">
        <v>4</v>
      </c>
      <c r="H11" s="12" t="s">
        <v>61</v>
      </c>
      <c r="I11" s="12" t="s">
        <v>62</v>
      </c>
      <c r="J11" s="12" t="s">
        <v>63</v>
      </c>
      <c r="K11" s="12" t="s">
        <v>64</v>
      </c>
      <c r="L11" s="12"/>
      <c r="M11" s="12" t="s">
        <v>65</v>
      </c>
    </row>
    <row r="12" spans="1:13" x14ac:dyDescent="0.2">
      <c r="B12" s="12" t="s">
        <v>66</v>
      </c>
      <c r="C12" s="12" t="s">
        <v>66</v>
      </c>
      <c r="D12" s="12" t="s">
        <v>67</v>
      </c>
      <c r="E12" s="12" t="s">
        <v>27</v>
      </c>
      <c r="F12" s="12" t="s">
        <v>118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72</v>
      </c>
      <c r="L12" s="12" t="s">
        <v>73</v>
      </c>
      <c r="M12" s="12" t="s">
        <v>74</v>
      </c>
    </row>
    <row r="13" spans="1:13" ht="25.5" x14ac:dyDescent="0.2">
      <c r="A13" t="s">
        <v>28</v>
      </c>
      <c r="B13" s="12" t="s">
        <v>75</v>
      </c>
      <c r="C13" s="12" t="s">
        <v>119</v>
      </c>
      <c r="D13" s="12" t="s">
        <v>76</v>
      </c>
      <c r="E13" s="12" t="s">
        <v>77</v>
      </c>
      <c r="F13" s="12" t="s">
        <v>78</v>
      </c>
      <c r="G13" s="12" t="s">
        <v>120</v>
      </c>
      <c r="H13" s="12" t="s">
        <v>80</v>
      </c>
      <c r="I13" s="12" t="s">
        <v>81</v>
      </c>
      <c r="J13" s="8" t="str">
        <f>+'Y1'!J13</f>
        <v>(EX. C,                            PG.23C)</v>
      </c>
      <c r="K13" s="12" t="s">
        <v>82</v>
      </c>
      <c r="L13" s="12" t="s">
        <v>72</v>
      </c>
      <c r="M13" s="12" t="s">
        <v>83</v>
      </c>
    </row>
    <row r="14" spans="1:13" x14ac:dyDescent="0.2">
      <c r="B14" s="7">
        <v>-1</v>
      </c>
      <c r="C14" s="7">
        <v>-2</v>
      </c>
      <c r="D14" s="7">
        <v>-3</v>
      </c>
      <c r="E14" s="7">
        <v>-4</v>
      </c>
      <c r="F14" s="7">
        <v>-5</v>
      </c>
      <c r="G14" s="7">
        <v>-6</v>
      </c>
      <c r="H14" s="7">
        <v>-7</v>
      </c>
      <c r="I14" s="7">
        <v>-8</v>
      </c>
      <c r="J14" s="7">
        <v>-9</v>
      </c>
      <c r="K14" s="7">
        <v>-10</v>
      </c>
      <c r="L14" s="7">
        <v>-11</v>
      </c>
      <c r="M14" s="7">
        <v>-12</v>
      </c>
    </row>
    <row r="15" spans="1:13" x14ac:dyDescent="0.2">
      <c r="B15" s="12"/>
      <c r="C15" s="12"/>
      <c r="D15" s="12"/>
      <c r="E15" s="12" t="s">
        <v>84</v>
      </c>
      <c r="F15" s="12"/>
      <c r="G15" s="12" t="s">
        <v>85</v>
      </c>
      <c r="H15" s="12"/>
      <c r="I15" s="12" t="s">
        <v>86</v>
      </c>
      <c r="J15" s="12"/>
      <c r="K15" s="12" t="s">
        <v>87</v>
      </c>
      <c r="L15" s="12" t="s">
        <v>88</v>
      </c>
      <c r="M15" s="12" t="s">
        <v>89</v>
      </c>
    </row>
    <row r="16" spans="1:13" x14ac:dyDescent="0.2">
      <c r="A16" t="s">
        <v>29</v>
      </c>
    </row>
    <row r="17" spans="1:13" x14ac:dyDescent="0.2">
      <c r="A17" t="s">
        <v>30</v>
      </c>
      <c r="B17" s="3">
        <v>0</v>
      </c>
      <c r="C17" s="11">
        <v>2161</v>
      </c>
      <c r="D17" s="9">
        <v>0</v>
      </c>
      <c r="E17" s="10">
        <v>0</v>
      </c>
      <c r="F17" s="3">
        <v>707</v>
      </c>
      <c r="G17" s="11">
        <v>1527827</v>
      </c>
      <c r="H17" s="9">
        <v>3.1119999999999998E-2</v>
      </c>
      <c r="I17" s="10">
        <v>47546</v>
      </c>
      <c r="J17" s="10">
        <v>0</v>
      </c>
      <c r="K17" s="10">
        <v>0</v>
      </c>
      <c r="L17" s="10">
        <v>0</v>
      </c>
      <c r="M17" s="10">
        <v>47546</v>
      </c>
    </row>
    <row r="18" spans="1:13" x14ac:dyDescent="0.2">
      <c r="A18" t="s">
        <v>31</v>
      </c>
      <c r="B18" s="3">
        <v>66</v>
      </c>
      <c r="C18" s="3">
        <v>659</v>
      </c>
      <c r="D18" s="9">
        <v>1272.6099999999999</v>
      </c>
      <c r="E18" s="10">
        <v>83992</v>
      </c>
      <c r="F18" s="3">
        <v>630</v>
      </c>
      <c r="G18" s="11">
        <v>415170</v>
      </c>
      <c r="H18" s="9">
        <v>3.1109999999999999E-2</v>
      </c>
      <c r="I18" s="10">
        <v>12916</v>
      </c>
      <c r="J18" s="10">
        <v>0</v>
      </c>
      <c r="K18" s="10">
        <v>4200</v>
      </c>
      <c r="L18" s="10">
        <v>4200</v>
      </c>
      <c r="M18" s="10">
        <v>101108</v>
      </c>
    </row>
    <row r="19" spans="1:13" x14ac:dyDescent="0.2">
      <c r="A19" t="s">
        <v>32</v>
      </c>
      <c r="B19" s="3">
        <v>28</v>
      </c>
      <c r="C19" s="3">
        <v>202</v>
      </c>
      <c r="D19" s="9">
        <v>90.82</v>
      </c>
      <c r="E19" s="10">
        <v>2543</v>
      </c>
      <c r="F19" s="3">
        <v>306</v>
      </c>
      <c r="G19" s="11">
        <v>61812</v>
      </c>
      <c r="H19" s="9">
        <v>3.124E-2</v>
      </c>
      <c r="I19" s="10">
        <v>1931</v>
      </c>
      <c r="J19" s="10">
        <v>141</v>
      </c>
      <c r="K19" s="10">
        <v>0</v>
      </c>
      <c r="L19" s="10">
        <v>141</v>
      </c>
      <c r="M19" s="10">
        <v>4615</v>
      </c>
    </row>
    <row r="20" spans="1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x14ac:dyDescent="0.2">
      <c r="A21" t="s">
        <v>33</v>
      </c>
      <c r="B21" s="3">
        <v>0</v>
      </c>
      <c r="C21" s="3">
        <v>0</v>
      </c>
      <c r="D21" s="9">
        <v>0</v>
      </c>
      <c r="E21" s="10">
        <v>0</v>
      </c>
      <c r="F21" s="3">
        <v>0</v>
      </c>
      <c r="G21" s="3">
        <v>0</v>
      </c>
      <c r="H21" s="9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x14ac:dyDescent="0.2">
      <c r="A23" t="s">
        <v>34</v>
      </c>
      <c r="B23" s="3">
        <v>38</v>
      </c>
      <c r="C23" s="3">
        <v>683</v>
      </c>
      <c r="D23" s="9">
        <v>200</v>
      </c>
      <c r="E23" s="10">
        <v>7600</v>
      </c>
      <c r="F23" s="11">
        <v>1200</v>
      </c>
      <c r="G23" s="11">
        <v>819600</v>
      </c>
      <c r="H23" s="9">
        <v>3.1140000000000001E-2</v>
      </c>
      <c r="I23" s="10">
        <v>25522</v>
      </c>
      <c r="J23" s="10">
        <v>1679</v>
      </c>
      <c r="K23" s="10">
        <v>0</v>
      </c>
      <c r="L23" s="10">
        <v>1679</v>
      </c>
      <c r="M23" s="10">
        <v>34801</v>
      </c>
    </row>
    <row r="24" spans="1:13" x14ac:dyDescent="0.2">
      <c r="A24" t="s">
        <v>35</v>
      </c>
      <c r="B24" s="3">
        <v>0</v>
      </c>
      <c r="C24" s="3">
        <v>348</v>
      </c>
      <c r="D24" s="9">
        <v>0</v>
      </c>
      <c r="E24" s="10">
        <v>0</v>
      </c>
      <c r="F24" s="3">
        <v>447</v>
      </c>
      <c r="G24" s="11">
        <v>155556</v>
      </c>
      <c r="H24" s="9">
        <v>3.116E-2</v>
      </c>
      <c r="I24" s="10">
        <v>4847</v>
      </c>
      <c r="J24" s="10">
        <v>0</v>
      </c>
      <c r="K24" s="10">
        <v>0</v>
      </c>
      <c r="L24" s="10">
        <v>0</v>
      </c>
      <c r="M24" s="10">
        <v>4847</v>
      </c>
    </row>
    <row r="25" spans="1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0"/>
    </row>
    <row r="26" spans="1:13" x14ac:dyDescent="0.2">
      <c r="A26" t="s">
        <v>36</v>
      </c>
      <c r="B26" s="3">
        <v>45</v>
      </c>
      <c r="C26" s="3">
        <v>683</v>
      </c>
      <c r="D26" s="9">
        <v>500</v>
      </c>
      <c r="E26" s="10">
        <v>22500</v>
      </c>
      <c r="F26" s="11">
        <v>1475</v>
      </c>
      <c r="G26" s="11">
        <v>1007425</v>
      </c>
      <c r="H26" s="9">
        <v>3.1099999999999999E-2</v>
      </c>
      <c r="I26" s="10">
        <v>31331</v>
      </c>
      <c r="J26" s="10">
        <v>3789</v>
      </c>
      <c r="K26" s="10">
        <v>0</v>
      </c>
      <c r="L26" s="10">
        <v>3789</v>
      </c>
      <c r="M26" s="10">
        <v>57620</v>
      </c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 x14ac:dyDescent="0.2">
      <c r="A28" t="s">
        <v>121</v>
      </c>
      <c r="B28" s="3">
        <v>101</v>
      </c>
      <c r="C28" s="3">
        <v>302</v>
      </c>
      <c r="D28" s="9">
        <v>530.20000000000005</v>
      </c>
      <c r="E28" s="10">
        <v>53550</v>
      </c>
      <c r="F28" s="11">
        <v>1755</v>
      </c>
      <c r="G28" s="11">
        <v>530010</v>
      </c>
      <c r="H28" s="9">
        <v>3.1099999999999999E-2</v>
      </c>
      <c r="I28" s="10">
        <v>16483</v>
      </c>
      <c r="J28" s="10">
        <v>4486</v>
      </c>
      <c r="K28" s="10">
        <v>0</v>
      </c>
      <c r="L28" s="10">
        <v>4486</v>
      </c>
      <c r="M28" s="10">
        <v>74519</v>
      </c>
    </row>
    <row r="29" spans="1:13" x14ac:dyDescent="0.2">
      <c r="B29" s="3" t="s">
        <v>90</v>
      </c>
      <c r="C29" s="3" t="s">
        <v>90</v>
      </c>
      <c r="D29" s="3"/>
      <c r="E29" s="3" t="s">
        <v>90</v>
      </c>
      <c r="F29" s="3"/>
      <c r="G29" s="3" t="s">
        <v>91</v>
      </c>
      <c r="H29" s="3"/>
      <c r="I29" s="3" t="s">
        <v>92</v>
      </c>
      <c r="J29" s="3" t="s">
        <v>92</v>
      </c>
      <c r="K29" s="3" t="s">
        <v>92</v>
      </c>
      <c r="L29" s="3" t="s">
        <v>92</v>
      </c>
      <c r="M29" s="3" t="s">
        <v>92</v>
      </c>
    </row>
    <row r="30" spans="1:13" x14ac:dyDescent="0.2">
      <c r="A30" t="s">
        <v>39</v>
      </c>
      <c r="B30" s="3">
        <v>278</v>
      </c>
      <c r="C30" s="11">
        <v>5038</v>
      </c>
      <c r="D30" s="3"/>
      <c r="E30" s="10">
        <v>170185</v>
      </c>
      <c r="F30" s="3"/>
      <c r="G30" s="11">
        <v>4517400</v>
      </c>
      <c r="H30" s="3"/>
      <c r="I30" s="10">
        <v>140576</v>
      </c>
      <c r="J30" s="10">
        <v>10095</v>
      </c>
      <c r="K30" s="10">
        <v>4200</v>
      </c>
      <c r="L30" s="10">
        <v>14295</v>
      </c>
      <c r="M30" s="10">
        <v>325056</v>
      </c>
    </row>
    <row r="31" spans="1:13" x14ac:dyDescent="0.2">
      <c r="B31" s="3" t="s">
        <v>93</v>
      </c>
      <c r="C31" s="3" t="s">
        <v>93</v>
      </c>
      <c r="D31" s="3"/>
      <c r="E31" s="3" t="s">
        <v>93</v>
      </c>
      <c r="F31" s="3"/>
      <c r="G31" s="3" t="s">
        <v>94</v>
      </c>
      <c r="H31" s="3"/>
      <c r="I31" s="3" t="s">
        <v>95</v>
      </c>
      <c r="J31" s="3" t="s">
        <v>95</v>
      </c>
      <c r="K31" s="3" t="s">
        <v>95</v>
      </c>
      <c r="L31" s="3" t="s">
        <v>95</v>
      </c>
      <c r="M31" s="3" t="s">
        <v>95</v>
      </c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t="s">
        <v>41</v>
      </c>
      <c r="B35" s="3">
        <v>144</v>
      </c>
      <c r="C35" s="11">
        <v>1126</v>
      </c>
      <c r="D35" s="9">
        <v>397.19</v>
      </c>
      <c r="E35" s="10">
        <v>57195</v>
      </c>
      <c r="F35" s="3">
        <v>0</v>
      </c>
      <c r="G35" s="3">
        <v>0</v>
      </c>
      <c r="H35" s="3" t="s">
        <v>38</v>
      </c>
      <c r="I35" s="3"/>
      <c r="J35" s="10">
        <v>0</v>
      </c>
      <c r="K35" s="10">
        <v>2860</v>
      </c>
      <c r="L35" s="10">
        <v>2860</v>
      </c>
      <c r="M35" s="10">
        <v>60055</v>
      </c>
    </row>
    <row r="36" spans="1:13" x14ac:dyDescent="0.2">
      <c r="A36" t="s">
        <v>42</v>
      </c>
      <c r="B36" s="3">
        <v>8</v>
      </c>
      <c r="C36" s="3">
        <v>112</v>
      </c>
      <c r="D36" s="9">
        <v>2705</v>
      </c>
      <c r="E36" s="10">
        <v>21640</v>
      </c>
      <c r="F36" s="3">
        <v>0</v>
      </c>
      <c r="G36" s="3">
        <v>0</v>
      </c>
      <c r="H36" s="3" t="s">
        <v>38</v>
      </c>
      <c r="I36" s="3"/>
      <c r="J36" s="10">
        <v>0</v>
      </c>
      <c r="K36" s="10">
        <v>1082</v>
      </c>
      <c r="L36" s="10">
        <v>1082</v>
      </c>
      <c r="M36" s="10">
        <v>22722</v>
      </c>
    </row>
    <row r="37" spans="1:13" x14ac:dyDescent="0.2">
      <c r="A37" t="s">
        <v>43</v>
      </c>
      <c r="B37" s="3">
        <v>16</v>
      </c>
      <c r="C37" s="3">
        <v>86</v>
      </c>
      <c r="D37" s="9">
        <v>1307.31</v>
      </c>
      <c r="E37" s="10">
        <v>20917</v>
      </c>
      <c r="F37" s="11">
        <v>13282</v>
      </c>
      <c r="G37" s="11">
        <v>1142252</v>
      </c>
      <c r="H37" s="9">
        <v>4.2349999999999999E-2</v>
      </c>
      <c r="I37" s="10">
        <v>48374</v>
      </c>
      <c r="J37" s="10">
        <v>3721</v>
      </c>
      <c r="K37" s="10">
        <v>0</v>
      </c>
      <c r="L37" s="10">
        <v>3721</v>
      </c>
      <c r="M37" s="10">
        <v>73012</v>
      </c>
    </row>
    <row r="38" spans="1:13" x14ac:dyDescent="0.2">
      <c r="A38" t="s">
        <v>44</v>
      </c>
      <c r="B38" s="3">
        <v>4</v>
      </c>
      <c r="C38" s="3">
        <v>20</v>
      </c>
      <c r="D38" s="9">
        <v>6298.75</v>
      </c>
      <c r="E38" s="10">
        <v>25195</v>
      </c>
      <c r="F38" s="11">
        <v>14101</v>
      </c>
      <c r="G38" s="11">
        <v>282020</v>
      </c>
      <c r="H38" s="9">
        <v>4.2770000000000002E-2</v>
      </c>
      <c r="I38" s="10">
        <v>12062</v>
      </c>
      <c r="J38" s="10">
        <v>1049</v>
      </c>
      <c r="K38" s="10">
        <v>0</v>
      </c>
      <c r="L38" s="10">
        <v>1049</v>
      </c>
      <c r="M38" s="10">
        <v>38306</v>
      </c>
    </row>
    <row r="39" spans="1:13" x14ac:dyDescent="0.2">
      <c r="B39" s="3" t="s">
        <v>90</v>
      </c>
      <c r="C39" s="3" t="s">
        <v>90</v>
      </c>
      <c r="D39" s="3"/>
      <c r="E39" s="3" t="s">
        <v>90</v>
      </c>
      <c r="F39" s="3"/>
      <c r="G39" s="3" t="s">
        <v>91</v>
      </c>
      <c r="H39" s="3"/>
      <c r="I39" s="3" t="s">
        <v>92</v>
      </c>
      <c r="J39" s="3" t="s">
        <v>92</v>
      </c>
      <c r="K39" s="3" t="s">
        <v>92</v>
      </c>
      <c r="L39" s="3" t="s">
        <v>92</v>
      </c>
      <c r="M39" s="3" t="s">
        <v>92</v>
      </c>
    </row>
    <row r="40" spans="1:13" x14ac:dyDescent="0.2">
      <c r="A40" t="s">
        <v>45</v>
      </c>
      <c r="B40" s="3">
        <v>172</v>
      </c>
      <c r="C40" s="11">
        <v>1344</v>
      </c>
      <c r="D40" s="3"/>
      <c r="E40" s="10">
        <v>124947</v>
      </c>
      <c r="F40" s="3"/>
      <c r="G40" s="11">
        <v>1424272</v>
      </c>
      <c r="H40" s="3"/>
      <c r="I40" s="10">
        <v>60436</v>
      </c>
      <c r="J40" s="10">
        <v>4770</v>
      </c>
      <c r="K40" s="10">
        <v>3942</v>
      </c>
      <c r="L40" s="10">
        <v>8712</v>
      </c>
      <c r="M40" s="10">
        <v>194095</v>
      </c>
    </row>
    <row r="41" spans="1:13" x14ac:dyDescent="0.2">
      <c r="B41" s="3" t="s">
        <v>93</v>
      </c>
      <c r="C41" s="3" t="s">
        <v>93</v>
      </c>
      <c r="D41" s="3"/>
      <c r="E41" s="3" t="s">
        <v>93</v>
      </c>
      <c r="F41" s="3"/>
      <c r="G41" s="3" t="s">
        <v>94</v>
      </c>
      <c r="H41" s="3"/>
      <c r="I41" s="3" t="s">
        <v>95</v>
      </c>
      <c r="J41" s="3" t="s">
        <v>95</v>
      </c>
      <c r="K41" s="3" t="s">
        <v>95</v>
      </c>
      <c r="L41" s="3" t="s">
        <v>95</v>
      </c>
      <c r="M41" s="3" t="s">
        <v>95</v>
      </c>
    </row>
    <row r="42" spans="1:13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t="s">
        <v>46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t="s">
        <v>41</v>
      </c>
      <c r="B46" s="3">
        <v>0</v>
      </c>
      <c r="C46" s="3">
        <v>0</v>
      </c>
      <c r="D46" s="9">
        <v>0</v>
      </c>
      <c r="E46" s="10">
        <v>0</v>
      </c>
      <c r="F46" s="3">
        <v>0</v>
      </c>
      <c r="G46" s="3">
        <v>0</v>
      </c>
      <c r="H46" s="3" t="s">
        <v>38</v>
      </c>
      <c r="I46" s="3"/>
      <c r="J46" s="10">
        <v>0</v>
      </c>
      <c r="K46" s="10">
        <v>0</v>
      </c>
      <c r="L46" s="10">
        <v>0</v>
      </c>
      <c r="M46" s="10">
        <v>0</v>
      </c>
    </row>
    <row r="47" spans="1:13" x14ac:dyDescent="0.2">
      <c r="A47" t="s">
        <v>48</v>
      </c>
      <c r="B47" s="3">
        <v>0</v>
      </c>
      <c r="C47" s="3">
        <v>0</v>
      </c>
      <c r="D47" s="9">
        <v>0</v>
      </c>
      <c r="E47" s="10">
        <v>0</v>
      </c>
      <c r="F47" s="3">
        <v>0</v>
      </c>
      <c r="G47" s="3">
        <v>0</v>
      </c>
      <c r="H47" s="3" t="s">
        <v>38</v>
      </c>
      <c r="I47" s="3"/>
      <c r="J47" s="10">
        <v>0</v>
      </c>
      <c r="K47" s="10">
        <v>0</v>
      </c>
      <c r="L47" s="10">
        <v>0</v>
      </c>
      <c r="M47" s="10">
        <v>0</v>
      </c>
    </row>
    <row r="48" spans="1:13" x14ac:dyDescent="0.2">
      <c r="A48" t="s">
        <v>49</v>
      </c>
      <c r="B48" s="3">
        <v>0</v>
      </c>
      <c r="C48" s="3">
        <v>0</v>
      </c>
      <c r="D48" s="9">
        <v>0</v>
      </c>
      <c r="E48" s="10">
        <v>0</v>
      </c>
      <c r="F48" s="3">
        <v>0</v>
      </c>
      <c r="G48" s="3">
        <v>0</v>
      </c>
      <c r="H48" s="9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x14ac:dyDescent="0.2">
      <c r="A49" t="s">
        <v>50</v>
      </c>
      <c r="B49" s="3">
        <v>0</v>
      </c>
      <c r="C49" s="3">
        <v>0</v>
      </c>
      <c r="D49" s="9">
        <v>0</v>
      </c>
      <c r="E49" s="10">
        <v>0</v>
      </c>
      <c r="F49" s="3">
        <v>0</v>
      </c>
      <c r="G49" s="3">
        <v>0</v>
      </c>
      <c r="H49" s="9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x14ac:dyDescent="0.2">
      <c r="B50" s="3" t="s">
        <v>90</v>
      </c>
      <c r="C50" s="3" t="s">
        <v>90</v>
      </c>
      <c r="D50" s="3"/>
      <c r="E50" s="3" t="s">
        <v>90</v>
      </c>
      <c r="F50" s="3"/>
      <c r="G50" s="3" t="s">
        <v>91</v>
      </c>
      <c r="H50" s="3"/>
      <c r="I50" s="3" t="s">
        <v>92</v>
      </c>
      <c r="J50" s="3" t="s">
        <v>92</v>
      </c>
      <c r="K50" s="3" t="s">
        <v>92</v>
      </c>
      <c r="L50" s="3" t="s">
        <v>92</v>
      </c>
      <c r="M50" s="3" t="s">
        <v>92</v>
      </c>
    </row>
    <row r="51" spans="1:13" x14ac:dyDescent="0.2">
      <c r="A51" t="s">
        <v>51</v>
      </c>
      <c r="B51" s="3">
        <v>0</v>
      </c>
      <c r="C51" s="3">
        <v>0</v>
      </c>
      <c r="D51" s="3"/>
      <c r="E51" s="10">
        <v>0</v>
      </c>
      <c r="F51" s="3"/>
      <c r="G51" s="3">
        <v>0</v>
      </c>
      <c r="H51" s="3"/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x14ac:dyDescent="0.2">
      <c r="B52" s="3" t="s">
        <v>93</v>
      </c>
      <c r="C52" s="3" t="s">
        <v>93</v>
      </c>
      <c r="D52" s="3"/>
      <c r="E52" s="3" t="s">
        <v>93</v>
      </c>
      <c r="F52" s="3"/>
      <c r="G52" s="3" t="s">
        <v>94</v>
      </c>
      <c r="H52" s="3"/>
      <c r="I52" s="3" t="s">
        <v>95</v>
      </c>
      <c r="J52" s="3" t="s">
        <v>95</v>
      </c>
      <c r="K52" s="3" t="s">
        <v>95</v>
      </c>
      <c r="L52" s="3" t="s">
        <v>95</v>
      </c>
      <c r="M52" s="3" t="s">
        <v>95</v>
      </c>
    </row>
    <row r="53" spans="1:13" x14ac:dyDescent="0.2">
      <c r="A53" t="s">
        <v>52</v>
      </c>
      <c r="B53" s="3">
        <v>450</v>
      </c>
      <c r="C53" s="11">
        <v>6382</v>
      </c>
      <c r="D53" s="3"/>
      <c r="E53" s="10">
        <v>295132</v>
      </c>
      <c r="F53" s="3"/>
      <c r="G53" s="11">
        <v>5941672</v>
      </c>
      <c r="H53" s="3"/>
      <c r="I53" s="10">
        <v>201012</v>
      </c>
      <c r="J53" s="10">
        <v>14865</v>
      </c>
      <c r="K53" s="10">
        <v>8142</v>
      </c>
      <c r="L53" s="10">
        <v>23007</v>
      </c>
      <c r="M53" s="10">
        <v>519151</v>
      </c>
    </row>
    <row r="54" spans="1:13" x14ac:dyDescent="0.2">
      <c r="B54" s="3" t="s">
        <v>93</v>
      </c>
      <c r="C54" s="3" t="s">
        <v>93</v>
      </c>
      <c r="D54" s="3"/>
      <c r="E54" s="3" t="s">
        <v>93</v>
      </c>
      <c r="F54" s="3"/>
      <c r="G54" s="3" t="s">
        <v>94</v>
      </c>
      <c r="H54" s="3"/>
      <c r="I54" s="3" t="s">
        <v>95</v>
      </c>
      <c r="J54" s="3" t="s">
        <v>95</v>
      </c>
      <c r="K54" s="3" t="s">
        <v>95</v>
      </c>
      <c r="L54" s="3" t="s">
        <v>95</v>
      </c>
      <c r="M54" s="3" t="s">
        <v>95</v>
      </c>
    </row>
    <row r="56" spans="1:13" x14ac:dyDescent="0.2">
      <c r="A56" t="s">
        <v>108</v>
      </c>
    </row>
    <row r="57" spans="1:13" x14ac:dyDescent="0.2">
      <c r="A57" t="s">
        <v>131</v>
      </c>
    </row>
    <row r="58" spans="1:13" x14ac:dyDescent="0.2">
      <c r="A58" t="s">
        <v>132</v>
      </c>
    </row>
  </sheetData>
  <phoneticPr fontId="0" type="noConversion"/>
  <printOptions horizontalCentered="1" verticalCentered="1" gridLines="1"/>
  <pageMargins left="0" right="0" top="0" bottom="0" header="0" footer="0"/>
  <pageSetup scale="61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BF96168BE34DAD0985F6C0DDEE0A" ma:contentTypeVersion="0" ma:contentTypeDescription="Create a new document." ma:contentTypeScope="" ma:versionID="f3fac7a4655b38e6280958c0360207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E7B8C-A341-4A12-9A3D-002DA62F5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2F1BA4-BAA0-4FB3-A1A7-56E4AE177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06E4A0-9C49-4CD3-AEFC-6A5126EB43D7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34</vt:i4>
      </vt:variant>
    </vt:vector>
  </HeadingPairs>
  <TitlesOfParts>
    <vt:vector size="78" baseType="lpstr">
      <vt:lpstr>Y1</vt:lpstr>
      <vt:lpstr>Y2a</vt:lpstr>
      <vt:lpstr>Y2b</vt:lpstr>
      <vt:lpstr>Y2c</vt:lpstr>
      <vt:lpstr>Y3a</vt:lpstr>
      <vt:lpstr>Y3b</vt:lpstr>
      <vt:lpstr>Y4a</vt:lpstr>
      <vt:lpstr>Y4b</vt:lpstr>
      <vt:lpstr>Y5a</vt:lpstr>
      <vt:lpstr>Y5b</vt:lpstr>
      <vt:lpstr>Y6a</vt:lpstr>
      <vt:lpstr>Y6b</vt:lpstr>
      <vt:lpstr>Y7a</vt:lpstr>
      <vt:lpstr>Y7b</vt:lpstr>
      <vt:lpstr>Y8a</vt:lpstr>
      <vt:lpstr>Y8b</vt:lpstr>
      <vt:lpstr>Y9a</vt:lpstr>
      <vt:lpstr>Y9b</vt:lpstr>
      <vt:lpstr>Y10a</vt:lpstr>
      <vt:lpstr>Y10b</vt:lpstr>
      <vt:lpstr>Y11a</vt:lpstr>
      <vt:lpstr>Y11b</vt:lpstr>
      <vt:lpstr>Y12a</vt:lpstr>
      <vt:lpstr>Y12b</vt:lpstr>
      <vt:lpstr>Y13a</vt:lpstr>
      <vt:lpstr>Y13b</vt:lpstr>
      <vt:lpstr>Y14a</vt:lpstr>
      <vt:lpstr>Y14b</vt:lpstr>
      <vt:lpstr>Y15a</vt:lpstr>
      <vt:lpstr>Y15b</vt:lpstr>
      <vt:lpstr>Y16a</vt:lpstr>
      <vt:lpstr>Y16b</vt:lpstr>
      <vt:lpstr>Y17a</vt:lpstr>
      <vt:lpstr>Y17b</vt:lpstr>
      <vt:lpstr>Y18a</vt:lpstr>
      <vt:lpstr>Y18b</vt:lpstr>
      <vt:lpstr>Y19a</vt:lpstr>
      <vt:lpstr>Y19b</vt:lpstr>
      <vt:lpstr>Y20a</vt:lpstr>
      <vt:lpstr>Y20b</vt:lpstr>
      <vt:lpstr>Y21a</vt:lpstr>
      <vt:lpstr>22a&amp;b</vt:lpstr>
      <vt:lpstr>c23</vt:lpstr>
      <vt:lpstr>Exh C</vt:lpstr>
      <vt:lpstr>'22a&amp;b'!Print_Area</vt:lpstr>
      <vt:lpstr>'c23'!Print_Area</vt:lpstr>
      <vt:lpstr>'Exh C'!Print_Area</vt:lpstr>
      <vt:lpstr>'Y1'!Print_Area</vt:lpstr>
      <vt:lpstr>Y18a!Print_Area</vt:lpstr>
      <vt:lpstr>Y19b!Print_Area</vt:lpstr>
      <vt:lpstr>Y20a!Print_Area</vt:lpstr>
      <vt:lpstr>Y2a!Print_Area</vt:lpstr>
      <vt:lpstr>Y2b!Print_Area</vt:lpstr>
      <vt:lpstr>Y2c!Print_Area</vt:lpstr>
      <vt:lpstr>Y3a!Print_Area</vt:lpstr>
      <vt:lpstr>Y3b!Print_Area</vt:lpstr>
      <vt:lpstr>Y4a!Print_Area</vt:lpstr>
      <vt:lpstr>Y4b!Print_Area</vt:lpstr>
      <vt:lpstr>Y5a!Print_Area</vt:lpstr>
      <vt:lpstr>Y5b!Print_Area</vt:lpstr>
      <vt:lpstr>Y6a!Print_Area</vt:lpstr>
      <vt:lpstr>Y6b!Print_Area</vt:lpstr>
      <vt:lpstr>'22a&amp;b'!Print_Titles</vt:lpstr>
      <vt:lpstr>'c23'!Print_Titles</vt:lpstr>
      <vt:lpstr>'Exh C'!Print_Titles</vt:lpstr>
      <vt:lpstr>'Y1'!Print_Titles</vt:lpstr>
      <vt:lpstr>Y2a!Print_Titles</vt:lpstr>
      <vt:lpstr>Y2b!Print_Titles</vt:lpstr>
      <vt:lpstr>Y2c!Print_Titles</vt:lpstr>
      <vt:lpstr>Y3a!Print_Titles</vt:lpstr>
      <vt:lpstr>Y3b!Print_Titles</vt:lpstr>
      <vt:lpstr>Y4a!Print_Titles</vt:lpstr>
      <vt:lpstr>Y4b!Print_Titles</vt:lpstr>
      <vt:lpstr>Y5a!Print_Titles</vt:lpstr>
      <vt:lpstr>Y5b!Print_Titles</vt:lpstr>
      <vt:lpstr>Y6a!Print_Titles</vt:lpstr>
      <vt:lpstr>Y6b!Print_Titles</vt:lpstr>
      <vt:lpstr>Y7a!Print_Titles</vt:lpstr>
    </vt:vector>
  </TitlesOfParts>
  <Company>AEP-Word-Excel-PowerPoint-Access-6-2-00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s767267</dc:creator>
  <cp:lastModifiedBy>AEP</cp:lastModifiedBy>
  <cp:lastPrinted>2015-08-28T19:44:21Z</cp:lastPrinted>
  <dcterms:created xsi:type="dcterms:W3CDTF">2001-07-17T12:16:38Z</dcterms:created>
  <dcterms:modified xsi:type="dcterms:W3CDTF">2015-09-14T13:26:10Z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0x01010036B6BF96168BE34DAD0985F6C0DDEE0A</vt:lpwstr>
  </property>
</Properties>
</file>