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N2015\CNs-00221-00222 - K L ECR 2-yr Reviews\KU\eFile\08_28_15 eFiling\"/>
    </mc:Choice>
  </mc:AlternateContent>
  <bookViews>
    <workbookView xWindow="0" yWindow="4425" windowWidth="19260" windowHeight="3870" tabRatio="735"/>
  </bookViews>
  <sheets>
    <sheet name="Q1-Q2 KU Over-Under Calc" sheetId="2" r:id="rId1"/>
    <sheet name="Q2 KU Summary Over-Under" sheetId="3" r:id="rId2"/>
    <sheet name="Q1 - KU ROR Feb15" sheetId="5" r:id="rId3"/>
    <sheet name="Revised ROR Dec13" sheetId="6" r:id="rId4"/>
    <sheet name="Revised ROR Feb14" sheetId="7" r:id="rId5"/>
    <sheet name="Revised ROR Aug14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2" hidden="1">#REF!</definedName>
    <definedName name="\\\\" hidden="1">#REF!</definedName>
    <definedName name="__123Graph_A" localSheetId="2" hidden="1">#REF!</definedName>
    <definedName name="__123Graph_A" hidden="1">#REF!</definedName>
    <definedName name="__123Graph_B" localSheetId="2" hidden="1">#REF!</definedName>
    <definedName name="__123Graph_B" hidden="1">#REF!</definedName>
    <definedName name="__123Graph_C" localSheetId="2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F" localSheetId="2" hidden="1">#REF!</definedName>
    <definedName name="__123Graph_F" hidden="1">#REF!</definedName>
    <definedName name="__123Graph_X" localSheetId="2" hidden="1">#REF!</definedName>
    <definedName name="__123Graph_X" hidden="1">#REF!</definedName>
    <definedName name="_36__123Graph_BCHART_1" localSheetId="2" hidden="1">'[1]HOSPICE OPSUM'!#REF!</definedName>
    <definedName name="_36__123Graph_BCHART_1" hidden="1">'[1]HOSPICE OPSUM'!#REF!</definedName>
    <definedName name="_Fill" localSheetId="2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2" hidden="1">#REF!</definedName>
    <definedName name="_Table1_In1" hidden="1">#REF!</definedName>
    <definedName name="_Table1_Out" localSheetId="2" hidden="1">#REF!</definedName>
    <definedName name="_Table1_Out" hidden="1">#REF!</definedName>
    <definedName name="_Table1_Out_2" localSheetId="2" hidden="1">#REF!</definedName>
    <definedName name="_Table1_Out_2" hidden="1">#REF!</definedName>
    <definedName name="_Table2_In1" localSheetId="2" hidden="1">'[2]Bank Model'!#REF!</definedName>
    <definedName name="_Table2_In1" hidden="1">'[2]Bank Model'!#REF!</definedName>
    <definedName name="_Table2_In2" localSheetId="2" hidden="1">'[2]Bank Model'!#REF!</definedName>
    <definedName name="_Table2_In2" hidden="1">'[2]Bank Model'!#REF!</definedName>
    <definedName name="_Table2_Out" localSheetId="2" hidden="1">'[2]Bank Model'!#REF!</definedName>
    <definedName name="_Table2_Out" hidden="1">'[2]Bank Model'!#REF!</definedName>
    <definedName name="_Table2_Out_2" localSheetId="2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2" hidden="1">#REF!</definedName>
    <definedName name="asdfasdfasdfas" hidden="1">#REF!</definedName>
    <definedName name="BLPH1" hidden="1">'[3]Natural gas'!$A$3</definedName>
    <definedName name="BLPR1020040129204514642" localSheetId="2" hidden="1">'[4]Spread Sheet'!#REF!</definedName>
    <definedName name="BLPR1020040129204514642" hidden="1">'[4]Spread Sheet'!#REF!</definedName>
    <definedName name="BLPR1020040129204514642_1_5" localSheetId="2" hidden="1">'[4]Spread Sheet'!#REF!</definedName>
    <definedName name="BLPR1020040129204514642_1_5" hidden="1">'[4]Spread Sheet'!#REF!</definedName>
    <definedName name="BLPR1020040129204514642_2_5" localSheetId="2" hidden="1">'[4]Spread Sheet'!#REF!</definedName>
    <definedName name="BLPR1020040129204514642_2_5" hidden="1">'[4]Spread Sheet'!#REF!</definedName>
    <definedName name="BLPR1020040129204514642_3_5" localSheetId="2" hidden="1">'[4]Spread Sheet'!#REF!</definedName>
    <definedName name="BLPR1020040129204514642_3_5" hidden="1">'[4]Spread Sheet'!#REF!</definedName>
    <definedName name="BLPR1020040129204514642_4_5" localSheetId="2" hidden="1">'[4]Spread Sheet'!#REF!</definedName>
    <definedName name="BLPR1020040129204514642_4_5" hidden="1">'[4]Spread Sheet'!#REF!</definedName>
    <definedName name="BLPR1020040129204514642_5_5" localSheetId="2" hidden="1">'[4]Spread Sheet'!#REF!</definedName>
    <definedName name="BLPR1020040129204514642_5_5" hidden="1">'[4]Spread Sheet'!#REF!</definedName>
    <definedName name="BLPR1120040129204514642" localSheetId="2" hidden="1">'[4]Spread Sheet'!#REF!</definedName>
    <definedName name="BLPR1120040129204514642" hidden="1">'[4]Spread Sheet'!#REF!</definedName>
    <definedName name="BLPR1120040129204514642_1_5" localSheetId="2" hidden="1">'[4]Spread Sheet'!#REF!</definedName>
    <definedName name="BLPR1120040129204514642_1_5" hidden="1">'[4]Spread Sheet'!#REF!</definedName>
    <definedName name="BLPR1120040129204514642_2_5" localSheetId="2" hidden="1">'[4]Spread Sheet'!#REF!</definedName>
    <definedName name="BLPR1120040129204514642_2_5" hidden="1">'[4]Spread Sheet'!#REF!</definedName>
    <definedName name="BLPR1120040129204514642_3_5" localSheetId="2" hidden="1">'[4]Spread Sheet'!#REF!</definedName>
    <definedName name="BLPR1120040129204514642_3_5" hidden="1">'[4]Spread Sheet'!#REF!</definedName>
    <definedName name="BLPR1120040129204514642_4_5" localSheetId="2" hidden="1">'[4]Spread Sheet'!#REF!</definedName>
    <definedName name="BLPR1120040129204514642_4_5" hidden="1">'[4]Spread Sheet'!#REF!</definedName>
    <definedName name="BLPR1120040129204514642_5_5" localSheetId="2" hidden="1">'[4]Spread Sheet'!#REF!</definedName>
    <definedName name="BLPR1120040129204514642_5_5" hidden="1">'[4]Spread Sheet'!#REF!</definedName>
    <definedName name="BLPR120040129203645421" localSheetId="2" hidden="1">'[4]Spread Sheet'!#REF!</definedName>
    <definedName name="BLPR120040129203645421" hidden="1">'[4]Spread Sheet'!#REF!</definedName>
    <definedName name="BLPR120040129203645421_1_4" localSheetId="2" hidden="1">'[4]Spread Sheet'!#REF!</definedName>
    <definedName name="BLPR120040129203645421_1_4" hidden="1">'[4]Spread Sheet'!#REF!</definedName>
    <definedName name="BLPR120040129203645421_2_4" localSheetId="2" hidden="1">'[4]Spread Sheet'!#REF!</definedName>
    <definedName name="BLPR120040129203645421_2_4" hidden="1">'[4]Spread Sheet'!#REF!</definedName>
    <definedName name="BLPR120040129203645421_3_4" localSheetId="2" hidden="1">'[4]Spread Sheet'!#REF!</definedName>
    <definedName name="BLPR120040129203645421_3_4" hidden="1">'[4]Spread Sheet'!#REF!</definedName>
    <definedName name="BLPR120040129203645421_4_4" localSheetId="2" hidden="1">'[4]Spread Sheet'!#REF!</definedName>
    <definedName name="BLPR120040129203645421_4_4" hidden="1">'[4]Spread Sheet'!#REF!</definedName>
    <definedName name="BLPR1220040129204514642" localSheetId="2" hidden="1">'[4]Spread Sheet'!#REF!</definedName>
    <definedName name="BLPR1220040129204514642" hidden="1">'[4]Spread Sheet'!#REF!</definedName>
    <definedName name="BLPR1220040129204514642_1_5" localSheetId="2" hidden="1">'[4]Spread Sheet'!#REF!</definedName>
    <definedName name="BLPR1220040129204514642_1_5" hidden="1">'[4]Spread Sheet'!#REF!</definedName>
    <definedName name="BLPR1220040129204514642_2_5" localSheetId="2" hidden="1">'[4]Spread Sheet'!#REF!</definedName>
    <definedName name="BLPR1220040129204514642_2_5" hidden="1">'[4]Spread Sheet'!#REF!</definedName>
    <definedName name="BLPR1220040129204514642_3_5" localSheetId="2" hidden="1">'[4]Spread Sheet'!#REF!</definedName>
    <definedName name="BLPR1220040129204514642_3_5" hidden="1">'[4]Spread Sheet'!#REF!</definedName>
    <definedName name="BLPR1220040129204514642_4_5" localSheetId="2" hidden="1">'[4]Spread Sheet'!#REF!</definedName>
    <definedName name="BLPR1220040129204514642_4_5" hidden="1">'[4]Spread Sheet'!#REF!</definedName>
    <definedName name="BLPR1220040129204514642_5_5" localSheetId="2" hidden="1">'[4]Spread Sheet'!#REF!</definedName>
    <definedName name="BLPR1220040129204514642_5_5" hidden="1">'[4]Spread Sheet'!#REF!</definedName>
    <definedName name="BLPR1320040129204514642" localSheetId="2" hidden="1">'[4]Spread Sheet'!#REF!</definedName>
    <definedName name="BLPR1320040129204514642" hidden="1">'[4]Spread Sheet'!#REF!</definedName>
    <definedName name="BLPR1320040129204514642_1_5" localSheetId="2" hidden="1">'[4]Spread Sheet'!#REF!</definedName>
    <definedName name="BLPR1320040129204514642_1_5" hidden="1">'[4]Spread Sheet'!#REF!</definedName>
    <definedName name="BLPR1320040129204514642_2_5" localSheetId="2" hidden="1">'[4]Spread Sheet'!#REF!</definedName>
    <definedName name="BLPR1320040129204514642_2_5" hidden="1">'[4]Spread Sheet'!#REF!</definedName>
    <definedName name="BLPR1320040129204514642_3_5" localSheetId="2" hidden="1">'[4]Spread Sheet'!#REF!</definedName>
    <definedName name="BLPR1320040129204514642_3_5" hidden="1">'[4]Spread Sheet'!#REF!</definedName>
    <definedName name="BLPR1320040129204514642_4_5" localSheetId="2" hidden="1">'[4]Spread Sheet'!#REF!</definedName>
    <definedName name="BLPR1320040129204514642_4_5" hidden="1">'[4]Spread Sheet'!#REF!</definedName>
    <definedName name="BLPR1320040129204514642_5_5" localSheetId="2" hidden="1">'[4]Spread Sheet'!#REF!</definedName>
    <definedName name="BLPR1320040129204514642_5_5" hidden="1">'[4]Spread Sheet'!#REF!</definedName>
    <definedName name="BLPR1420040129204514642" localSheetId="2" hidden="1">'[4]Spread Sheet'!#REF!</definedName>
    <definedName name="BLPR1420040129204514642" hidden="1">'[4]Spread Sheet'!#REF!</definedName>
    <definedName name="BLPR1420040129204514642_1_5" localSheetId="2" hidden="1">'[4]Spread Sheet'!#REF!</definedName>
    <definedName name="BLPR1420040129204514642_1_5" hidden="1">'[4]Spread Sheet'!#REF!</definedName>
    <definedName name="BLPR1420040129204514642_2_5" localSheetId="2" hidden="1">'[4]Spread Sheet'!#REF!</definedName>
    <definedName name="BLPR1420040129204514642_2_5" hidden="1">'[4]Spread Sheet'!#REF!</definedName>
    <definedName name="BLPR1420040129204514642_3_5" localSheetId="2" hidden="1">'[4]Spread Sheet'!#REF!</definedName>
    <definedName name="BLPR1420040129204514642_3_5" hidden="1">'[4]Spread Sheet'!#REF!</definedName>
    <definedName name="BLPR1420040129204514642_4_5" localSheetId="2" hidden="1">'[4]Spread Sheet'!#REF!</definedName>
    <definedName name="BLPR1420040129204514642_4_5" hidden="1">'[4]Spread Sheet'!#REF!</definedName>
    <definedName name="BLPR1420040129204514642_5_5" localSheetId="2" hidden="1">'[4]Spread Sheet'!#REF!</definedName>
    <definedName name="BLPR1420040129204514642_5_5" hidden="1">'[4]Spread Sheet'!#REF!</definedName>
    <definedName name="BLPR1520040129204514652" localSheetId="2" hidden="1">'[4]Spread Sheet'!#REF!</definedName>
    <definedName name="BLPR1520040129204514652" hidden="1">'[4]Spread Sheet'!#REF!</definedName>
    <definedName name="BLPR1520040129204514652_1_5" localSheetId="2" hidden="1">'[4]Spread Sheet'!#REF!</definedName>
    <definedName name="BLPR1520040129204514652_1_5" hidden="1">'[4]Spread Sheet'!#REF!</definedName>
    <definedName name="BLPR1520040129204514652_2_5" localSheetId="2" hidden="1">'[4]Spread Sheet'!#REF!</definedName>
    <definedName name="BLPR1520040129204514652_2_5" hidden="1">'[4]Spread Sheet'!#REF!</definedName>
    <definedName name="BLPR1520040129204514652_3_5" localSheetId="2" hidden="1">'[4]Spread Sheet'!#REF!</definedName>
    <definedName name="BLPR1520040129204514652_3_5" hidden="1">'[4]Spread Sheet'!#REF!</definedName>
    <definedName name="BLPR1520040129204514652_4_5" localSheetId="2" hidden="1">'[4]Spread Sheet'!#REF!</definedName>
    <definedName name="BLPR1520040129204514652_4_5" hidden="1">'[4]Spread Sheet'!#REF!</definedName>
    <definedName name="BLPR1520040129204514652_5_5" localSheetId="2" hidden="1">'[4]Spread Sheet'!#REF!</definedName>
    <definedName name="BLPR1520040129204514652_5_5" hidden="1">'[4]Spread Sheet'!#REF!</definedName>
    <definedName name="BLPR1620040129204514652" localSheetId="2" hidden="1">'[4]Spread Sheet'!#REF!</definedName>
    <definedName name="BLPR1620040129204514652" hidden="1">'[4]Spread Sheet'!#REF!</definedName>
    <definedName name="BLPR1620040129204514652_1_5" localSheetId="2" hidden="1">'[4]Spread Sheet'!#REF!</definedName>
    <definedName name="BLPR1620040129204514652_1_5" hidden="1">'[4]Spread Sheet'!#REF!</definedName>
    <definedName name="BLPR1620040129204514652_2_5" localSheetId="2" hidden="1">'[4]Spread Sheet'!#REF!</definedName>
    <definedName name="BLPR1620040129204514652_2_5" hidden="1">'[4]Spread Sheet'!#REF!</definedName>
    <definedName name="BLPR1620040129204514652_3_5" localSheetId="2" hidden="1">'[4]Spread Sheet'!#REF!</definedName>
    <definedName name="BLPR1620040129204514652_3_5" hidden="1">'[4]Spread Sheet'!#REF!</definedName>
    <definedName name="BLPR1620040129204514652_4_5" localSheetId="2" hidden="1">'[4]Spread Sheet'!#REF!</definedName>
    <definedName name="BLPR1620040129204514652_4_5" hidden="1">'[4]Spread Sheet'!#REF!</definedName>
    <definedName name="BLPR1620040129204514652_5_5" localSheetId="2" hidden="1">'[4]Spread Sheet'!#REF!</definedName>
    <definedName name="BLPR1620040129204514652_5_5" hidden="1">'[4]Spread Sheet'!#REF!</definedName>
    <definedName name="BLPR1720040129204514652" localSheetId="2" hidden="1">'[4]Spread Sheet'!#REF!</definedName>
    <definedName name="BLPR1720040129204514652" hidden="1">'[4]Spread Sheet'!#REF!</definedName>
    <definedName name="BLPR1720040129204514652_1_5" localSheetId="2" hidden="1">'[4]Spread Sheet'!#REF!</definedName>
    <definedName name="BLPR1720040129204514652_1_5" hidden="1">'[4]Spread Sheet'!#REF!</definedName>
    <definedName name="BLPR1720040129204514652_2_5" localSheetId="2" hidden="1">'[4]Spread Sheet'!#REF!</definedName>
    <definedName name="BLPR1720040129204514652_2_5" hidden="1">'[4]Spread Sheet'!#REF!</definedName>
    <definedName name="BLPR1720040129204514652_3_5" localSheetId="2" hidden="1">'[4]Spread Sheet'!#REF!</definedName>
    <definedName name="BLPR1720040129204514652_3_5" hidden="1">'[4]Spread Sheet'!#REF!</definedName>
    <definedName name="BLPR1720040129204514652_4_5" localSheetId="2" hidden="1">'[4]Spread Sheet'!#REF!</definedName>
    <definedName name="BLPR1720040129204514652_4_5" hidden="1">'[4]Spread Sheet'!#REF!</definedName>
    <definedName name="BLPR1720040129204514652_5_5" localSheetId="2" hidden="1">'[4]Spread Sheet'!#REF!</definedName>
    <definedName name="BLPR1720040129204514652_5_5" hidden="1">'[4]Spread Sheet'!#REF!</definedName>
    <definedName name="BLPR1820040129204514652" localSheetId="2" hidden="1">'[4]Spread Sheet'!#REF!</definedName>
    <definedName name="BLPR1820040129204514652" hidden="1">'[4]Spread Sheet'!#REF!</definedName>
    <definedName name="BLPR1820040129204514652_1_5" localSheetId="2" hidden="1">'[4]Spread Sheet'!#REF!</definedName>
    <definedName name="BLPR1820040129204514652_1_5" hidden="1">'[4]Spread Sheet'!#REF!</definedName>
    <definedName name="BLPR1820040129204514652_2_5" localSheetId="2" hidden="1">'[4]Spread Sheet'!#REF!</definedName>
    <definedName name="BLPR1820040129204514652_2_5" hidden="1">'[4]Spread Sheet'!#REF!</definedName>
    <definedName name="BLPR1820040129204514652_3_5" localSheetId="2" hidden="1">'[4]Spread Sheet'!#REF!</definedName>
    <definedName name="BLPR1820040129204514652_3_5" hidden="1">'[4]Spread Sheet'!#REF!</definedName>
    <definedName name="BLPR1820040129204514652_4_5" localSheetId="2" hidden="1">'[4]Spread Sheet'!#REF!</definedName>
    <definedName name="BLPR1820040129204514652_4_5" hidden="1">'[4]Spread Sheet'!#REF!</definedName>
    <definedName name="BLPR1820040129204514652_5_5" localSheetId="2" hidden="1">'[4]Spread Sheet'!#REF!</definedName>
    <definedName name="BLPR1820040129204514652_5_5" hidden="1">'[4]Spread Sheet'!#REF!</definedName>
    <definedName name="BLPR1920040129204514652" localSheetId="2" hidden="1">'[4]Spread Sheet'!#REF!</definedName>
    <definedName name="BLPR1920040129204514652" hidden="1">'[4]Spread Sheet'!#REF!</definedName>
    <definedName name="BLPR1920040129204514652_1_5" localSheetId="2" hidden="1">'[4]Spread Sheet'!#REF!</definedName>
    <definedName name="BLPR1920040129204514652_1_5" hidden="1">'[4]Spread Sheet'!#REF!</definedName>
    <definedName name="BLPR1920040129204514652_2_5" localSheetId="2" hidden="1">'[4]Spread Sheet'!#REF!</definedName>
    <definedName name="BLPR1920040129204514652_2_5" hidden="1">'[4]Spread Sheet'!#REF!</definedName>
    <definedName name="BLPR1920040129204514652_3_5" localSheetId="2" hidden="1">'[4]Spread Sheet'!#REF!</definedName>
    <definedName name="BLPR1920040129204514652_3_5" hidden="1">'[4]Spread Sheet'!#REF!</definedName>
    <definedName name="BLPR1920040129204514652_4_5" localSheetId="2" hidden="1">'[4]Spread Sheet'!#REF!</definedName>
    <definedName name="BLPR1920040129204514652_4_5" hidden="1">'[4]Spread Sheet'!#REF!</definedName>
    <definedName name="BLPR1920040129204514652_5_5" localSheetId="2" hidden="1">'[4]Spread Sheet'!#REF!</definedName>
    <definedName name="BLPR1920040129204514652_5_5" hidden="1">'[4]Spread Sheet'!#REF!</definedName>
    <definedName name="BLPR2020040129204514652" localSheetId="2" hidden="1">'[4]Spread Sheet'!#REF!</definedName>
    <definedName name="BLPR2020040129204514652" hidden="1">'[4]Spread Sheet'!#REF!</definedName>
    <definedName name="BLPR2020040129204514652_1_5" localSheetId="2" hidden="1">'[4]Spread Sheet'!#REF!</definedName>
    <definedName name="BLPR2020040129204514652_1_5" hidden="1">'[4]Spread Sheet'!#REF!</definedName>
    <definedName name="BLPR2020040129204514652_2_5" localSheetId="2" hidden="1">'[4]Spread Sheet'!#REF!</definedName>
    <definedName name="BLPR2020040129204514652_2_5" hidden="1">'[4]Spread Sheet'!#REF!</definedName>
    <definedName name="BLPR2020040129204514652_3_5" localSheetId="2" hidden="1">'[4]Spread Sheet'!#REF!</definedName>
    <definedName name="BLPR2020040129204514652_3_5" hidden="1">'[4]Spread Sheet'!#REF!</definedName>
    <definedName name="BLPR2020040129204514652_4_5" localSheetId="2" hidden="1">'[4]Spread Sheet'!#REF!</definedName>
    <definedName name="BLPR2020040129204514652_4_5" hidden="1">'[4]Spread Sheet'!#REF!</definedName>
    <definedName name="BLPR2020040129204514652_5_5" localSheetId="2" hidden="1">'[4]Spread Sheet'!#REF!</definedName>
    <definedName name="BLPR2020040129204514652_5_5" hidden="1">'[4]Spread Sheet'!#REF!</definedName>
    <definedName name="BLPR2120040129204514652" localSheetId="2" hidden="1">'[4]Spread Sheet'!#REF!</definedName>
    <definedName name="BLPR2120040129204514652" hidden="1">'[4]Spread Sheet'!#REF!</definedName>
    <definedName name="BLPR2120040129204514652_1_5" localSheetId="2" hidden="1">'[4]Spread Sheet'!#REF!</definedName>
    <definedName name="BLPR2120040129204514652_1_5" hidden="1">'[4]Spread Sheet'!#REF!</definedName>
    <definedName name="BLPR2120040129204514652_2_5" localSheetId="2" hidden="1">'[4]Spread Sheet'!#REF!</definedName>
    <definedName name="BLPR2120040129204514652_2_5" hidden="1">'[4]Spread Sheet'!#REF!</definedName>
    <definedName name="BLPR2120040129204514652_3_5" localSheetId="2" hidden="1">'[4]Spread Sheet'!#REF!</definedName>
    <definedName name="BLPR2120040129204514652_3_5" hidden="1">'[4]Spread Sheet'!#REF!</definedName>
    <definedName name="BLPR2120040129204514652_4_5" localSheetId="2" hidden="1">'[4]Spread Sheet'!#REF!</definedName>
    <definedName name="BLPR2120040129204514652_4_5" hidden="1">'[4]Spread Sheet'!#REF!</definedName>
    <definedName name="BLPR2120040129204514652_5_5" localSheetId="2" hidden="1">'[4]Spread Sheet'!#REF!</definedName>
    <definedName name="BLPR2120040129204514652_5_5" hidden="1">'[4]Spread Sheet'!#REF!</definedName>
    <definedName name="BLPR220040129203645421" localSheetId="2" hidden="1">'[4]Spread Sheet'!#REF!</definedName>
    <definedName name="BLPR220040129203645421" hidden="1">'[4]Spread Sheet'!#REF!</definedName>
    <definedName name="BLPR220040129203645421_1_4" localSheetId="2" hidden="1">'[4]Spread Sheet'!#REF!</definedName>
    <definedName name="BLPR220040129203645421_1_4" hidden="1">'[4]Spread Sheet'!#REF!</definedName>
    <definedName name="BLPR220040129203645421_2_4" localSheetId="2" hidden="1">'[4]Spread Sheet'!#REF!</definedName>
    <definedName name="BLPR220040129203645421_2_4" hidden="1">'[4]Spread Sheet'!#REF!</definedName>
    <definedName name="BLPR220040129203645421_3_4" localSheetId="2" hidden="1">'[4]Spread Sheet'!#REF!</definedName>
    <definedName name="BLPR220040129203645421_3_4" hidden="1">'[4]Spread Sheet'!#REF!</definedName>
    <definedName name="BLPR220040129203645421_4_4" localSheetId="2" hidden="1">'[4]Spread Sheet'!#REF!</definedName>
    <definedName name="BLPR220040129203645421_4_4" hidden="1">'[4]Spread Sheet'!#REF!</definedName>
    <definedName name="BLPR2220040129204514652" localSheetId="2" hidden="1">'[4]Spread Sheet'!#REF!</definedName>
    <definedName name="BLPR2220040129204514652" hidden="1">'[4]Spread Sheet'!#REF!</definedName>
    <definedName name="BLPR2220040129204514652_1_5" localSheetId="2" hidden="1">'[4]Spread Sheet'!#REF!</definedName>
    <definedName name="BLPR2220040129204514652_1_5" hidden="1">'[4]Spread Sheet'!#REF!</definedName>
    <definedName name="BLPR2220040129204514652_2_5" localSheetId="2" hidden="1">'[4]Spread Sheet'!#REF!</definedName>
    <definedName name="BLPR2220040129204514652_2_5" hidden="1">'[4]Spread Sheet'!#REF!</definedName>
    <definedName name="BLPR2220040129204514652_3_5" localSheetId="2" hidden="1">'[4]Spread Sheet'!#REF!</definedName>
    <definedName name="BLPR2220040129204514652_3_5" hidden="1">'[4]Spread Sheet'!#REF!</definedName>
    <definedName name="BLPR2220040129204514652_4_5" localSheetId="2" hidden="1">'[4]Spread Sheet'!#REF!</definedName>
    <definedName name="BLPR2220040129204514652_4_5" hidden="1">'[4]Spread Sheet'!#REF!</definedName>
    <definedName name="BLPR2220040129204514652_5_5" localSheetId="2" hidden="1">'[4]Spread Sheet'!#REF!</definedName>
    <definedName name="BLPR2220040129204514652_5_5" hidden="1">'[4]Spread Sheet'!#REF!</definedName>
    <definedName name="BLPR2320040129204514662" localSheetId="2" hidden="1">'[4]Spread Sheet'!#REF!</definedName>
    <definedName name="BLPR2320040129204514662" hidden="1">'[4]Spread Sheet'!#REF!</definedName>
    <definedName name="BLPR2320040129204514662_1_5" localSheetId="2" hidden="1">'[4]Spread Sheet'!#REF!</definedName>
    <definedName name="BLPR2320040129204514662_1_5" hidden="1">'[4]Spread Sheet'!#REF!</definedName>
    <definedName name="BLPR2320040129204514662_2_5" localSheetId="2" hidden="1">'[4]Spread Sheet'!#REF!</definedName>
    <definedName name="BLPR2320040129204514662_2_5" hidden="1">'[4]Spread Sheet'!#REF!</definedName>
    <definedName name="BLPR2320040129204514662_3_5" localSheetId="2" hidden="1">'[4]Spread Sheet'!#REF!</definedName>
    <definedName name="BLPR2320040129204514662_3_5" hidden="1">'[4]Spread Sheet'!#REF!</definedName>
    <definedName name="BLPR2320040129204514662_4_5" localSheetId="2" hidden="1">'[4]Spread Sheet'!#REF!</definedName>
    <definedName name="BLPR2320040129204514662_4_5" hidden="1">'[4]Spread Sheet'!#REF!</definedName>
    <definedName name="BLPR2320040129204514662_5_5" localSheetId="2" hidden="1">'[4]Spread Sheet'!#REF!</definedName>
    <definedName name="BLPR2320040129204514662_5_5" hidden="1">'[4]Spread Sheet'!#REF!</definedName>
    <definedName name="BLPR2420040129204514662" localSheetId="2" hidden="1">'[4]Spread Sheet'!#REF!</definedName>
    <definedName name="BLPR2420040129204514662" hidden="1">'[4]Spread Sheet'!#REF!</definedName>
    <definedName name="BLPR2420040129204514662_1_5" localSheetId="2" hidden="1">'[4]Spread Sheet'!#REF!</definedName>
    <definedName name="BLPR2420040129204514662_1_5" hidden="1">'[4]Spread Sheet'!#REF!</definedName>
    <definedName name="BLPR2420040129204514662_2_5" localSheetId="2" hidden="1">'[4]Spread Sheet'!#REF!</definedName>
    <definedName name="BLPR2420040129204514662_2_5" hidden="1">'[4]Spread Sheet'!#REF!</definedName>
    <definedName name="BLPR2420040129204514662_3_5" localSheetId="2" hidden="1">'[4]Spread Sheet'!#REF!</definedName>
    <definedName name="BLPR2420040129204514662_3_5" hidden="1">'[4]Spread Sheet'!#REF!</definedName>
    <definedName name="BLPR2420040129204514662_4_5" localSheetId="2" hidden="1">'[4]Spread Sheet'!#REF!</definedName>
    <definedName name="BLPR2420040129204514662_4_5" hidden="1">'[4]Spread Sheet'!#REF!</definedName>
    <definedName name="BLPR2420040129204514662_5_5" localSheetId="2" hidden="1">'[4]Spread Sheet'!#REF!</definedName>
    <definedName name="BLPR2420040129204514662_5_5" hidden="1">'[4]Spread Sheet'!#REF!</definedName>
    <definedName name="BLPR2520040129204514662" localSheetId="2" hidden="1">'[4]Spread Sheet'!#REF!</definedName>
    <definedName name="BLPR2520040129204514662" hidden="1">'[4]Spread Sheet'!#REF!</definedName>
    <definedName name="BLPR2520040129204514662_1_5" localSheetId="2" hidden="1">'[4]Spread Sheet'!#REF!</definedName>
    <definedName name="BLPR2520040129204514662_1_5" hidden="1">'[4]Spread Sheet'!#REF!</definedName>
    <definedName name="BLPR2520040129204514662_2_5" localSheetId="2" hidden="1">'[4]Spread Sheet'!#REF!</definedName>
    <definedName name="BLPR2520040129204514662_2_5" hidden="1">'[4]Spread Sheet'!#REF!</definedName>
    <definedName name="BLPR2520040129204514662_3_5" localSheetId="2" hidden="1">'[4]Spread Sheet'!#REF!</definedName>
    <definedName name="BLPR2520040129204514662_3_5" hidden="1">'[4]Spread Sheet'!#REF!</definedName>
    <definedName name="BLPR2520040129204514662_4_5" localSheetId="2" hidden="1">'[4]Spread Sheet'!#REF!</definedName>
    <definedName name="BLPR2520040129204514662_4_5" hidden="1">'[4]Spread Sheet'!#REF!</definedName>
    <definedName name="BLPR2520040129204514662_5_5" localSheetId="2" hidden="1">'[4]Spread Sheet'!#REF!</definedName>
    <definedName name="BLPR2520040129204514662_5_5" hidden="1">'[4]Spread Sheet'!#REF!</definedName>
    <definedName name="BLPR2620040129204514662" localSheetId="2" hidden="1">'[4]Spread Sheet'!#REF!</definedName>
    <definedName name="BLPR2620040129204514662" hidden="1">'[4]Spread Sheet'!#REF!</definedName>
    <definedName name="BLPR2620040129204514662_1_5" localSheetId="2" hidden="1">'[4]Spread Sheet'!#REF!</definedName>
    <definedName name="BLPR2620040129204514662_1_5" hidden="1">'[4]Spread Sheet'!#REF!</definedName>
    <definedName name="BLPR2620040129204514662_2_5" localSheetId="2" hidden="1">'[4]Spread Sheet'!#REF!</definedName>
    <definedName name="BLPR2620040129204514662_2_5" hidden="1">'[4]Spread Sheet'!#REF!</definedName>
    <definedName name="BLPR2620040129204514662_3_5" localSheetId="2" hidden="1">'[4]Spread Sheet'!#REF!</definedName>
    <definedName name="BLPR2620040129204514662_3_5" hidden="1">'[4]Spread Sheet'!#REF!</definedName>
    <definedName name="BLPR2620040129204514662_4_5" localSheetId="2" hidden="1">'[4]Spread Sheet'!#REF!</definedName>
    <definedName name="BLPR2620040129204514662_4_5" hidden="1">'[4]Spread Sheet'!#REF!</definedName>
    <definedName name="BLPR2620040129204514662_5_5" localSheetId="2" hidden="1">'[4]Spread Sheet'!#REF!</definedName>
    <definedName name="BLPR2620040129204514662_5_5" hidden="1">'[4]Spread Sheet'!#REF!</definedName>
    <definedName name="BLPR2720040129204514662" localSheetId="2" hidden="1">'[4]Spread Sheet'!#REF!</definedName>
    <definedName name="BLPR2720040129204514662" hidden="1">'[4]Spread Sheet'!#REF!</definedName>
    <definedName name="BLPR2720040129204514662_1_5" localSheetId="2" hidden="1">'[4]Spread Sheet'!#REF!</definedName>
    <definedName name="BLPR2720040129204514662_1_5" hidden="1">'[4]Spread Sheet'!#REF!</definedName>
    <definedName name="BLPR2720040129204514662_2_5" localSheetId="2" hidden="1">'[4]Spread Sheet'!#REF!</definedName>
    <definedName name="BLPR2720040129204514662_2_5" hidden="1">'[4]Spread Sheet'!#REF!</definedName>
    <definedName name="BLPR2720040129204514662_3_5" localSheetId="2" hidden="1">'[4]Spread Sheet'!#REF!</definedName>
    <definedName name="BLPR2720040129204514662_3_5" hidden="1">'[4]Spread Sheet'!#REF!</definedName>
    <definedName name="BLPR2720040129204514662_4_5" localSheetId="2" hidden="1">'[4]Spread Sheet'!#REF!</definedName>
    <definedName name="BLPR2720040129204514662_4_5" hidden="1">'[4]Spread Sheet'!#REF!</definedName>
    <definedName name="BLPR2720040129204514662_5_5" localSheetId="2" hidden="1">'[4]Spread Sheet'!#REF!</definedName>
    <definedName name="BLPR2720040129204514662_5_5" hidden="1">'[4]Spread Sheet'!#REF!</definedName>
    <definedName name="BLPR2820040129204514662" localSheetId="2" hidden="1">'[4]Spread Sheet'!#REF!</definedName>
    <definedName name="BLPR2820040129204514662" hidden="1">'[4]Spread Sheet'!#REF!</definedName>
    <definedName name="BLPR2820040129204514662_1_5" localSheetId="2" hidden="1">'[4]Spread Sheet'!#REF!</definedName>
    <definedName name="BLPR2820040129204514662_1_5" hidden="1">'[4]Spread Sheet'!#REF!</definedName>
    <definedName name="BLPR2820040129204514662_2_5" localSheetId="2" hidden="1">'[4]Spread Sheet'!#REF!</definedName>
    <definedName name="BLPR2820040129204514662_2_5" hidden="1">'[4]Spread Sheet'!#REF!</definedName>
    <definedName name="BLPR2820040129204514662_3_5" localSheetId="2" hidden="1">'[4]Spread Sheet'!#REF!</definedName>
    <definedName name="BLPR2820040129204514662_3_5" hidden="1">'[4]Spread Sheet'!#REF!</definedName>
    <definedName name="BLPR2820040129204514662_4_5" localSheetId="2" hidden="1">'[4]Spread Sheet'!#REF!</definedName>
    <definedName name="BLPR2820040129204514662_4_5" hidden="1">'[4]Spread Sheet'!#REF!</definedName>
    <definedName name="BLPR2820040129204514662_5_5" localSheetId="2" hidden="1">'[4]Spread Sheet'!#REF!</definedName>
    <definedName name="BLPR2820040129204514662_5_5" hidden="1">'[4]Spread Sheet'!#REF!</definedName>
    <definedName name="BLPR2920040129204514662" localSheetId="2" hidden="1">'[4]Spread Sheet'!#REF!</definedName>
    <definedName name="BLPR2920040129204514662" hidden="1">'[4]Spread Sheet'!#REF!</definedName>
    <definedName name="BLPR2920040129204514662_1_5" localSheetId="2" hidden="1">'[4]Spread Sheet'!#REF!</definedName>
    <definedName name="BLPR2920040129204514662_1_5" hidden="1">'[4]Spread Sheet'!#REF!</definedName>
    <definedName name="BLPR2920040129204514662_2_5" localSheetId="2" hidden="1">'[4]Spread Sheet'!#REF!</definedName>
    <definedName name="BLPR2920040129204514662_2_5" hidden="1">'[4]Spread Sheet'!#REF!</definedName>
    <definedName name="BLPR2920040129204514662_3_5" localSheetId="2" hidden="1">'[4]Spread Sheet'!#REF!</definedName>
    <definedName name="BLPR2920040129204514662_3_5" hidden="1">'[4]Spread Sheet'!#REF!</definedName>
    <definedName name="BLPR2920040129204514662_4_5" localSheetId="2" hidden="1">'[4]Spread Sheet'!#REF!</definedName>
    <definedName name="BLPR2920040129204514662_4_5" hidden="1">'[4]Spread Sheet'!#REF!</definedName>
    <definedName name="BLPR2920040129204514662_5_5" localSheetId="2" hidden="1">'[4]Spread Sheet'!#REF!</definedName>
    <definedName name="BLPR2920040129204514662_5_5" hidden="1">'[4]Spread Sheet'!#REF!</definedName>
    <definedName name="BLPR3020040129204514672" localSheetId="2" hidden="1">'[4]Spread Sheet'!#REF!</definedName>
    <definedName name="BLPR3020040129204514672" hidden="1">'[4]Spread Sheet'!#REF!</definedName>
    <definedName name="BLPR3020040129204514672_1_5" localSheetId="2" hidden="1">'[4]Spread Sheet'!#REF!</definedName>
    <definedName name="BLPR3020040129204514672_1_5" hidden="1">'[4]Spread Sheet'!#REF!</definedName>
    <definedName name="BLPR3020040129204514672_2_5" localSheetId="2" hidden="1">'[4]Spread Sheet'!#REF!</definedName>
    <definedName name="BLPR3020040129204514672_2_5" hidden="1">'[4]Spread Sheet'!#REF!</definedName>
    <definedName name="BLPR3020040129204514672_3_5" localSheetId="2" hidden="1">'[4]Spread Sheet'!#REF!</definedName>
    <definedName name="BLPR3020040129204514672_3_5" hidden="1">'[4]Spread Sheet'!#REF!</definedName>
    <definedName name="BLPR3020040129204514672_4_5" localSheetId="2" hidden="1">'[4]Spread Sheet'!#REF!</definedName>
    <definedName name="BLPR3020040129204514672_4_5" hidden="1">'[4]Spread Sheet'!#REF!</definedName>
    <definedName name="BLPR3020040129204514672_5_5" localSheetId="2" hidden="1">'[4]Spread Sheet'!#REF!</definedName>
    <definedName name="BLPR3020040129204514672_5_5" hidden="1">'[4]Spread Sheet'!#REF!</definedName>
    <definedName name="BLPR3120040129204514692" localSheetId="2" hidden="1">'[4]Spread Sheet'!#REF!</definedName>
    <definedName name="BLPR3120040129204514692" hidden="1">'[4]Spread Sheet'!#REF!</definedName>
    <definedName name="BLPR3120040129204514692_1_1" localSheetId="2" hidden="1">'[4]Spread Sheet'!#REF!</definedName>
    <definedName name="BLPR3120040129204514692_1_1" hidden="1">'[4]Spread Sheet'!#REF!</definedName>
    <definedName name="BLPR320040129203645431" localSheetId="2" hidden="1">'[4]Spread Sheet'!#REF!</definedName>
    <definedName name="BLPR320040129203645431" hidden="1">'[4]Spread Sheet'!#REF!</definedName>
    <definedName name="BLPR320040129203645431_1_4" localSheetId="2" hidden="1">'[4]Spread Sheet'!#REF!</definedName>
    <definedName name="BLPR320040129203645431_1_4" hidden="1">'[4]Spread Sheet'!#REF!</definedName>
    <definedName name="BLPR320040129203645431_2_4" localSheetId="2" hidden="1">'[4]Spread Sheet'!#REF!</definedName>
    <definedName name="BLPR320040129203645431_2_4" hidden="1">'[4]Spread Sheet'!#REF!</definedName>
    <definedName name="BLPR320040129203645431_3_4" localSheetId="2" hidden="1">'[4]Spread Sheet'!#REF!</definedName>
    <definedName name="BLPR320040129203645431_3_4" hidden="1">'[4]Spread Sheet'!#REF!</definedName>
    <definedName name="BLPR320040129203645431_4_4" localSheetId="2" hidden="1">'[4]Spread Sheet'!#REF!</definedName>
    <definedName name="BLPR320040129203645431_4_4" hidden="1">'[4]Spread Sheet'!#REF!</definedName>
    <definedName name="BLPR3220040129204514692" localSheetId="2" hidden="1">'[4]Spread Sheet'!#REF!</definedName>
    <definedName name="BLPR3220040129204514692" hidden="1">'[4]Spread Sheet'!#REF!</definedName>
    <definedName name="BLPR3220040129204514692_1_1" localSheetId="2" hidden="1">'[4]Spread Sheet'!#REF!</definedName>
    <definedName name="BLPR3220040129204514692_1_1" hidden="1">'[4]Spread Sheet'!#REF!</definedName>
    <definedName name="BLPR3320040129204514702" localSheetId="2" hidden="1">'[4]Spread Sheet'!#REF!</definedName>
    <definedName name="BLPR3320040129204514702" hidden="1">'[4]Spread Sheet'!#REF!</definedName>
    <definedName name="BLPR3320040129204514702_1_1" localSheetId="2" hidden="1">'[4]Spread Sheet'!#REF!</definedName>
    <definedName name="BLPR3320040129204514702_1_1" hidden="1">'[4]Spread Sheet'!#REF!</definedName>
    <definedName name="BLPR3420040129204514702" localSheetId="2" hidden="1">'[4]Spread Sheet'!#REF!</definedName>
    <definedName name="BLPR3420040129204514702" hidden="1">'[4]Spread Sheet'!#REF!</definedName>
    <definedName name="BLPR3420040129204514702_1_1" localSheetId="2" hidden="1">'[4]Spread Sheet'!#REF!</definedName>
    <definedName name="BLPR3420040129204514702_1_1" hidden="1">'[4]Spread Sheet'!#REF!</definedName>
    <definedName name="BLPR3520040129204514702" localSheetId="2" hidden="1">'[4]Spread Sheet'!#REF!</definedName>
    <definedName name="BLPR3520040129204514702" hidden="1">'[4]Spread Sheet'!#REF!</definedName>
    <definedName name="BLPR3520040129204514702_1_1" localSheetId="2" hidden="1">'[4]Spread Sheet'!#REF!</definedName>
    <definedName name="BLPR3520040129204514702_1_1" hidden="1">'[4]Spread Sheet'!#REF!</definedName>
    <definedName name="BLPR420040129203645431" localSheetId="2" hidden="1">'[4]Spread Sheet'!#REF!</definedName>
    <definedName name="BLPR420040129203645431" hidden="1">'[4]Spread Sheet'!#REF!</definedName>
    <definedName name="BLPR420040129203645431_1_4" localSheetId="2" hidden="1">'[4]Spread Sheet'!#REF!</definedName>
    <definedName name="BLPR420040129203645431_1_4" hidden="1">'[4]Spread Sheet'!#REF!</definedName>
    <definedName name="BLPR420040129203645431_2_4" localSheetId="2" hidden="1">'[4]Spread Sheet'!#REF!</definedName>
    <definedName name="BLPR420040129203645431_2_4" hidden="1">'[4]Spread Sheet'!#REF!</definedName>
    <definedName name="BLPR420040129203645431_3_4" localSheetId="2" hidden="1">'[4]Spread Sheet'!#REF!</definedName>
    <definedName name="BLPR420040129203645431_3_4" hidden="1">'[4]Spread Sheet'!#REF!</definedName>
    <definedName name="BLPR420040129203645431_4_4" localSheetId="2" hidden="1">'[4]Spread Sheet'!#REF!</definedName>
    <definedName name="BLPR420040129203645431_4_4" hidden="1">'[4]Spread Sheet'!#REF!</definedName>
    <definedName name="BLPR520040129203645441" localSheetId="2" hidden="1">'[4]Spread Sheet'!#REF!</definedName>
    <definedName name="BLPR520040129203645441" hidden="1">'[4]Spread Sheet'!#REF!</definedName>
    <definedName name="BLPR520040129203645441_1_4" localSheetId="2" hidden="1">'[4]Spread Sheet'!#REF!</definedName>
    <definedName name="BLPR520040129203645441_1_4" hidden="1">'[4]Spread Sheet'!#REF!</definedName>
    <definedName name="BLPR520040129203645441_2_4" localSheetId="2" hidden="1">'[4]Spread Sheet'!#REF!</definedName>
    <definedName name="BLPR520040129203645441_2_4" hidden="1">'[4]Spread Sheet'!#REF!</definedName>
    <definedName name="BLPR520040129203645441_3_4" localSheetId="2" hidden="1">'[4]Spread Sheet'!#REF!</definedName>
    <definedName name="BLPR520040129203645441_3_4" hidden="1">'[4]Spread Sheet'!#REF!</definedName>
    <definedName name="BLPR520040129203645441_4_4" localSheetId="2" hidden="1">'[4]Spread Sheet'!#REF!</definedName>
    <definedName name="BLPR520040129203645441_4_4" hidden="1">'[4]Spread Sheet'!#REF!</definedName>
    <definedName name="BLPR620040129204149993" localSheetId="2" hidden="1">'[4]Spread Sheet'!#REF!</definedName>
    <definedName name="BLPR620040129204149993" hidden="1">'[4]Spread Sheet'!#REF!</definedName>
    <definedName name="BLPR620040129204149993_1_5" localSheetId="2" hidden="1">'[4]Spread Sheet'!#REF!</definedName>
    <definedName name="BLPR620040129204149993_1_5" hidden="1">'[4]Spread Sheet'!#REF!</definedName>
    <definedName name="BLPR620040129204149993_2_5" localSheetId="2" hidden="1">'[4]Spread Sheet'!#REF!</definedName>
    <definedName name="BLPR620040129204149993_2_5" hidden="1">'[4]Spread Sheet'!#REF!</definedName>
    <definedName name="BLPR620040129204149993_3_5" localSheetId="2" hidden="1">'[4]Spread Sheet'!#REF!</definedName>
    <definedName name="BLPR620040129204149993_3_5" hidden="1">'[4]Spread Sheet'!#REF!</definedName>
    <definedName name="BLPR620040129204149993_4_5" localSheetId="2" hidden="1">'[4]Spread Sheet'!#REF!</definedName>
    <definedName name="BLPR620040129204149993_4_5" hidden="1">'[4]Spread Sheet'!#REF!</definedName>
    <definedName name="BLPR620040129204149993_5_5" localSheetId="2" hidden="1">'[4]Spread Sheet'!#REF!</definedName>
    <definedName name="BLPR620040129204149993_5_5" hidden="1">'[4]Spread Sheet'!#REF!</definedName>
    <definedName name="BLPR720040129204514631" localSheetId="2" hidden="1">'[4]Spread Sheet'!#REF!</definedName>
    <definedName name="BLPR720040129204514631" hidden="1">'[4]Spread Sheet'!#REF!</definedName>
    <definedName name="BLPR720040129204514631_1_5" localSheetId="2" hidden="1">'[4]Spread Sheet'!#REF!</definedName>
    <definedName name="BLPR720040129204514631_1_5" hidden="1">'[4]Spread Sheet'!#REF!</definedName>
    <definedName name="BLPR720040129204514631_2_5" localSheetId="2" hidden="1">'[4]Spread Sheet'!#REF!</definedName>
    <definedName name="BLPR720040129204514631_2_5" hidden="1">'[4]Spread Sheet'!#REF!</definedName>
    <definedName name="BLPR720040129204514631_3_5" localSheetId="2" hidden="1">'[4]Spread Sheet'!#REF!</definedName>
    <definedName name="BLPR720040129204514631_3_5" hidden="1">'[4]Spread Sheet'!#REF!</definedName>
    <definedName name="BLPR720040129204514631_4_5" localSheetId="2" hidden="1">'[4]Spread Sheet'!#REF!</definedName>
    <definedName name="BLPR720040129204514631_4_5" hidden="1">'[4]Spread Sheet'!#REF!</definedName>
    <definedName name="BLPR720040129204514631_5_5" localSheetId="2" hidden="1">'[4]Spread Sheet'!#REF!</definedName>
    <definedName name="BLPR720040129204514631_5_5" hidden="1">'[4]Spread Sheet'!#REF!</definedName>
    <definedName name="BLPR820040129204514642" localSheetId="2" hidden="1">'[4]Spread Sheet'!#REF!</definedName>
    <definedName name="BLPR820040129204514642" hidden="1">'[4]Spread Sheet'!#REF!</definedName>
    <definedName name="BLPR820040129204514642_1_5" localSheetId="2" hidden="1">'[4]Spread Sheet'!#REF!</definedName>
    <definedName name="BLPR820040129204514642_1_5" hidden="1">'[4]Spread Sheet'!#REF!</definedName>
    <definedName name="BLPR820040129204514642_2_5" localSheetId="2" hidden="1">'[4]Spread Sheet'!#REF!</definedName>
    <definedName name="BLPR820040129204514642_2_5" hidden="1">'[4]Spread Sheet'!#REF!</definedName>
    <definedName name="BLPR820040129204514642_3_5" localSheetId="2" hidden="1">'[4]Spread Sheet'!#REF!</definedName>
    <definedName name="BLPR820040129204514642_3_5" hidden="1">'[4]Spread Sheet'!#REF!</definedName>
    <definedName name="BLPR820040129204514642_4_5" localSheetId="2" hidden="1">'[4]Spread Sheet'!#REF!</definedName>
    <definedName name="BLPR820040129204514642_4_5" hidden="1">'[4]Spread Sheet'!#REF!</definedName>
    <definedName name="BLPR820040129204514642_5_5" localSheetId="2" hidden="1">'[4]Spread Sheet'!#REF!</definedName>
    <definedName name="BLPR820040129204514642_5_5" hidden="1">'[4]Spread Sheet'!#REF!</definedName>
    <definedName name="BLPR920040129204514642" localSheetId="2" hidden="1">'[4]Spread Sheet'!#REF!</definedName>
    <definedName name="BLPR920040129204514642" hidden="1">'[4]Spread Sheet'!#REF!</definedName>
    <definedName name="BLPR920040129204514642_1_5" localSheetId="2" hidden="1">'[4]Spread Sheet'!#REF!</definedName>
    <definedName name="BLPR920040129204514642_1_5" hidden="1">'[4]Spread Sheet'!#REF!</definedName>
    <definedName name="BLPR920040129204514642_2_5" localSheetId="2" hidden="1">'[4]Spread Sheet'!#REF!</definedName>
    <definedName name="BLPR920040129204514642_2_5" hidden="1">'[4]Spread Sheet'!#REF!</definedName>
    <definedName name="BLPR920040129204514642_3_5" localSheetId="2" hidden="1">'[4]Spread Sheet'!#REF!</definedName>
    <definedName name="BLPR920040129204514642_3_5" hidden="1">'[4]Spread Sheet'!#REF!</definedName>
    <definedName name="BLPR920040129204514642_4_5" localSheetId="2" hidden="1">'[4]Spread Sheet'!#REF!</definedName>
    <definedName name="BLPR920040129204514642_4_5" hidden="1">'[4]Spread Sheet'!#REF!</definedName>
    <definedName name="BLPR920040129204514642_5_5" localSheetId="2" hidden="1">'[4]Spread Sheet'!#REF!</definedName>
    <definedName name="BLPR920040129204514642_5_5" hidden="1">'[4]Spread Sheet'!#REF!</definedName>
    <definedName name="BNE_MESSAGES_HIDDEN" localSheetId="2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2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localSheetId="2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localSheetId="2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opCache_GL_INTERFACE_REFERENCE7" localSheetId="2" hidden="1">[5]PopCache!$A$1:$A$2</definedName>
    <definedName name="PopCache_GL_INTERFACE_REFERENCE7" hidden="1">[6]PopCache!$A$1:$A$2</definedName>
    <definedName name="_xlnm.Print_Area" localSheetId="2">'Q1 - KU ROR Feb15'!$A$1:$R$49</definedName>
    <definedName name="_xlnm.Print_Area" localSheetId="0">'Q1-Q2 KU Over-Under Calc'!$A$1:$I$41,'Q1-Q2 KU Over-Under Calc'!$K$1:$S$41,'Q1-Q2 KU Over-Under Calc'!$U$1:$AC$41,'Q1-Q2 KU Over-Under Calc'!$AE$1:$AO$56</definedName>
    <definedName name="_xlnm.Print_Area" localSheetId="1">'Q2 KU Summary Over-Under'!$A$1:$J$106</definedName>
    <definedName name="_xlnm.Print_Area" localSheetId="3">'Revised ROR Dec13'!$A$1:$T$49</definedName>
    <definedName name="print4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2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localSheetId="2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2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2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2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2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2" hidden="1">{#N/A,#N/A,FALSE,"Acq-Val";#N/A,#N/A,FALSE,"Acq-Mult Val"}</definedName>
    <definedName name="wrn.AcqVal." hidden="1">{#N/A,#N/A,FALSE,"Acq-Val";#N/A,#N/A,FALSE,"Acq-Mult Val"}</definedName>
    <definedName name="wrn.AcqVal._2" localSheetId="2" hidden="1">{#N/A,#N/A,FALSE,"Acq-Val";#N/A,#N/A,FALSE,"Acq-Mult Val"}</definedName>
    <definedName name="wrn.AcqVal._2" hidden="1">{#N/A,#N/A,FALSE,"Acq-Val";#N/A,#N/A,FALSE,"Acq-Mult Val"}</definedName>
    <definedName name="wrn.AcqVal._22" localSheetId="2" hidden="1">{#N/A,#N/A,FALSE,"Acq-Val";#N/A,#N/A,FALSE,"Acq-Mult Val"}</definedName>
    <definedName name="wrn.AcqVal._22" hidden="1">{#N/A,#N/A,FALSE,"Acq-Val";#N/A,#N/A,FALSE,"Acq-Mult Val"}</definedName>
    <definedName name="wrn.AcqVal.2" localSheetId="2" hidden="1">{#N/A,#N/A,FALSE,"Acq-Val";#N/A,#N/A,FALSE,"Acq-Mult Val"}</definedName>
    <definedName name="wrn.AcqVal.2" hidden="1">{#N/A,#N/A,FALSE,"Acq-Val";#N/A,#N/A,FALSE,"Acq-Mult Val"}</definedName>
    <definedName name="wrn.all." localSheetId="2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2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2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2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2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2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2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2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2" hidden="1">{"Facility Detail",#N/A,FALSE,"P&amp;L Detail"}</definedName>
    <definedName name="wrn.Detail._.Income._.Statement." hidden="1">{"Facility Detail",#N/A,FALSE,"P&amp;L Detail"}</definedName>
    <definedName name="wrn.Everything." localSheetId="2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2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2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2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2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2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2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2" hidden="1">{"Phase in summary",#N/A,FALSE,"P&amp;L Phased"}</definedName>
    <definedName name="wrn.Phase._.in." hidden="1">{"Phase in summary",#N/A,FALSE,"P&amp;L Phased"}</definedName>
    <definedName name="wrn.PL._.Detail." localSheetId="2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2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2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2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2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2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2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2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2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2" hidden="1">{"review",#N/A,FALSE,"FACTSHT"}</definedName>
    <definedName name="wrn.review." hidden="1">{"review",#N/A,FALSE,"FACTSHT"}</definedName>
    <definedName name="wrn.review1." localSheetId="2" hidden="1">{"review",#N/A,FALSE,"FACTSHT"}</definedName>
    <definedName name="wrn.review1." hidden="1">{"review",#N/A,FALSE,"FACTSHT"}</definedName>
    <definedName name="wrn.SBEI.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2" hidden="1">{"Std Poor",#N/A,FALSE,"S&amp;P";"Sum Stats",#N/A,FALSE,"Stats"}</definedName>
    <definedName name="wrn.Statistics." hidden="1">{"Std Poor",#N/A,FALSE,"S&amp;P";"Sum Stats",#N/A,FALSE,"Stats"}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2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2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2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2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2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X29" i="2" l="1"/>
  <c r="X28" i="2"/>
  <c r="X27" i="2"/>
  <c r="X26" i="2"/>
  <c r="X25" i="2"/>
  <c r="X24" i="2"/>
  <c r="X21" i="2"/>
  <c r="X20" i="2"/>
  <c r="X19" i="2"/>
  <c r="X18" i="2"/>
  <c r="X17" i="2"/>
  <c r="X16" i="2"/>
  <c r="C24" i="8"/>
  <c r="F20" i="8" s="1"/>
  <c r="J20" i="8" s="1"/>
  <c r="L20" i="8" s="1"/>
  <c r="N20" i="8" s="1"/>
  <c r="R20" i="8" s="1"/>
  <c r="C39" i="8" s="1"/>
  <c r="P22" i="8"/>
  <c r="H22" i="8"/>
  <c r="P20" i="8"/>
  <c r="C24" i="7"/>
  <c r="P22" i="7"/>
  <c r="H22" i="7"/>
  <c r="P20" i="7"/>
  <c r="F20" i="7"/>
  <c r="J20" i="7" s="1"/>
  <c r="L20" i="7" s="1"/>
  <c r="N20" i="7" s="1"/>
  <c r="R20" i="7" s="1"/>
  <c r="C39" i="7" s="1"/>
  <c r="F18" i="7"/>
  <c r="C24" i="6"/>
  <c r="F20" i="6" s="1"/>
  <c r="J20" i="6" s="1"/>
  <c r="L20" i="6" s="1"/>
  <c r="N20" i="6" s="1"/>
  <c r="R20" i="6" s="1"/>
  <c r="C39" i="6" s="1"/>
  <c r="H22" i="6"/>
  <c r="F18" i="6"/>
  <c r="J18" i="6" l="1"/>
  <c r="F22" i="6"/>
  <c r="F24" i="6" s="1"/>
  <c r="F18" i="8"/>
  <c r="J18" i="7"/>
  <c r="F22" i="7"/>
  <c r="F24" i="7" s="1"/>
  <c r="L18" i="7" l="1"/>
  <c r="J22" i="7"/>
  <c r="L22" i="7" s="1"/>
  <c r="N22" i="7" s="1"/>
  <c r="R22" i="7" s="1"/>
  <c r="C41" i="7" s="1"/>
  <c r="J18" i="8"/>
  <c r="F22" i="8"/>
  <c r="F24" i="8"/>
  <c r="J22" i="6"/>
  <c r="L22" i="6" s="1"/>
  <c r="N22" i="6" s="1"/>
  <c r="R22" i="6" s="1"/>
  <c r="C41" i="6" s="1"/>
  <c r="L18" i="6"/>
  <c r="N18" i="7" l="1"/>
  <c r="L24" i="7"/>
  <c r="N18" i="6"/>
  <c r="L24" i="6"/>
  <c r="J22" i="8"/>
  <c r="L22" i="8" s="1"/>
  <c r="N22" i="8" s="1"/>
  <c r="R22" i="8" s="1"/>
  <c r="C41" i="8" s="1"/>
  <c r="L18" i="8"/>
  <c r="L24" i="8" l="1"/>
  <c r="N18" i="8"/>
  <c r="N24" i="7"/>
  <c r="R18" i="7"/>
  <c r="N24" i="6"/>
  <c r="R18" i="6"/>
  <c r="C37" i="6" l="1"/>
  <c r="R24" i="6"/>
  <c r="N24" i="8"/>
  <c r="R18" i="8"/>
  <c r="C37" i="7"/>
  <c r="R24" i="7"/>
  <c r="C43" i="7" l="1"/>
  <c r="F39" i="7" s="1"/>
  <c r="F37" i="7"/>
  <c r="C43" i="6"/>
  <c r="F39" i="6" s="1"/>
  <c r="F37" i="6"/>
  <c r="C37" i="8"/>
  <c r="R24" i="8"/>
  <c r="H37" i="7" l="1"/>
  <c r="F41" i="7"/>
  <c r="F43" i="7" s="1"/>
  <c r="J37" i="7"/>
  <c r="H37" i="6"/>
  <c r="F41" i="6"/>
  <c r="F43" i="6" s="1"/>
  <c r="J37" i="6"/>
  <c r="J39" i="7"/>
  <c r="H39" i="7"/>
  <c r="L39" i="7" s="1"/>
  <c r="J39" i="6"/>
  <c r="H39" i="6"/>
  <c r="C43" i="8"/>
  <c r="F39" i="8" s="1"/>
  <c r="F37" i="8"/>
  <c r="H41" i="7" l="1"/>
  <c r="L37" i="7"/>
  <c r="L39" i="6"/>
  <c r="J41" i="6"/>
  <c r="J41" i="7"/>
  <c r="F43" i="8"/>
  <c r="H37" i="8"/>
  <c r="F41" i="8"/>
  <c r="J37" i="8"/>
  <c r="J39" i="8"/>
  <c r="H39" i="8"/>
  <c r="H41" i="6"/>
  <c r="L41" i="6" s="1"/>
  <c r="L37" i="6"/>
  <c r="J41" i="8" l="1"/>
  <c r="L41" i="7"/>
  <c r="L43" i="7" s="1"/>
  <c r="L39" i="8"/>
  <c r="H41" i="8"/>
  <c r="L37" i="8"/>
  <c r="N39" i="6"/>
  <c r="R39" i="6" s="1"/>
  <c r="L43" i="6"/>
  <c r="N37" i="6"/>
  <c r="N39" i="7" l="1"/>
  <c r="R39" i="7" s="1"/>
  <c r="N37" i="7"/>
  <c r="R37" i="6"/>
  <c r="R43" i="6" s="1"/>
  <c r="R46" i="6" s="1"/>
  <c r="N41" i="6"/>
  <c r="R41" i="6" s="1"/>
  <c r="L43" i="8"/>
  <c r="N39" i="8" s="1"/>
  <c r="R39" i="8" s="1"/>
  <c r="N37" i="8"/>
  <c r="L41" i="8"/>
  <c r="N41" i="7" l="1"/>
  <c r="R41" i="7" s="1"/>
  <c r="R37" i="7"/>
  <c r="R43" i="7" s="1"/>
  <c r="R46" i="7" s="1"/>
  <c r="N43" i="6"/>
  <c r="R37" i="8"/>
  <c r="N41" i="8"/>
  <c r="R41" i="8" s="1"/>
  <c r="N43" i="8" l="1"/>
  <c r="R43" i="8"/>
  <c r="R46" i="8" s="1"/>
  <c r="N43" i="7"/>
  <c r="AO37" i="2" l="1"/>
  <c r="AO36" i="2"/>
  <c r="G45" i="3"/>
  <c r="AQ32" i="2" l="1"/>
  <c r="AQ22" i="2"/>
  <c r="E73" i="3"/>
  <c r="E72" i="3"/>
  <c r="E71" i="3"/>
  <c r="E70" i="3"/>
  <c r="E69" i="3"/>
  <c r="E68" i="3"/>
  <c r="E64" i="3"/>
  <c r="E63" i="3"/>
  <c r="E62" i="3"/>
  <c r="E61" i="3"/>
  <c r="E60" i="3"/>
  <c r="E59" i="3"/>
  <c r="L33" i="3"/>
  <c r="L24" i="3"/>
  <c r="F56" i="3" l="1"/>
  <c r="F83" i="3"/>
  <c r="E89" i="3" l="1"/>
  <c r="E88" i="3"/>
  <c r="I32" i="3" l="1"/>
  <c r="D32" i="3"/>
  <c r="C32" i="3"/>
  <c r="C73" i="3" s="1"/>
  <c r="B32" i="3"/>
  <c r="B73" i="3" s="1"/>
  <c r="I31" i="3"/>
  <c r="D31" i="3"/>
  <c r="C31" i="3"/>
  <c r="C72" i="3" s="1"/>
  <c r="B31" i="3"/>
  <c r="B72" i="3" s="1"/>
  <c r="I30" i="3"/>
  <c r="D30" i="3"/>
  <c r="C30" i="3"/>
  <c r="C71" i="3" s="1"/>
  <c r="B30" i="3"/>
  <c r="B71" i="3" s="1"/>
  <c r="I29" i="3"/>
  <c r="D29" i="3"/>
  <c r="C29" i="3"/>
  <c r="C70" i="3" s="1"/>
  <c r="B29" i="3"/>
  <c r="B70" i="3" s="1"/>
  <c r="I28" i="3"/>
  <c r="D28" i="3"/>
  <c r="C28" i="3"/>
  <c r="C69" i="3" s="1"/>
  <c r="B28" i="3"/>
  <c r="B69" i="3" s="1"/>
  <c r="I27" i="3"/>
  <c r="D27" i="3"/>
  <c r="C27" i="3"/>
  <c r="C68" i="3" s="1"/>
  <c r="B27" i="3"/>
  <c r="B68" i="3" s="1"/>
  <c r="I23" i="3"/>
  <c r="D23" i="3"/>
  <c r="C23" i="3"/>
  <c r="C64" i="3" s="1"/>
  <c r="B23" i="3"/>
  <c r="B64" i="3" s="1"/>
  <c r="I22" i="3"/>
  <c r="D22" i="3"/>
  <c r="C22" i="3"/>
  <c r="C63" i="3" s="1"/>
  <c r="B22" i="3"/>
  <c r="B63" i="3" s="1"/>
  <c r="I21" i="3"/>
  <c r="D21" i="3"/>
  <c r="C21" i="3"/>
  <c r="C62" i="3" s="1"/>
  <c r="B21" i="3"/>
  <c r="B62" i="3" s="1"/>
  <c r="I20" i="3"/>
  <c r="D20" i="3"/>
  <c r="C20" i="3"/>
  <c r="C61" i="3" s="1"/>
  <c r="B20" i="3"/>
  <c r="B61" i="3" s="1"/>
  <c r="I19" i="3"/>
  <c r="D19" i="3"/>
  <c r="C19" i="3"/>
  <c r="C60" i="3" s="1"/>
  <c r="B19" i="3"/>
  <c r="B60" i="3" s="1"/>
  <c r="I18" i="3"/>
  <c r="D18" i="3"/>
  <c r="C18" i="3"/>
  <c r="C59" i="3" s="1"/>
  <c r="B18" i="3"/>
  <c r="B59" i="3" s="1"/>
  <c r="B10" i="3"/>
  <c r="B51" i="3" s="1"/>
  <c r="C10" i="3"/>
  <c r="C51" i="3" s="1"/>
  <c r="D10" i="3"/>
  <c r="I10" i="3"/>
  <c r="B11" i="3"/>
  <c r="B52" i="3" s="1"/>
  <c r="C11" i="3"/>
  <c r="C52" i="3" s="1"/>
  <c r="D11" i="3"/>
  <c r="I11" i="3"/>
  <c r="B12" i="3"/>
  <c r="B53" i="3" s="1"/>
  <c r="C12" i="3"/>
  <c r="C53" i="3" s="1"/>
  <c r="D12" i="3"/>
  <c r="I12" i="3"/>
  <c r="B13" i="3"/>
  <c r="B54" i="3" s="1"/>
  <c r="C13" i="3"/>
  <c r="C54" i="3" s="1"/>
  <c r="D13" i="3"/>
  <c r="I13" i="3"/>
  <c r="B14" i="3"/>
  <c r="B55" i="3" s="1"/>
  <c r="C14" i="3"/>
  <c r="C55" i="3" s="1"/>
  <c r="D14" i="3"/>
  <c r="I14" i="3"/>
  <c r="I9" i="3"/>
  <c r="D9" i="3"/>
  <c r="C9" i="3"/>
  <c r="C50" i="3" s="1"/>
  <c r="B9" i="3"/>
  <c r="B50" i="3" s="1"/>
  <c r="C24" i="5" l="1"/>
  <c r="F20" i="5" s="1"/>
  <c r="J20" i="5" s="1"/>
  <c r="L20" i="5" s="1"/>
  <c r="N20" i="5" s="1"/>
  <c r="R20" i="5" s="1"/>
  <c r="C39" i="5" s="1"/>
  <c r="P22" i="5"/>
  <c r="H22" i="5"/>
  <c r="P20" i="5"/>
  <c r="F18" i="5" l="1"/>
  <c r="J18" i="5" l="1"/>
  <c r="F22" i="5"/>
  <c r="F24" i="5" s="1"/>
  <c r="J22" i="5" l="1"/>
  <c r="L22" i="5" s="1"/>
  <c r="N22" i="5" s="1"/>
  <c r="R22" i="5" s="1"/>
  <c r="C41" i="5" s="1"/>
  <c r="L18" i="5"/>
  <c r="L24" i="5" l="1"/>
  <c r="N18" i="5"/>
  <c r="N24" i="5" l="1"/>
  <c r="R18" i="5"/>
  <c r="C37" i="5" l="1"/>
  <c r="R24" i="5"/>
  <c r="C43" i="5" l="1"/>
  <c r="F39" i="5" s="1"/>
  <c r="F37" i="5"/>
  <c r="J39" i="5" l="1"/>
  <c r="H39" i="5"/>
  <c r="H37" i="5"/>
  <c r="F41" i="5"/>
  <c r="F43" i="5" s="1"/>
  <c r="J37" i="5"/>
  <c r="H41" i="5" l="1"/>
  <c r="L37" i="5"/>
  <c r="J41" i="5"/>
  <c r="L39" i="5"/>
  <c r="L41" i="5" l="1"/>
  <c r="L43" i="5" s="1"/>
  <c r="N37" i="5" l="1"/>
  <c r="N39" i="5"/>
  <c r="R39" i="5" s="1"/>
  <c r="R37" i="5"/>
  <c r="N41" i="5" l="1"/>
  <c r="R41" i="5" s="1"/>
  <c r="R43" i="5"/>
  <c r="R46" i="5" s="1"/>
  <c r="N43" i="5"/>
  <c r="X35" i="2" l="1"/>
  <c r="X32" i="2"/>
  <c r="X34" i="2"/>
  <c r="X37" i="2"/>
  <c r="X33" i="2"/>
  <c r="X36" i="2"/>
  <c r="I37" i="3"/>
  <c r="I38" i="3"/>
  <c r="I39" i="3"/>
  <c r="I40" i="3"/>
  <c r="I41" i="3"/>
  <c r="I36" i="3"/>
  <c r="D37" i="3"/>
  <c r="D38" i="3"/>
  <c r="D39" i="3"/>
  <c r="D40" i="3"/>
  <c r="D41" i="3"/>
  <c r="D36" i="3"/>
  <c r="B37" i="3"/>
  <c r="C37" i="3"/>
  <c r="B38" i="3"/>
  <c r="C38" i="3"/>
  <c r="B39" i="3"/>
  <c r="C39" i="3"/>
  <c r="B40" i="3"/>
  <c r="C40" i="3"/>
  <c r="B41" i="3"/>
  <c r="C41" i="3"/>
  <c r="C36" i="3"/>
  <c r="B36" i="3"/>
  <c r="B79" i="3" l="1"/>
  <c r="C45" i="3"/>
  <c r="D45" i="3" s="1"/>
  <c r="E45" i="3" s="1"/>
  <c r="F45" i="3" s="1"/>
  <c r="C82" i="3"/>
  <c r="B82" i="3"/>
  <c r="C81" i="3"/>
  <c r="B81" i="3"/>
  <c r="C80" i="3"/>
  <c r="B80" i="3"/>
  <c r="C79" i="3"/>
  <c r="C78" i="3"/>
  <c r="B78" i="3"/>
  <c r="C77" i="3"/>
  <c r="B77" i="3"/>
  <c r="C5" i="3"/>
  <c r="D5" i="3" s="1"/>
  <c r="E5" i="3" s="1"/>
  <c r="F5" i="3" s="1"/>
  <c r="G5" i="3" s="1"/>
  <c r="H5" i="3" s="1"/>
  <c r="I5" i="3" s="1"/>
  <c r="J5" i="3" s="1"/>
  <c r="AN14" i="2" l="1"/>
  <c r="AN47" i="2" s="1"/>
  <c r="AN22" i="2"/>
  <c r="AN48" i="2" s="1"/>
  <c r="AN42" i="2"/>
  <c r="AN32" i="2"/>
  <c r="AN49" i="2" s="1"/>
  <c r="AN45" i="2" l="1"/>
  <c r="AN50" i="2" s="1"/>
  <c r="AM42" i="2"/>
  <c r="AM32" i="2"/>
  <c r="AM49" i="2" s="1"/>
  <c r="AM22" i="2"/>
  <c r="AM48" i="2" s="1"/>
  <c r="AK42" i="2"/>
  <c r="AK32" i="2"/>
  <c r="AK49" i="2" s="1"/>
  <c r="AK22" i="2"/>
  <c r="AK48" i="2" s="1"/>
  <c r="AL41" i="2"/>
  <c r="AL40" i="2"/>
  <c r="AL39" i="2"/>
  <c r="AL38" i="2"/>
  <c r="AL37" i="2"/>
  <c r="AL36" i="2"/>
  <c r="AL31" i="2"/>
  <c r="AL30" i="2"/>
  <c r="AL29" i="2"/>
  <c r="AL28" i="2"/>
  <c r="AL27" i="2"/>
  <c r="AL26" i="2"/>
  <c r="AL21" i="2"/>
  <c r="AL20" i="2"/>
  <c r="AL19" i="2"/>
  <c r="AL18" i="2"/>
  <c r="AL17" i="2"/>
  <c r="AL16" i="2"/>
  <c r="W16" i="2" l="1"/>
  <c r="Z16" i="2" s="1"/>
  <c r="W17" i="2"/>
  <c r="Z17" i="2" s="1"/>
  <c r="W18" i="2"/>
  <c r="Z18" i="2" s="1"/>
  <c r="K33" i="2"/>
  <c r="L33" i="2"/>
  <c r="U33" i="2" s="1"/>
  <c r="AE37" i="2" s="1"/>
  <c r="K34" i="2"/>
  <c r="L34" i="2"/>
  <c r="U34" i="2" s="1"/>
  <c r="AE38" i="2" s="1"/>
  <c r="K35" i="2"/>
  <c r="L35" i="2"/>
  <c r="U35" i="2" s="1"/>
  <c r="AE39" i="2" s="1"/>
  <c r="K36" i="2"/>
  <c r="L36" i="2"/>
  <c r="U36" i="2" s="1"/>
  <c r="AE40" i="2" s="1"/>
  <c r="K37" i="2"/>
  <c r="L37" i="2"/>
  <c r="U37" i="2" s="1"/>
  <c r="AE41" i="2" s="1"/>
  <c r="L32" i="2"/>
  <c r="U32" i="2" s="1"/>
  <c r="AE36" i="2" s="1"/>
  <c r="K32" i="2"/>
  <c r="M16" i="2"/>
  <c r="N16" i="2"/>
  <c r="E18" i="3" s="1"/>
  <c r="F18" i="3" s="1"/>
  <c r="P16" i="2"/>
  <c r="R16" i="2"/>
  <c r="AA16" i="2" s="1"/>
  <c r="M17" i="2"/>
  <c r="N17" i="2"/>
  <c r="E19" i="3" s="1"/>
  <c r="F19" i="3" s="1"/>
  <c r="P17" i="2"/>
  <c r="R17" i="2"/>
  <c r="AA17" i="2" s="1"/>
  <c r="M18" i="2"/>
  <c r="N18" i="2"/>
  <c r="E20" i="3" s="1"/>
  <c r="F20" i="3" s="1"/>
  <c r="P18" i="2"/>
  <c r="R18" i="2"/>
  <c r="AA18" i="2" s="1"/>
  <c r="K25" i="2"/>
  <c r="L25" i="2"/>
  <c r="U25" i="2" s="1"/>
  <c r="AE27" i="2" s="1"/>
  <c r="K26" i="2"/>
  <c r="L26" i="2"/>
  <c r="U26" i="2" s="1"/>
  <c r="AE28" i="2" s="1"/>
  <c r="K27" i="2"/>
  <c r="L27" i="2"/>
  <c r="U27" i="2" s="1"/>
  <c r="AE29" i="2" s="1"/>
  <c r="K28" i="2"/>
  <c r="L28" i="2"/>
  <c r="U28" i="2" s="1"/>
  <c r="AE30" i="2" s="1"/>
  <c r="K29" i="2"/>
  <c r="L29" i="2"/>
  <c r="U29" i="2" s="1"/>
  <c r="AE31" i="2" s="1"/>
  <c r="L24" i="2"/>
  <c r="U24" i="2" s="1"/>
  <c r="AE26" i="2" s="1"/>
  <c r="K24" i="2"/>
  <c r="K17" i="2"/>
  <c r="L17" i="2"/>
  <c r="U17" i="2" s="1"/>
  <c r="AE17" i="2" s="1"/>
  <c r="K18" i="2"/>
  <c r="L18" i="2"/>
  <c r="U18" i="2" s="1"/>
  <c r="AE18" i="2" s="1"/>
  <c r="K19" i="2"/>
  <c r="L19" i="2"/>
  <c r="U19" i="2" s="1"/>
  <c r="AE19" i="2" s="1"/>
  <c r="K20" i="2"/>
  <c r="L20" i="2"/>
  <c r="U20" i="2" s="1"/>
  <c r="AE20" i="2" s="1"/>
  <c r="K21" i="2"/>
  <c r="L21" i="2"/>
  <c r="U21" i="2" s="1"/>
  <c r="AE21" i="2" s="1"/>
  <c r="L16" i="2"/>
  <c r="U16" i="2" s="1"/>
  <c r="AE16" i="2" s="1"/>
  <c r="K16" i="2"/>
  <c r="E16" i="2"/>
  <c r="G18" i="3" s="1"/>
  <c r="E17" i="2"/>
  <c r="E18" i="2"/>
  <c r="F18" i="2" l="1"/>
  <c r="G18" i="2" s="1"/>
  <c r="I18" i="2" s="1"/>
  <c r="G20" i="3"/>
  <c r="H20" i="3" s="1"/>
  <c r="F17" i="2"/>
  <c r="G17" i="2" s="1"/>
  <c r="I17" i="2" s="1"/>
  <c r="G19" i="3"/>
  <c r="H19" i="3" s="1"/>
  <c r="H18" i="3"/>
  <c r="O18" i="2"/>
  <c r="Q18" i="2" s="1"/>
  <c r="S18" i="2" s="1"/>
  <c r="O17" i="2"/>
  <c r="Q17" i="2" s="1"/>
  <c r="S17" i="2" s="1"/>
  <c r="F16" i="2"/>
  <c r="G16" i="2" s="1"/>
  <c r="I16" i="2" s="1"/>
  <c r="AB16" i="2"/>
  <c r="AF16" i="2" s="1"/>
  <c r="AH16" i="2" s="1"/>
  <c r="AB17" i="2"/>
  <c r="AF17" i="2" s="1"/>
  <c r="AH17" i="2" s="1"/>
  <c r="AO17" i="2" s="1"/>
  <c r="AB18" i="2"/>
  <c r="AF18" i="2" s="1"/>
  <c r="AH18" i="2" s="1"/>
  <c r="AO18" i="2" s="1"/>
  <c r="O16" i="2"/>
  <c r="Q16" i="2" s="1"/>
  <c r="S16" i="2" s="1"/>
  <c r="D61" i="3" l="1"/>
  <c r="AR18" i="2"/>
  <c r="D60" i="3"/>
  <c r="G60" i="3" s="1"/>
  <c r="AR17" i="2"/>
  <c r="J19" i="3"/>
  <c r="N19" i="3" s="1"/>
  <c r="F60" i="3" s="1"/>
  <c r="J20" i="3"/>
  <c r="N20" i="3" s="1"/>
  <c r="F61" i="3" s="1"/>
  <c r="J18" i="3"/>
  <c r="N18" i="3" s="1"/>
  <c r="F59" i="3" s="1"/>
  <c r="AO16" i="2"/>
  <c r="G61" i="3" l="1"/>
  <c r="D59" i="3"/>
  <c r="G59" i="3" s="1"/>
  <c r="AR16" i="2"/>
  <c r="W29" i="2"/>
  <c r="Z29" i="2" s="1"/>
  <c r="P29" i="2"/>
  <c r="N29" i="2"/>
  <c r="E32" i="3" s="1"/>
  <c r="F32" i="3" s="1"/>
  <c r="M29" i="2"/>
  <c r="R29" i="2"/>
  <c r="E29" i="2"/>
  <c r="W28" i="2"/>
  <c r="Z28" i="2" s="1"/>
  <c r="P28" i="2"/>
  <c r="N28" i="2"/>
  <c r="E31" i="3" s="1"/>
  <c r="F31" i="3" s="1"/>
  <c r="M28" i="2"/>
  <c r="R28" i="2"/>
  <c r="E28" i="2"/>
  <c r="W27" i="2"/>
  <c r="Z27" i="2" s="1"/>
  <c r="P27" i="2"/>
  <c r="N27" i="2"/>
  <c r="E30" i="3" s="1"/>
  <c r="F30" i="3" s="1"/>
  <c r="M27" i="2"/>
  <c r="R27" i="2"/>
  <c r="AA27" i="2" s="1"/>
  <c r="E27" i="2"/>
  <c r="W26" i="2"/>
  <c r="Z26" i="2" s="1"/>
  <c r="P26" i="2"/>
  <c r="N26" i="2"/>
  <c r="E29" i="3" s="1"/>
  <c r="F29" i="3" s="1"/>
  <c r="M26" i="2"/>
  <c r="R26" i="2"/>
  <c r="E26" i="2"/>
  <c r="W25" i="2"/>
  <c r="Z25" i="2" s="1"/>
  <c r="P25" i="2"/>
  <c r="N25" i="2"/>
  <c r="E28" i="3" s="1"/>
  <c r="F28" i="3" s="1"/>
  <c r="M25" i="2"/>
  <c r="R25" i="2"/>
  <c r="E25" i="2"/>
  <c r="W24" i="2"/>
  <c r="Z24" i="2" s="1"/>
  <c r="P24" i="2"/>
  <c r="N24" i="2"/>
  <c r="E27" i="3" s="1"/>
  <c r="F27" i="3" s="1"/>
  <c r="M24" i="2"/>
  <c r="R24" i="2"/>
  <c r="AA24" i="2" s="1"/>
  <c r="E24" i="2"/>
  <c r="W21" i="2"/>
  <c r="Z21" i="2" s="1"/>
  <c r="P21" i="2"/>
  <c r="N21" i="2"/>
  <c r="E23" i="3" s="1"/>
  <c r="F23" i="3" s="1"/>
  <c r="M21" i="2"/>
  <c r="R21" i="2"/>
  <c r="E21" i="2"/>
  <c r="W20" i="2"/>
  <c r="Z20" i="2" s="1"/>
  <c r="P20" i="2"/>
  <c r="N20" i="2"/>
  <c r="E22" i="3" s="1"/>
  <c r="F22" i="3" s="1"/>
  <c r="M20" i="2"/>
  <c r="R20" i="2"/>
  <c r="E20" i="2"/>
  <c r="W19" i="2"/>
  <c r="Z19" i="2" s="1"/>
  <c r="P19" i="2"/>
  <c r="N19" i="2"/>
  <c r="E21" i="3" s="1"/>
  <c r="F21" i="3" s="1"/>
  <c r="M19" i="2"/>
  <c r="R19" i="2"/>
  <c r="E19" i="2"/>
  <c r="AM14" i="2"/>
  <c r="AK14" i="2"/>
  <c r="AL13" i="2"/>
  <c r="W13" i="2"/>
  <c r="Z13" i="2" s="1"/>
  <c r="R13" i="2"/>
  <c r="AA13" i="2" s="1"/>
  <c r="P13" i="2"/>
  <c r="N13" i="2"/>
  <c r="E14" i="3" s="1"/>
  <c r="F14" i="3" s="1"/>
  <c r="M13" i="2"/>
  <c r="L13" i="2"/>
  <c r="U13" i="2" s="1"/>
  <c r="AE13" i="2" s="1"/>
  <c r="K13" i="2"/>
  <c r="E13" i="2"/>
  <c r="AL12" i="2"/>
  <c r="W12" i="2"/>
  <c r="Z12" i="2" s="1"/>
  <c r="R12" i="2"/>
  <c r="AA12" i="2" s="1"/>
  <c r="P12" i="2"/>
  <c r="N12" i="2"/>
  <c r="E13" i="3" s="1"/>
  <c r="F13" i="3" s="1"/>
  <c r="M12" i="2"/>
  <c r="L12" i="2"/>
  <c r="U12" i="2" s="1"/>
  <c r="AE12" i="2" s="1"/>
  <c r="K12" i="2"/>
  <c r="E12" i="2"/>
  <c r="AL11" i="2"/>
  <c r="W11" i="2"/>
  <c r="Z11" i="2" s="1"/>
  <c r="R11" i="2"/>
  <c r="AA11" i="2" s="1"/>
  <c r="P11" i="2"/>
  <c r="N11" i="2"/>
  <c r="E12" i="3" s="1"/>
  <c r="F12" i="3" s="1"/>
  <c r="M11" i="2"/>
  <c r="L11" i="2"/>
  <c r="U11" i="2" s="1"/>
  <c r="AE11" i="2" s="1"/>
  <c r="K11" i="2"/>
  <c r="E11" i="2"/>
  <c r="AL10" i="2"/>
  <c r="W10" i="2"/>
  <c r="Z10" i="2" s="1"/>
  <c r="R10" i="2"/>
  <c r="P10" i="2"/>
  <c r="N10" i="2"/>
  <c r="E11" i="3" s="1"/>
  <c r="F11" i="3" s="1"/>
  <c r="M10" i="2"/>
  <c r="L10" i="2"/>
  <c r="U10" i="2" s="1"/>
  <c r="AE10" i="2" s="1"/>
  <c r="K10" i="2"/>
  <c r="E10" i="2"/>
  <c r="AL9" i="2"/>
  <c r="W9" i="2"/>
  <c r="Z9" i="2" s="1"/>
  <c r="R9" i="2"/>
  <c r="P9" i="2"/>
  <c r="N9" i="2"/>
  <c r="E10" i="3" s="1"/>
  <c r="F10" i="3" s="1"/>
  <c r="M9" i="2"/>
  <c r="L9" i="2"/>
  <c r="U9" i="2" s="1"/>
  <c r="AE9" i="2" s="1"/>
  <c r="K9" i="2"/>
  <c r="E9" i="2"/>
  <c r="AL8" i="2"/>
  <c r="W8" i="2"/>
  <c r="Z8" i="2" s="1"/>
  <c r="R8" i="2"/>
  <c r="AA8" i="2" s="1"/>
  <c r="P8" i="2"/>
  <c r="N8" i="2"/>
  <c r="E9" i="3" s="1"/>
  <c r="F9" i="3" s="1"/>
  <c r="M8" i="2"/>
  <c r="L8" i="2"/>
  <c r="U8" i="2" s="1"/>
  <c r="AE8" i="2" s="1"/>
  <c r="K8" i="2"/>
  <c r="E8" i="2"/>
  <c r="F10" i="2" l="1"/>
  <c r="G10" i="2" s="1"/>
  <c r="I10" i="2" s="1"/>
  <c r="G11" i="3"/>
  <c r="H11" i="3" s="1"/>
  <c r="J11" i="3" s="1"/>
  <c r="E52" i="3" s="1"/>
  <c r="F20" i="2"/>
  <c r="G20" i="2" s="1"/>
  <c r="G22" i="3"/>
  <c r="H22" i="3" s="1"/>
  <c r="F24" i="2"/>
  <c r="G24" i="2" s="1"/>
  <c r="G27" i="3"/>
  <c r="H27" i="3" s="1"/>
  <c r="F28" i="2"/>
  <c r="G28" i="2" s="1"/>
  <c r="I28" i="2" s="1"/>
  <c r="G31" i="3"/>
  <c r="H31" i="3" s="1"/>
  <c r="F11" i="2"/>
  <c r="G11" i="2" s="1"/>
  <c r="I11" i="2" s="1"/>
  <c r="G12" i="3"/>
  <c r="F8" i="2"/>
  <c r="G8" i="2" s="1"/>
  <c r="G9" i="3"/>
  <c r="H9" i="3" s="1"/>
  <c r="F12" i="2"/>
  <c r="G12" i="2" s="1"/>
  <c r="I12" i="2" s="1"/>
  <c r="G13" i="3"/>
  <c r="H13" i="3" s="1"/>
  <c r="J13" i="3" s="1"/>
  <c r="E54" i="3" s="1"/>
  <c r="F19" i="2"/>
  <c r="G19" i="2" s="1"/>
  <c r="G21" i="3"/>
  <c r="H21" i="3" s="1"/>
  <c r="F21" i="2"/>
  <c r="G21" i="2" s="1"/>
  <c r="I21" i="2" s="1"/>
  <c r="G23" i="3"/>
  <c r="H23" i="3" s="1"/>
  <c r="F25" i="2"/>
  <c r="G25" i="2" s="1"/>
  <c r="G28" i="3"/>
  <c r="H28" i="3" s="1"/>
  <c r="F27" i="2"/>
  <c r="G27" i="2" s="1"/>
  <c r="I27" i="2" s="1"/>
  <c r="G30" i="3"/>
  <c r="H30" i="3" s="1"/>
  <c r="F29" i="2"/>
  <c r="G29" i="2" s="1"/>
  <c r="G32" i="3"/>
  <c r="H32" i="3" s="1"/>
  <c r="F26" i="2"/>
  <c r="G26" i="2" s="1"/>
  <c r="G29" i="3"/>
  <c r="H29" i="3" s="1"/>
  <c r="H12" i="3"/>
  <c r="J12" i="3" s="1"/>
  <c r="E53" i="3" s="1"/>
  <c r="F9" i="2"/>
  <c r="G9" i="2" s="1"/>
  <c r="I9" i="2" s="1"/>
  <c r="G10" i="3"/>
  <c r="H10" i="3" s="1"/>
  <c r="J10" i="3" s="1"/>
  <c r="E51" i="3" s="1"/>
  <c r="F13" i="2"/>
  <c r="G13" i="2" s="1"/>
  <c r="I13" i="2" s="1"/>
  <c r="G14" i="3"/>
  <c r="H14" i="3" s="1"/>
  <c r="J14" i="3" s="1"/>
  <c r="E55" i="3" s="1"/>
  <c r="AK47" i="2"/>
  <c r="AK45" i="2"/>
  <c r="AM47" i="2"/>
  <c r="AM45" i="2"/>
  <c r="O11" i="2"/>
  <c r="Q11" i="2" s="1"/>
  <c r="S11" i="2" s="1"/>
  <c r="O9" i="2"/>
  <c r="Q9" i="2" s="1"/>
  <c r="S9" i="2" s="1"/>
  <c r="O24" i="2"/>
  <c r="Q24" i="2" s="1"/>
  <c r="S24" i="2" s="1"/>
  <c r="O8" i="2"/>
  <c r="Q8" i="2" s="1"/>
  <c r="S8" i="2" s="1"/>
  <c r="O26" i="2"/>
  <c r="Q26" i="2" s="1"/>
  <c r="S26" i="2" s="1"/>
  <c r="O28" i="2"/>
  <c r="Q28" i="2" s="1"/>
  <c r="S28" i="2" s="1"/>
  <c r="AB11" i="2"/>
  <c r="AF11" i="2" s="1"/>
  <c r="AH11" i="2" s="1"/>
  <c r="AO11" i="2" s="1"/>
  <c r="D53" i="3" s="1"/>
  <c r="O19" i="2"/>
  <c r="Q19" i="2" s="1"/>
  <c r="S19" i="2" s="1"/>
  <c r="O21" i="2"/>
  <c r="Q21" i="2" s="1"/>
  <c r="S21" i="2" s="1"/>
  <c r="I26" i="2"/>
  <c r="I29" i="2"/>
  <c r="O27" i="2"/>
  <c r="Q27" i="2" s="1"/>
  <c r="S27" i="2" s="1"/>
  <c r="O29" i="2"/>
  <c r="Q29" i="2" s="1"/>
  <c r="S29" i="2" s="1"/>
  <c r="AB8" i="2"/>
  <c r="AF8" i="2" s="1"/>
  <c r="AH8" i="2" s="1"/>
  <c r="AO8" i="2" s="1"/>
  <c r="D50" i="3" s="1"/>
  <c r="O10" i="2"/>
  <c r="Q10" i="2" s="1"/>
  <c r="S10" i="2" s="1"/>
  <c r="O12" i="2"/>
  <c r="Q12" i="2" s="1"/>
  <c r="S12" i="2" s="1"/>
  <c r="AB12" i="2"/>
  <c r="AF12" i="2" s="1"/>
  <c r="AH12" i="2" s="1"/>
  <c r="AO12" i="2" s="1"/>
  <c r="D54" i="3" s="1"/>
  <c r="O20" i="2"/>
  <c r="Q20" i="2" s="1"/>
  <c r="S20" i="2" s="1"/>
  <c r="I25" i="2"/>
  <c r="O25" i="2"/>
  <c r="Q25" i="2" s="1"/>
  <c r="S25" i="2" s="1"/>
  <c r="AB24" i="2"/>
  <c r="AF26" i="2" s="1"/>
  <c r="AH26" i="2" s="1"/>
  <c r="I24" i="2"/>
  <c r="AA25" i="2"/>
  <c r="AB25" i="2" s="1"/>
  <c r="AF27" i="2" s="1"/>
  <c r="AH27" i="2" s="1"/>
  <c r="AO27" i="2" s="1"/>
  <c r="AA26" i="2"/>
  <c r="AB26" i="2" s="1"/>
  <c r="AF28" i="2" s="1"/>
  <c r="AH28" i="2" s="1"/>
  <c r="AO28" i="2" s="1"/>
  <c r="AB27" i="2"/>
  <c r="AF29" i="2" s="1"/>
  <c r="AH29" i="2" s="1"/>
  <c r="AO29" i="2" s="1"/>
  <c r="AA28" i="2"/>
  <c r="AB28" i="2" s="1"/>
  <c r="AF30" i="2" s="1"/>
  <c r="AH30" i="2" s="1"/>
  <c r="AO30" i="2" s="1"/>
  <c r="AA29" i="2"/>
  <c r="AB29" i="2" s="1"/>
  <c r="AF31" i="2" s="1"/>
  <c r="AH31" i="2" s="1"/>
  <c r="AO31" i="2" s="1"/>
  <c r="I8" i="2"/>
  <c r="I14" i="2" s="1"/>
  <c r="O13" i="2"/>
  <c r="Q13" i="2" s="1"/>
  <c r="S13" i="2" s="1"/>
  <c r="AB13" i="2"/>
  <c r="AF13" i="2" s="1"/>
  <c r="AH13" i="2" s="1"/>
  <c r="AO13" i="2" s="1"/>
  <c r="D55" i="3" s="1"/>
  <c r="AA20" i="2"/>
  <c r="AB20" i="2" s="1"/>
  <c r="AF20" i="2" s="1"/>
  <c r="AH20" i="2" s="1"/>
  <c r="AO20" i="2" s="1"/>
  <c r="I19" i="2"/>
  <c r="AA9" i="2"/>
  <c r="AB9" i="2" s="1"/>
  <c r="AF9" i="2" s="1"/>
  <c r="AH9" i="2" s="1"/>
  <c r="AO9" i="2" s="1"/>
  <c r="D51" i="3" s="1"/>
  <c r="AA10" i="2"/>
  <c r="AB10" i="2" s="1"/>
  <c r="AF10" i="2" s="1"/>
  <c r="AH10" i="2" s="1"/>
  <c r="AO10" i="2" s="1"/>
  <c r="D52" i="3" s="1"/>
  <c r="AA19" i="2"/>
  <c r="AB19" i="2" s="1"/>
  <c r="AF19" i="2" s="1"/>
  <c r="AH19" i="2" s="1"/>
  <c r="AA21" i="2"/>
  <c r="AB21" i="2" s="1"/>
  <c r="AF21" i="2" s="1"/>
  <c r="AH21" i="2" s="1"/>
  <c r="AO21" i="2" s="1"/>
  <c r="D71" i="3" l="1"/>
  <c r="AR29" i="2"/>
  <c r="D70" i="3"/>
  <c r="G70" i="3" s="1"/>
  <c r="AR28" i="2"/>
  <c r="D73" i="3"/>
  <c r="AR31" i="2"/>
  <c r="D69" i="3"/>
  <c r="G69" i="3" s="1"/>
  <c r="AR27" i="2"/>
  <c r="D72" i="3"/>
  <c r="AR30" i="2"/>
  <c r="D64" i="3"/>
  <c r="AR21" i="2"/>
  <c r="D63" i="3"/>
  <c r="AR20" i="2"/>
  <c r="J31" i="3"/>
  <c r="N31" i="3" s="1"/>
  <c r="F72" i="3" s="1"/>
  <c r="J22" i="3"/>
  <c r="N22" i="3" s="1"/>
  <c r="F63" i="3" s="1"/>
  <c r="J29" i="3"/>
  <c r="N29" i="3" s="1"/>
  <c r="F70" i="3" s="1"/>
  <c r="J30" i="3"/>
  <c r="N30" i="3" s="1"/>
  <c r="F71" i="3" s="1"/>
  <c r="J23" i="3"/>
  <c r="N23" i="3" s="1"/>
  <c r="F64" i="3" s="1"/>
  <c r="J32" i="3"/>
  <c r="N32" i="3" s="1"/>
  <c r="F73" i="3" s="1"/>
  <c r="J28" i="3"/>
  <c r="N28" i="3" s="1"/>
  <c r="F69" i="3" s="1"/>
  <c r="G51" i="3"/>
  <c r="G14" i="2"/>
  <c r="G22" i="2"/>
  <c r="G53" i="3"/>
  <c r="G54" i="3"/>
  <c r="J21" i="3"/>
  <c r="N21" i="3" s="1"/>
  <c r="F62" i="3" s="1"/>
  <c r="F65" i="3" s="1"/>
  <c r="H24" i="3"/>
  <c r="J27" i="3"/>
  <c r="N27" i="3" s="1"/>
  <c r="H33" i="3"/>
  <c r="G52" i="3"/>
  <c r="I20" i="2"/>
  <c r="D56" i="3"/>
  <c r="J9" i="3"/>
  <c r="H15" i="3"/>
  <c r="G55" i="3"/>
  <c r="G30" i="2"/>
  <c r="AM50" i="2"/>
  <c r="AK50" i="2"/>
  <c r="AO26" i="2"/>
  <c r="AR26" i="2" s="1"/>
  <c r="AH32" i="2"/>
  <c r="AH49" i="2" s="1"/>
  <c r="AO19" i="2"/>
  <c r="AH22" i="2"/>
  <c r="Q22" i="2"/>
  <c r="I22" i="2"/>
  <c r="S30" i="2"/>
  <c r="I30" i="2"/>
  <c r="Q30" i="2"/>
  <c r="Q14" i="2"/>
  <c r="AO14" i="2"/>
  <c r="AH14" i="2"/>
  <c r="AH47" i="2" s="1"/>
  <c r="S22" i="2"/>
  <c r="S14" i="2"/>
  <c r="G72" i="3" l="1"/>
  <c r="G73" i="3"/>
  <c r="G71" i="3"/>
  <c r="N33" i="3"/>
  <c r="F68" i="3"/>
  <c r="F74" i="3" s="1"/>
  <c r="G64" i="3"/>
  <c r="G63" i="3"/>
  <c r="AR32" i="2"/>
  <c r="D62" i="3"/>
  <c r="AR19" i="2"/>
  <c r="AR22" i="2" s="1"/>
  <c r="N24" i="3"/>
  <c r="J33" i="3"/>
  <c r="E74" i="3"/>
  <c r="AO32" i="2"/>
  <c r="AO49" i="2" s="1"/>
  <c r="D68" i="3"/>
  <c r="J15" i="3"/>
  <c r="E50" i="3"/>
  <c r="AO47" i="2"/>
  <c r="E87" i="3"/>
  <c r="J24" i="3"/>
  <c r="AO22" i="2"/>
  <c r="AO24" i="2" s="1"/>
  <c r="AH48" i="2"/>
  <c r="W34" i="2"/>
  <c r="Z34" i="2" s="1"/>
  <c r="W33" i="2"/>
  <c r="Z33" i="2" s="1"/>
  <c r="W32" i="2"/>
  <c r="Z32" i="2" s="1"/>
  <c r="P34" i="2"/>
  <c r="N34" i="2"/>
  <c r="E38" i="3" s="1"/>
  <c r="F38" i="3" s="1"/>
  <c r="M34" i="2"/>
  <c r="P33" i="2"/>
  <c r="N33" i="2"/>
  <c r="E37" i="3" s="1"/>
  <c r="F37" i="3" s="1"/>
  <c r="M33" i="2"/>
  <c r="P32" i="2"/>
  <c r="N32" i="2"/>
  <c r="E36" i="3" s="1"/>
  <c r="F36" i="3" s="1"/>
  <c r="M32" i="2"/>
  <c r="R34" i="2"/>
  <c r="AA34" i="2" s="1"/>
  <c r="R33" i="2"/>
  <c r="AA33" i="2" s="1"/>
  <c r="R32" i="2"/>
  <c r="AA32" i="2" s="1"/>
  <c r="E34" i="2"/>
  <c r="E33" i="2"/>
  <c r="E32" i="2"/>
  <c r="G68" i="3" l="1"/>
  <c r="G74" i="3" s="1"/>
  <c r="D65" i="3"/>
  <c r="G62" i="3"/>
  <c r="G65" i="3" s="1"/>
  <c r="AO48" i="2"/>
  <c r="AO34" i="2"/>
  <c r="AO54" i="2" s="1"/>
  <c r="E56" i="3"/>
  <c r="G50" i="3"/>
  <c r="G56" i="3" s="1"/>
  <c r="D74" i="3"/>
  <c r="AO53" i="2"/>
  <c r="E65" i="3"/>
  <c r="F33" i="2"/>
  <c r="G33" i="2" s="1"/>
  <c r="I33" i="2" s="1"/>
  <c r="G37" i="3"/>
  <c r="H37" i="3" s="1"/>
  <c r="J37" i="3" s="1"/>
  <c r="E78" i="3" s="1"/>
  <c r="F32" i="2"/>
  <c r="G32" i="2" s="1"/>
  <c r="I32" i="2" s="1"/>
  <c r="G36" i="3"/>
  <c r="H36" i="3" s="1"/>
  <c r="F34" i="2"/>
  <c r="G34" i="2" s="1"/>
  <c r="I34" i="2" s="1"/>
  <c r="G38" i="3"/>
  <c r="H38" i="3" s="1"/>
  <c r="J38" i="3" s="1"/>
  <c r="E79" i="3" s="1"/>
  <c r="O34" i="2"/>
  <c r="Q34" i="2" s="1"/>
  <c r="S34" i="2" s="1"/>
  <c r="AB33" i="2"/>
  <c r="AF37" i="2" s="1"/>
  <c r="AH37" i="2" s="1"/>
  <c r="D78" i="3" s="1"/>
  <c r="O32" i="2"/>
  <c r="Q32" i="2" s="1"/>
  <c r="S32" i="2" s="1"/>
  <c r="O33" i="2"/>
  <c r="Q33" i="2" s="1"/>
  <c r="S33" i="2" s="1"/>
  <c r="AB32" i="2"/>
  <c r="AF36" i="2" s="1"/>
  <c r="AH36" i="2" s="1"/>
  <c r="AB34" i="2"/>
  <c r="AF38" i="2" s="1"/>
  <c r="AH38" i="2" s="1"/>
  <c r="AO38" i="2" s="1"/>
  <c r="D79" i="3" s="1"/>
  <c r="G100" i="3" l="1"/>
  <c r="G79" i="3"/>
  <c r="G78" i="3"/>
  <c r="J36" i="3"/>
  <c r="D77" i="3"/>
  <c r="E37" i="2"/>
  <c r="G41" i="3" s="1"/>
  <c r="E36" i="2"/>
  <c r="G40" i="3" s="1"/>
  <c r="E35" i="2"/>
  <c r="G39" i="3" s="1"/>
  <c r="E77" i="3" l="1"/>
  <c r="P37" i="2"/>
  <c r="N37" i="2"/>
  <c r="E41" i="3" s="1"/>
  <c r="F41" i="3" s="1"/>
  <c r="H41" i="3" s="1"/>
  <c r="J41" i="3" s="1"/>
  <c r="E82" i="3" s="1"/>
  <c r="M37" i="2"/>
  <c r="P36" i="2"/>
  <c r="N36" i="2"/>
  <c r="E40" i="3" s="1"/>
  <c r="F40" i="3" s="1"/>
  <c r="H40" i="3" s="1"/>
  <c r="J40" i="3" s="1"/>
  <c r="E81" i="3" s="1"/>
  <c r="M36" i="2"/>
  <c r="P35" i="2"/>
  <c r="N35" i="2"/>
  <c r="E39" i="3" s="1"/>
  <c r="F39" i="3" s="1"/>
  <c r="H39" i="3" s="1"/>
  <c r="M35" i="2"/>
  <c r="W37" i="2"/>
  <c r="Z37" i="2" s="1"/>
  <c r="W36" i="2"/>
  <c r="Z36" i="2" s="1"/>
  <c r="W35" i="2"/>
  <c r="Z35" i="2" s="1"/>
  <c r="F37" i="2"/>
  <c r="G37" i="2" s="1"/>
  <c r="F36" i="2"/>
  <c r="G36" i="2" s="1"/>
  <c r="F35" i="2"/>
  <c r="G35" i="2" s="1"/>
  <c r="R37" i="2"/>
  <c r="R36" i="2"/>
  <c r="AA36" i="2" s="1"/>
  <c r="R35" i="2"/>
  <c r="AA35" i="2" s="1"/>
  <c r="J39" i="3" l="1"/>
  <c r="H42" i="3"/>
  <c r="G77" i="3"/>
  <c r="O35" i="2"/>
  <c r="Q35" i="2" s="1"/>
  <c r="S35" i="2" s="1"/>
  <c r="AB36" i="2"/>
  <c r="AF40" i="2" s="1"/>
  <c r="AH40" i="2" s="1"/>
  <c r="AO40" i="2" s="1"/>
  <c r="D81" i="3" s="1"/>
  <c r="G81" i="3" s="1"/>
  <c r="O37" i="2"/>
  <c r="Q37" i="2" s="1"/>
  <c r="S37" i="2" s="1"/>
  <c r="AA37" i="2"/>
  <c r="AB37" i="2" s="1"/>
  <c r="AF41" i="2" s="1"/>
  <c r="AH41" i="2" s="1"/>
  <c r="AO41" i="2" s="1"/>
  <c r="D82" i="3" s="1"/>
  <c r="G82" i="3" s="1"/>
  <c r="AB35" i="2"/>
  <c r="AF39" i="2" s="1"/>
  <c r="AH39" i="2" s="1"/>
  <c r="O36" i="2"/>
  <c r="Q36" i="2" s="1"/>
  <c r="S36" i="2" s="1"/>
  <c r="I37" i="2"/>
  <c r="I36" i="2"/>
  <c r="I35" i="2"/>
  <c r="G38" i="2"/>
  <c r="E80" i="3" l="1"/>
  <c r="E83" i="3" s="1"/>
  <c r="J42" i="3"/>
  <c r="AO39" i="2"/>
  <c r="AH42" i="2"/>
  <c r="AH45" i="2" s="1"/>
  <c r="AH50" i="2" s="1"/>
  <c r="I38" i="2"/>
  <c r="Q38" i="2"/>
  <c r="S38" i="2"/>
  <c r="G98" i="3" l="1"/>
  <c r="AO42" i="2"/>
  <c r="AO45" i="2" s="1"/>
  <c r="AO50" i="2" s="1"/>
  <c r="D80" i="3"/>
  <c r="D83" i="3" s="1"/>
  <c r="K3" i="2"/>
  <c r="E86" i="3" l="1"/>
  <c r="E90" i="3" s="1"/>
  <c r="H96" i="3" s="1"/>
  <c r="AO55" i="2"/>
  <c r="AO56" i="2" s="1"/>
  <c r="G80" i="3"/>
  <c r="G83" i="3" l="1"/>
  <c r="G99" i="3" l="1"/>
  <c r="H102" i="3" l="1"/>
  <c r="H104" i="3" s="1"/>
</calcChain>
</file>

<file path=xl/sharedStrings.xml><?xml version="1.0" encoding="utf-8"?>
<sst xmlns="http://schemas.openxmlformats.org/spreadsheetml/2006/main" count="496" uniqueCount="167">
  <si>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</si>
  <si>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</si>
  <si>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</si>
  <si>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</si>
  <si>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</si>
  <si>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</si>
  <si>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</si>
  <si>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</si>
  <si>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</si>
  <si>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</si>
  <si>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</si>
  <si>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</si>
  <si>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</si>
  <si>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</si>
  <si>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</si>
  <si>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</si>
  <si>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</si>
  <si>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</si>
  <si>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</si>
  <si>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</si>
  <si>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</si>
  <si>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</si>
  <si>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</si>
  <si>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</si>
  <si>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</si>
  <si>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</si>
  <si>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</si>
  <si>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</si>
  <si>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</si>
  <si>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</si>
  <si>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</si>
  <si>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</si>
  <si>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</si>
  <si>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</si>
  <si>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</si>
  <si>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Conroy</t>
  </si>
  <si>
    <t>(3) * (6)  / 12</t>
  </si>
  <si>
    <t>Operating Expenses (net of allowance proceeds)</t>
  </si>
  <si>
    <t>ES Form 1.10</t>
  </si>
  <si>
    <t>Comments: As Revised in This Review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</si>
  <si>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</si>
  <si>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</si>
  <si>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</si>
  <si>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</si>
  <si>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</si>
  <si>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</si>
  <si>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</si>
  <si>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</si>
  <si>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</si>
  <si>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</si>
  <si>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</si>
  <si>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</si>
  <si>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</si>
  <si>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</si>
  <si>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</si>
  <si>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</si>
  <si>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</si>
  <si>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</si>
  <si>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</si>
  <si>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</si>
  <si>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Jurisdictional Allocation Ratio</t>
  </si>
  <si>
    <t xml:space="preserve">Adjustment to Retail E(m) for (Over)/Under-Collection </t>
  </si>
  <si>
    <t>Total for the 2-year period:</t>
  </si>
  <si>
    <t>Less Amounts from previous 6-month reviews:</t>
  </si>
  <si>
    <t>Total for the current 6-month period:</t>
  </si>
  <si>
    <t>Case No.</t>
  </si>
  <si>
    <t>2015-00020</t>
  </si>
  <si>
    <t>Summary Schedule for Expense Months March 2013 through February 2015</t>
  </si>
  <si>
    <t>2013-00436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</si>
  <si>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</si>
  <si>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</si>
  <si>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</si>
  <si>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</si>
  <si>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</si>
  <si>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</si>
  <si>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</si>
  <si>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</si>
  <si>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</si>
  <si>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</si>
  <si>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</si>
  <si>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</si>
  <si>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</si>
  <si>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KENTUCKY UTILITIES</t>
  </si>
  <si>
    <t>Adjusted Electric Rate of Return on Common Equity - ECR Plans</t>
  </si>
  <si>
    <t>As of February 28, 2015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</si>
  <si>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</si>
  <si>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</si>
  <si>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</si>
  <si>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</si>
  <si>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</si>
  <si>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</si>
  <si>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</si>
  <si>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</si>
  <si>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</si>
  <si>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</si>
  <si>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</si>
  <si>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</si>
  <si>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</si>
  <si>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02-28-15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</si>
  <si>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</si>
  <si>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</si>
  <si>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</si>
  <si>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</si>
  <si>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</si>
  <si>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</si>
  <si>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</si>
  <si>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</si>
  <si>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</si>
  <si>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</si>
  <si>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</si>
  <si>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</si>
  <si>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</si>
  <si>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</si>
  <si>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</si>
  <si>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</si>
  <si>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</si>
  <si>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</si>
  <si>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</si>
  <si>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</si>
  <si>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</si>
  <si>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</si>
  <si>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</si>
  <si>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</si>
  <si>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</si>
  <si>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</si>
  <si>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</si>
  <si>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</si>
  <si>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</si>
  <si>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</si>
  <si>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</si>
  <si>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Average daily balance per Settlement Agreement in Case No. 2011-00161.</t>
  </si>
  <si>
    <t>Conroy / Garrett</t>
  </si>
  <si>
    <t>Case No. 2012-00546; 2013-00242; 2013-00436</t>
  </si>
  <si>
    <t>Total Under-Recovery to be collected from customers for the all periods under review</t>
  </si>
  <si>
    <t>Net Under-Recovery due to Revised ROR to be collected from customers for the 6-month billing period ending October 31, 2014</t>
  </si>
  <si>
    <t>Revised ROR Correction</t>
  </si>
  <si>
    <t>Total for 6 months</t>
  </si>
  <si>
    <t>Over-Recovery CN 2015-00020</t>
  </si>
  <si>
    <t>Under-Recovery CN 2015-00020</t>
  </si>
  <si>
    <t>Over-Recovery CN 2013-00436</t>
  </si>
  <si>
    <t>Page 4 of 4</t>
  </si>
  <si>
    <t>Page 3 of 4</t>
  </si>
  <si>
    <t>Page 2 of 4</t>
  </si>
  <si>
    <t>Page 1 of 4</t>
  </si>
  <si>
    <t>To Collect</t>
  </si>
  <si>
    <t>Returned for period ending February 28, 2014</t>
  </si>
  <si>
    <t>Collected for period ending August 31, 2014</t>
  </si>
  <si>
    <t>Returned for period ending August 31, 2013</t>
  </si>
  <si>
    <t>Total Over-Recovery 2-yr period</t>
  </si>
  <si>
    <t>Under-Recovery to be collected from customers for the 6-month billing period ending April 30, 2015</t>
  </si>
  <si>
    <t>Rate of Return True-up Correction</t>
  </si>
  <si>
    <t>Rate of Return True-up as Originally Filed</t>
  </si>
  <si>
    <t>Correction to ROR in 2 6-month Periods</t>
  </si>
  <si>
    <t>Due to Change in ROR in Current 6-month Period</t>
  </si>
  <si>
    <t>As Originally Filed - Do Not Delete</t>
  </si>
  <si>
    <t>Remaining Under-Recovery for 2-yr period</t>
  </si>
  <si>
    <t>Over-Recovery returned to customers for the period ending February 28, 2014 calculated in Case No. 2015-00020</t>
  </si>
  <si>
    <t>Under-Recovery collected from customers for the period ending August 31, 2014 calculated in Case No. 2015-00020</t>
  </si>
  <si>
    <t>Net Under-Recovery due to Revised ROR to be collected from customers for the 6-month billing period ending April 30, 2014</t>
  </si>
  <si>
    <t>As of December 31, 2013 - Revised to Reflect Correction to Annual Cost Rates</t>
  </si>
  <si>
    <t>12-31-13</t>
  </si>
  <si>
    <t>As of February 28, 2014 - Revised to Reflect Correction to Annual Cost Rates</t>
  </si>
  <si>
    <t>02-28-14</t>
  </si>
  <si>
    <t>As of August 31, 2014 - Revised to Reflect Correction to Annual Cost Rates</t>
  </si>
  <si>
    <t>08-31-14</t>
  </si>
  <si>
    <t>Page 1 of 6</t>
  </si>
  <si>
    <t>Page 2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</si>
</sst>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_);_(&quot;$&quot;* \(#,##0.00\);_(&quot;$&quot;* 0.00_);_(@_)"/>
    <numFmt numFmtId="168" formatCode="_(&quot;$&quot;* #,##0_);_(&quot;$&quot;* \(#,##0\);_(&quot;$&quot;* 0_);_(@_)"/>
    <numFmt numFmtId="169" formatCode="0_);\(0\)"/>
    <numFmt numFmtId="170" formatCode="0.000%"/>
    <numFmt numFmtId="171" formatCode="[$-409]mmmm\ d\,\ yyyy;@"/>
    <numFmt numFmtId="172" formatCode="_-&quot;£&quot;* #,##0.00_-;\-&quot;£&quot;* #,##0.00_-;_-&quot;£&quot;* &quot;-&quot;??_-;_-@_-"/>
    <numFmt numFmtId="173" formatCode="&quot;$&quot;#,##0\ ;\(&quot;$&quot;#,##0\)"/>
    <numFmt numFmtId="174" formatCode="_([$€-2]* #,##0.00_);_([$€-2]* \(#,##0.00\);_([$€-2]* &quot;-&quot;??_)"/>
    <numFmt numFmtId="175" formatCode="#,##0\ ;[Red]\(#,##0\)"/>
    <numFmt numFmtId="176" formatCode="0.000"/>
    <numFmt numFmtId="177" formatCode="0.00000%"/>
    <numFmt numFmtId="178" formatCode="_(* #,##0_);_(* \(#,##0\);_(* &quot;0&quot;_);_(@_)"/>
    <numFmt numFmtId="179" formatCode="_(&quot;$&quot;* #,##0_);_(&quot;$&quot;* \(#,##0\);_(&quot;$&quot;* &quot;0&quot;_);_(@_)"/>
  </numFmts>
  <fonts count="7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1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1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1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71" fontId="25" fillId="38" borderId="0" applyNumberFormat="0" applyBorder="0" applyAlignment="0" applyProtection="0"/>
    <xf numFmtId="164" fontId="25" fillId="38" borderId="0" applyNumberFormat="0" applyBorder="0" applyAlignment="0" applyProtection="0"/>
    <xf numFmtId="171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2" fillId="25" borderId="0" applyNumberFormat="0" applyBorder="0" applyAlignment="0" applyProtection="0"/>
    <xf numFmtId="164" fontId="2" fillId="25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71" fontId="25" fillId="38" borderId="0" applyNumberFormat="0" applyBorder="0" applyAlignment="0" applyProtection="0"/>
    <xf numFmtId="171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25" fillId="38" borderId="0" applyNumberFormat="0" applyBorder="0" applyAlignment="0" applyProtection="0"/>
    <xf numFmtId="171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2" fillId="25" borderId="0" applyNumberFormat="0" applyBorder="0" applyAlignment="0" applyProtection="0"/>
    <xf numFmtId="164" fontId="2" fillId="25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29" borderId="0" applyNumberFormat="0" applyBorder="0" applyAlignment="0" applyProtection="0"/>
    <xf numFmtId="164" fontId="2" fillId="29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1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29" borderId="0" applyNumberFormat="0" applyBorder="0" applyAlignment="0" applyProtection="0"/>
    <xf numFmtId="164" fontId="2" fillId="29" borderId="0" applyNumberFormat="0" applyBorder="0" applyAlignment="0" applyProtection="0"/>
    <xf numFmtId="171" fontId="25" fillId="39" borderId="0" applyNumberFormat="0" applyBorder="0" applyAlignment="0" applyProtection="0"/>
    <xf numFmtId="164" fontId="25" fillId="39" borderId="0" applyNumberFormat="0" applyBorder="0" applyAlignment="0" applyProtection="0"/>
    <xf numFmtId="171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" fillId="33" borderId="0" applyNumberFormat="0" applyBorder="0" applyAlignment="0" applyProtection="0"/>
    <xf numFmtId="164" fontId="2" fillId="3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1" fontId="25" fillId="39" borderId="0" applyNumberFormat="0" applyBorder="0" applyAlignment="0" applyProtection="0"/>
    <xf numFmtId="171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5" fillId="39" borderId="0" applyNumberFormat="0" applyBorder="0" applyAlignment="0" applyProtection="0"/>
    <xf numFmtId="171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" fillId="33" borderId="0" applyNumberFormat="0" applyBorder="0" applyAlignment="0" applyProtection="0"/>
    <xf numFmtId="164" fontId="2" fillId="33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1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1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1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71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71" fontId="25" fillId="40" borderId="0" applyNumberFormat="0" applyBorder="0" applyAlignment="0" applyProtection="0"/>
    <xf numFmtId="164" fontId="25" fillId="40" borderId="0" applyNumberFormat="0" applyBorder="0" applyAlignment="0" applyProtection="0"/>
    <xf numFmtId="171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71" fontId="25" fillId="40" borderId="0" applyNumberFormat="0" applyBorder="0" applyAlignment="0" applyProtection="0"/>
    <xf numFmtId="171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25" fillId="40" borderId="0" applyNumberFormat="0" applyBorder="0" applyAlignment="0" applyProtection="0"/>
    <xf numFmtId="171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1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71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71" fontId="25" fillId="39" borderId="0" applyNumberFormat="0" applyBorder="0" applyAlignment="0" applyProtection="0"/>
    <xf numFmtId="164" fontId="25" fillId="39" borderId="0" applyNumberFormat="0" applyBorder="0" applyAlignment="0" applyProtection="0"/>
    <xf numFmtId="171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" fillId="34" borderId="0" applyNumberFormat="0" applyBorder="0" applyAlignment="0" applyProtection="0"/>
    <xf numFmtId="164" fontId="2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1" fontId="25" fillId="39" borderId="0" applyNumberFormat="0" applyBorder="0" applyAlignment="0" applyProtection="0"/>
    <xf numFmtId="171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5" fillId="39" borderId="0" applyNumberFormat="0" applyBorder="0" applyAlignment="0" applyProtection="0"/>
    <xf numFmtId="171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2" fillId="34" borderId="0" applyNumberFormat="0" applyBorder="0" applyAlignment="0" applyProtection="0"/>
    <xf numFmtId="164" fontId="2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171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171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171" fontId="26" fillId="36" borderId="0" applyNumberFormat="0" applyBorder="0" applyAlignment="0" applyProtection="0"/>
    <xf numFmtId="171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0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1" fontId="26" fillId="37" borderId="0" applyNumberFormat="0" applyBorder="0" applyAlignment="0" applyProtection="0"/>
    <xf numFmtId="171" fontId="26" fillId="37" borderId="0" applyNumberFormat="0" applyBorder="0" applyAlignment="0" applyProtection="0"/>
    <xf numFmtId="0" fontId="26" fillId="37" borderId="0" applyNumberFormat="0" applyBorder="0" applyAlignment="0" applyProtection="0"/>
    <xf numFmtId="171" fontId="26" fillId="37" borderId="0" applyNumberFormat="0" applyBorder="0" applyAlignment="0" applyProtection="0"/>
    <xf numFmtId="171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71" fontId="26" fillId="37" borderId="0" applyNumberFormat="0" applyBorder="0" applyAlignment="0" applyProtection="0"/>
    <xf numFmtId="171" fontId="26" fillId="37" borderId="0" applyNumberFormat="0" applyBorder="0" applyAlignment="0" applyProtection="0"/>
    <xf numFmtId="171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71" fontId="26" fillId="40" borderId="0" applyNumberFormat="0" applyBorder="0" applyAlignment="0" applyProtection="0"/>
    <xf numFmtId="171" fontId="26" fillId="40" borderId="0" applyNumberFormat="0" applyBorder="0" applyAlignment="0" applyProtection="0"/>
    <xf numFmtId="0" fontId="26" fillId="40" borderId="0" applyNumberFormat="0" applyBorder="0" applyAlignment="0" applyProtection="0"/>
    <xf numFmtId="171" fontId="26" fillId="40" borderId="0" applyNumberFormat="0" applyBorder="0" applyAlignment="0" applyProtection="0"/>
    <xf numFmtId="171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71" fontId="26" fillId="40" borderId="0" applyNumberFormat="0" applyBorder="0" applyAlignment="0" applyProtection="0"/>
    <xf numFmtId="171" fontId="26" fillId="40" borderId="0" applyNumberFormat="0" applyBorder="0" applyAlignment="0" applyProtection="0"/>
    <xf numFmtId="171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171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171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171" fontId="26" fillId="36" borderId="0" applyNumberFormat="0" applyBorder="0" applyAlignment="0" applyProtection="0"/>
    <xf numFmtId="171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1" borderId="0" applyNumberFormat="0" applyBorder="0" applyAlignment="0" applyProtection="0"/>
    <xf numFmtId="164" fontId="22" fillId="3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71" fontId="26" fillId="39" borderId="0" applyNumberFormat="0" applyBorder="0" applyAlignment="0" applyProtection="0"/>
    <xf numFmtId="171" fontId="26" fillId="39" borderId="0" applyNumberFormat="0" applyBorder="0" applyAlignment="0" applyProtection="0"/>
    <xf numFmtId="0" fontId="26" fillId="39" borderId="0" applyNumberFormat="0" applyBorder="0" applyAlignment="0" applyProtection="0"/>
    <xf numFmtId="171" fontId="26" fillId="39" borderId="0" applyNumberFormat="0" applyBorder="0" applyAlignment="0" applyProtection="0"/>
    <xf numFmtId="171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71" fontId="26" fillId="39" borderId="0" applyNumberFormat="0" applyBorder="0" applyAlignment="0" applyProtection="0"/>
    <xf numFmtId="171" fontId="26" fillId="39" borderId="0" applyNumberFormat="0" applyBorder="0" applyAlignment="0" applyProtection="0"/>
    <xf numFmtId="171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1" fontId="26" fillId="42" borderId="0" applyNumberFormat="0" applyBorder="0" applyAlignment="0" applyProtection="0"/>
    <xf numFmtId="171" fontId="26" fillId="42" borderId="0" applyNumberFormat="0" applyBorder="0" applyAlignment="0" applyProtection="0"/>
    <xf numFmtId="0" fontId="26" fillId="42" borderId="0" applyNumberFormat="0" applyBorder="0" applyAlignment="0" applyProtection="0"/>
    <xf numFmtId="171" fontId="26" fillId="42" borderId="0" applyNumberFormat="0" applyBorder="0" applyAlignment="0" applyProtection="0"/>
    <xf numFmtId="171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71" fontId="26" fillId="42" borderId="0" applyNumberFormat="0" applyBorder="0" applyAlignment="0" applyProtection="0"/>
    <xf numFmtId="171" fontId="26" fillId="42" borderId="0" applyNumberFormat="0" applyBorder="0" applyAlignment="0" applyProtection="0"/>
    <xf numFmtId="171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71" fontId="26" fillId="43" borderId="0" applyNumberFormat="0" applyBorder="0" applyAlignment="0" applyProtection="0"/>
    <xf numFmtId="171" fontId="26" fillId="43" borderId="0" applyNumberFormat="0" applyBorder="0" applyAlignment="0" applyProtection="0"/>
    <xf numFmtId="0" fontId="26" fillId="43" borderId="0" applyNumberFormat="0" applyBorder="0" applyAlignment="0" applyProtection="0"/>
    <xf numFmtId="171" fontId="26" fillId="43" borderId="0" applyNumberFormat="0" applyBorder="0" applyAlignment="0" applyProtection="0"/>
    <xf numFmtId="171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71" fontId="26" fillId="43" borderId="0" applyNumberFormat="0" applyBorder="0" applyAlignment="0" applyProtection="0"/>
    <xf numFmtId="171" fontId="26" fillId="43" borderId="0" applyNumberFormat="0" applyBorder="0" applyAlignment="0" applyProtection="0"/>
    <xf numFmtId="171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71" fontId="26" fillId="44" borderId="0" applyNumberFormat="0" applyBorder="0" applyAlignment="0" applyProtection="0"/>
    <xf numFmtId="171" fontId="26" fillId="44" borderId="0" applyNumberFormat="0" applyBorder="0" applyAlignment="0" applyProtection="0"/>
    <xf numFmtId="0" fontId="26" fillId="44" borderId="0" applyNumberFormat="0" applyBorder="0" applyAlignment="0" applyProtection="0"/>
    <xf numFmtId="171" fontId="26" fillId="44" borderId="0" applyNumberFormat="0" applyBorder="0" applyAlignment="0" applyProtection="0"/>
    <xf numFmtId="171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71" fontId="26" fillId="44" borderId="0" applyNumberFormat="0" applyBorder="0" applyAlignment="0" applyProtection="0"/>
    <xf numFmtId="171" fontId="26" fillId="44" borderId="0" applyNumberFormat="0" applyBorder="0" applyAlignment="0" applyProtection="0"/>
    <xf numFmtId="171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171" fontId="26" fillId="45" borderId="0" applyNumberFormat="0" applyBorder="0" applyAlignment="0" applyProtection="0"/>
    <xf numFmtId="171" fontId="26" fillId="45" borderId="0" applyNumberFormat="0" applyBorder="0" applyAlignment="0" applyProtection="0"/>
    <xf numFmtId="0" fontId="26" fillId="45" borderId="0" applyNumberFormat="0" applyBorder="0" applyAlignment="0" applyProtection="0"/>
    <xf numFmtId="171" fontId="26" fillId="45" borderId="0" applyNumberFormat="0" applyBorder="0" applyAlignment="0" applyProtection="0"/>
    <xf numFmtId="171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71" fontId="26" fillId="45" borderId="0" applyNumberFormat="0" applyBorder="0" applyAlignment="0" applyProtection="0"/>
    <xf numFmtId="171" fontId="26" fillId="45" borderId="0" applyNumberFormat="0" applyBorder="0" applyAlignment="0" applyProtection="0"/>
    <xf numFmtId="171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1" fontId="26" fillId="42" borderId="0" applyNumberFormat="0" applyBorder="0" applyAlignment="0" applyProtection="0"/>
    <xf numFmtId="171" fontId="26" fillId="42" borderId="0" applyNumberFormat="0" applyBorder="0" applyAlignment="0" applyProtection="0"/>
    <xf numFmtId="0" fontId="26" fillId="42" borderId="0" applyNumberFormat="0" applyBorder="0" applyAlignment="0" applyProtection="0"/>
    <xf numFmtId="171" fontId="26" fillId="42" borderId="0" applyNumberFormat="0" applyBorder="0" applyAlignment="0" applyProtection="0"/>
    <xf numFmtId="171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71" fontId="26" fillId="42" borderId="0" applyNumberFormat="0" applyBorder="0" applyAlignment="0" applyProtection="0"/>
    <xf numFmtId="171" fontId="26" fillId="42" borderId="0" applyNumberFormat="0" applyBorder="0" applyAlignment="0" applyProtection="0"/>
    <xf numFmtId="171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0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171" fontId="27" fillId="47" borderId="0" applyNumberFormat="0" applyBorder="0" applyAlignment="0" applyProtection="0"/>
    <xf numFmtId="164" fontId="27" fillId="47" borderId="0" applyNumberFormat="0" applyBorder="0" applyAlignment="0" applyProtection="0"/>
    <xf numFmtId="171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71" fontId="27" fillId="47" borderId="0" applyNumberFormat="0" applyBorder="0" applyAlignment="0" applyProtection="0"/>
    <xf numFmtId="171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71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12" fillId="6" borderId="0" applyNumberFormat="0" applyBorder="0" applyAlignment="0" applyProtection="0"/>
    <xf numFmtId="164" fontId="12" fillId="6" borderId="0" applyNumberFormat="0" applyBorder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71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0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71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16" fillId="9" borderId="18" applyNumberFormat="0" applyAlignment="0" applyProtection="0"/>
    <xf numFmtId="164" fontId="16" fillId="9" borderId="18" applyNumberFormat="0" applyAlignment="0" applyProtection="0"/>
    <xf numFmtId="0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0" fontId="28" fillId="38" borderId="24" applyNumberFormat="0" applyAlignment="0" applyProtection="0"/>
    <xf numFmtId="171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71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71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64" fontId="28" fillId="38" borderId="24" applyNumberFormat="0" applyAlignment="0" applyProtection="0"/>
    <xf numFmtId="171" fontId="29" fillId="48" borderId="25" applyNumberFormat="0" applyAlignment="0" applyProtection="0"/>
    <xf numFmtId="164" fontId="29" fillId="48" borderId="25" applyNumberFormat="0" applyAlignment="0" applyProtection="0"/>
    <xf numFmtId="171" fontId="29" fillId="48" borderId="25" applyNumberFormat="0" applyAlignment="0" applyProtection="0"/>
    <xf numFmtId="164" fontId="29" fillId="48" borderId="25" applyNumberFormat="0" applyAlignment="0" applyProtection="0"/>
    <xf numFmtId="0" fontId="29" fillId="48" borderId="25" applyNumberFormat="0" applyAlignment="0" applyProtection="0"/>
    <xf numFmtId="0" fontId="29" fillId="48" borderId="25" applyNumberFormat="0" applyAlignment="0" applyProtection="0"/>
    <xf numFmtId="0" fontId="29" fillId="48" borderId="25" applyNumberFormat="0" applyAlignment="0" applyProtection="0"/>
    <xf numFmtId="171" fontId="29" fillId="48" borderId="25" applyNumberFormat="0" applyAlignment="0" applyProtection="0"/>
    <xf numFmtId="171" fontId="29" fillId="48" borderId="25" applyNumberFormat="0" applyAlignment="0" applyProtection="0"/>
    <xf numFmtId="164" fontId="29" fillId="48" borderId="25" applyNumberFormat="0" applyAlignment="0" applyProtection="0"/>
    <xf numFmtId="164" fontId="29" fillId="48" borderId="25" applyNumberFormat="0" applyAlignment="0" applyProtection="0"/>
    <xf numFmtId="164" fontId="29" fillId="48" borderId="25" applyNumberFormat="0" applyAlignment="0" applyProtection="0"/>
    <xf numFmtId="171" fontId="29" fillId="48" borderId="25" applyNumberFormat="0" applyAlignment="0" applyProtection="0"/>
    <xf numFmtId="164" fontId="29" fillId="48" borderId="25" applyNumberFormat="0" applyAlignment="0" applyProtection="0"/>
    <xf numFmtId="164" fontId="29" fillId="48" borderId="25" applyNumberFormat="0" applyAlignment="0" applyProtection="0"/>
    <xf numFmtId="164" fontId="29" fillId="48" borderId="25" applyNumberFormat="0" applyAlignment="0" applyProtection="0"/>
    <xf numFmtId="164" fontId="18" fillId="10" borderId="21" applyNumberFormat="0" applyAlignment="0" applyProtection="0"/>
    <xf numFmtId="164" fontId="18" fillId="10" borderId="21" applyNumberFormat="0" applyAlignment="0" applyProtection="0"/>
    <xf numFmtId="0" fontId="29" fillId="49" borderId="0">
      <alignment horizontal="left"/>
    </xf>
    <xf numFmtId="0" fontId="29" fillId="49" borderId="0">
      <alignment horizontal="left"/>
    </xf>
    <xf numFmtId="171" fontId="29" fillId="49" borderId="0">
      <alignment horizontal="left"/>
    </xf>
    <xf numFmtId="0" fontId="30" fillId="49" borderId="0">
      <alignment horizontal="right"/>
    </xf>
    <xf numFmtId="0" fontId="30" fillId="49" borderId="0">
      <alignment horizontal="right"/>
    </xf>
    <xf numFmtId="171" fontId="30" fillId="49" borderId="0">
      <alignment horizontal="right"/>
    </xf>
    <xf numFmtId="0" fontId="31" fillId="50" borderId="0">
      <alignment horizontal="center"/>
    </xf>
    <xf numFmtId="0" fontId="31" fillId="50" borderId="0">
      <alignment horizontal="center"/>
    </xf>
    <xf numFmtId="171" fontId="31" fillId="50" borderId="0">
      <alignment horizontal="center"/>
    </xf>
    <xf numFmtId="0" fontId="30" fillId="49" borderId="0">
      <alignment horizontal="right"/>
    </xf>
    <xf numFmtId="0" fontId="30" fillId="49" borderId="0">
      <alignment horizontal="right"/>
    </xf>
    <xf numFmtId="171" fontId="30" fillId="49" borderId="0">
      <alignment horizontal="right"/>
    </xf>
    <xf numFmtId="0" fontId="32" fillId="50" borderId="0">
      <alignment horizontal="left"/>
    </xf>
    <xf numFmtId="0" fontId="32" fillId="50" borderId="0">
      <alignment horizontal="left"/>
    </xf>
    <xf numFmtId="171" fontId="32" fillId="50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71" fontId="37" fillId="0" borderId="0" applyProtection="0"/>
    <xf numFmtId="0" fontId="4" fillId="0" borderId="0" applyProtection="0"/>
    <xf numFmtId="0" fontId="4" fillId="0" borderId="0" applyProtection="0"/>
    <xf numFmtId="171" fontId="4" fillId="0" borderId="0" applyProtection="0"/>
    <xf numFmtId="0" fontId="38" fillId="0" borderId="0" applyProtection="0"/>
    <xf numFmtId="0" fontId="38" fillId="0" borderId="0" applyProtection="0"/>
    <xf numFmtId="171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1" fontId="39" fillId="0" borderId="0" applyProtection="0"/>
    <xf numFmtId="0" fontId="39" fillId="0" borderId="0" applyProtection="0"/>
    <xf numFmtId="171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71" fontId="23" fillId="0" borderId="0" applyProtection="0"/>
    <xf numFmtId="0" fontId="23" fillId="0" borderId="0" applyProtection="0"/>
    <xf numFmtId="171" fontId="23" fillId="0" borderId="0" applyProtection="0"/>
    <xf numFmtId="0" fontId="37" fillId="0" borderId="0" applyProtection="0"/>
    <xf numFmtId="0" fontId="37" fillId="0" borderId="0" applyProtection="0"/>
    <xf numFmtId="171" fontId="37" fillId="0" borderId="0" applyProtection="0"/>
    <xf numFmtId="0" fontId="40" fillId="0" borderId="0" applyProtection="0"/>
    <xf numFmtId="0" fontId="40" fillId="0" borderId="0" applyProtection="0"/>
    <xf numFmtId="171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1" fontId="41" fillId="51" borderId="0" applyNumberFormat="0" applyBorder="0" applyAlignment="0" applyProtection="0"/>
    <xf numFmtId="164" fontId="41" fillId="51" borderId="0" applyNumberFormat="0" applyBorder="0" applyAlignment="0" applyProtection="0"/>
    <xf numFmtId="171" fontId="41" fillId="51" borderId="0" applyNumberFormat="0" applyBorder="0" applyAlignment="0" applyProtection="0"/>
    <xf numFmtId="164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1" fontId="41" fillId="51" borderId="0" applyNumberFormat="0" applyBorder="0" applyAlignment="0" applyProtection="0"/>
    <xf numFmtId="171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41" fillId="51" borderId="0" applyNumberFormat="0" applyBorder="0" applyAlignment="0" applyProtection="0"/>
    <xf numFmtId="171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71" fontId="42" fillId="0" borderId="26" applyNumberFormat="0" applyFill="0" applyAlignment="0" applyProtection="0"/>
    <xf numFmtId="164" fontId="42" fillId="0" borderId="26" applyNumberFormat="0" applyFill="0" applyAlignment="0" applyProtection="0"/>
    <xf numFmtId="171" fontId="42" fillId="0" borderId="26" applyNumberFormat="0" applyFill="0" applyAlignment="0" applyProtection="0"/>
    <xf numFmtId="164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171" fontId="42" fillId="0" borderId="26" applyNumberFormat="0" applyFill="0" applyAlignment="0" applyProtection="0"/>
    <xf numFmtId="171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71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8" fillId="0" borderId="15" applyNumberFormat="0" applyFill="0" applyAlignment="0" applyProtection="0"/>
    <xf numFmtId="164" fontId="8" fillId="0" borderId="15" applyNumberFormat="0" applyFill="0" applyAlignment="0" applyProtection="0"/>
    <xf numFmtId="171" fontId="43" fillId="0" borderId="27" applyNumberFormat="0" applyFill="0" applyAlignment="0" applyProtection="0"/>
    <xf numFmtId="164" fontId="43" fillId="0" borderId="27" applyNumberFormat="0" applyFill="0" applyAlignment="0" applyProtection="0"/>
    <xf numFmtId="171" fontId="43" fillId="0" borderId="27" applyNumberFormat="0" applyFill="0" applyAlignment="0" applyProtection="0"/>
    <xf numFmtId="164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171" fontId="43" fillId="0" borderId="27" applyNumberFormat="0" applyFill="0" applyAlignment="0" applyProtection="0"/>
    <xf numFmtId="171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71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9" fillId="0" borderId="16" applyNumberFormat="0" applyFill="0" applyAlignment="0" applyProtection="0"/>
    <xf numFmtId="164" fontId="9" fillId="0" borderId="16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10" fillId="0" borderId="17" applyNumberFormat="0" applyFill="0" applyAlignment="0" applyProtection="0"/>
    <xf numFmtId="164" fontId="10" fillId="0" borderId="17" applyNumberFormat="0" applyFill="0" applyAlignment="0" applyProtection="0"/>
    <xf numFmtId="0" fontId="44" fillId="0" borderId="28" applyNumberFormat="0" applyFill="0" applyAlignment="0" applyProtection="0"/>
    <xf numFmtId="171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1" fontId="44" fillId="0" borderId="28" applyNumberFormat="0" applyFill="0" applyAlignment="0" applyProtection="0"/>
    <xf numFmtId="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71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1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71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1" fontId="44" fillId="0" borderId="28" applyNumberFormat="0" applyFill="0" applyAlignment="0" applyProtection="0"/>
    <xf numFmtId="171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1" fontId="44" fillId="0" borderId="28" applyNumberFormat="0" applyFill="0" applyAlignment="0" applyProtection="0"/>
    <xf numFmtId="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71" fontId="44" fillId="0" borderId="28" applyNumberFormat="0" applyFill="0" applyAlignment="0" applyProtection="0"/>
    <xf numFmtId="171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1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1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71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0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71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14" fillId="8" borderId="18" applyNumberFormat="0" applyAlignment="0" applyProtection="0"/>
    <xf numFmtId="164" fontId="14" fillId="8" borderId="18" applyNumberFormat="0" applyAlignment="0" applyProtection="0"/>
    <xf numFmtId="0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0" fontId="46" fillId="39" borderId="24" applyNumberFormat="0" applyAlignment="0" applyProtection="0"/>
    <xf numFmtId="171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71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71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164" fontId="46" fillId="39" borderId="24" applyNumberFormat="0" applyAlignment="0" applyProtection="0"/>
    <xf numFmtId="0" fontId="29" fillId="49" borderId="0">
      <alignment horizontal="left"/>
    </xf>
    <xf numFmtId="0" fontId="29" fillId="49" borderId="0">
      <alignment horizontal="left"/>
    </xf>
    <xf numFmtId="171" fontId="29" fillId="49" borderId="0">
      <alignment horizontal="left"/>
    </xf>
    <xf numFmtId="0" fontId="47" fillId="50" borderId="0">
      <alignment horizontal="left"/>
    </xf>
    <xf numFmtId="0" fontId="47" fillId="50" borderId="0">
      <alignment horizontal="left"/>
    </xf>
    <xf numFmtId="171" fontId="47" fillId="50" borderId="0">
      <alignment horizontal="left"/>
    </xf>
    <xf numFmtId="171" fontId="48" fillId="0" borderId="29" applyNumberFormat="0" applyFill="0" applyAlignment="0" applyProtection="0"/>
    <xf numFmtId="164" fontId="48" fillId="0" borderId="29" applyNumberFormat="0" applyFill="0" applyAlignment="0" applyProtection="0"/>
    <xf numFmtId="171" fontId="48" fillId="0" borderId="29" applyNumberFormat="0" applyFill="0" applyAlignment="0" applyProtection="0"/>
    <xf numFmtId="164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171" fontId="48" fillId="0" borderId="29" applyNumberFormat="0" applyFill="0" applyAlignment="0" applyProtection="0"/>
    <xf numFmtId="171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71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17" fillId="0" borderId="20" applyNumberFormat="0" applyFill="0" applyAlignment="0" applyProtection="0"/>
    <xf numFmtId="164" fontId="17" fillId="0" borderId="20" applyNumberFormat="0" applyFill="0" applyAlignment="0" applyProtection="0"/>
    <xf numFmtId="171" fontId="49" fillId="52" borderId="0" applyNumberFormat="0" applyBorder="0" applyAlignment="0" applyProtection="0"/>
    <xf numFmtId="164" fontId="49" fillId="52" borderId="0" applyNumberFormat="0" applyBorder="0" applyAlignment="0" applyProtection="0"/>
    <xf numFmtId="171" fontId="49" fillId="52" borderId="0" applyNumberFormat="0" applyBorder="0" applyAlignment="0" applyProtection="0"/>
    <xf numFmtId="164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171" fontId="49" fillId="52" borderId="0" applyNumberFormat="0" applyBorder="0" applyAlignment="0" applyProtection="0"/>
    <xf numFmtId="171" fontId="49" fillId="52" borderId="0" applyNumberFormat="0" applyBorder="0" applyAlignment="0" applyProtection="0"/>
    <xf numFmtId="164" fontId="49" fillId="52" borderId="0" applyNumberFormat="0" applyBorder="0" applyAlignment="0" applyProtection="0"/>
    <xf numFmtId="164" fontId="49" fillId="52" borderId="0" applyNumberFormat="0" applyBorder="0" applyAlignment="0" applyProtection="0"/>
    <xf numFmtId="164" fontId="49" fillId="52" borderId="0" applyNumberFormat="0" applyBorder="0" applyAlignment="0" applyProtection="0"/>
    <xf numFmtId="171" fontId="49" fillId="52" borderId="0" applyNumberFormat="0" applyBorder="0" applyAlignment="0" applyProtection="0"/>
    <xf numFmtId="164" fontId="49" fillId="52" borderId="0" applyNumberFormat="0" applyBorder="0" applyAlignment="0" applyProtection="0"/>
    <xf numFmtId="164" fontId="49" fillId="52" borderId="0" applyNumberFormat="0" applyBorder="0" applyAlignment="0" applyProtection="0"/>
    <xf numFmtId="164" fontId="49" fillId="52" borderId="0" applyNumberFormat="0" applyBorder="0" applyAlignment="0" applyProtection="0"/>
    <xf numFmtId="164" fontId="13" fillId="7" borderId="0" applyNumberFormat="0" applyBorder="0" applyAlignment="0" applyProtection="0"/>
    <xf numFmtId="164" fontId="13" fillId="7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71" fontId="23" fillId="0" borderId="0"/>
    <xf numFmtId="0" fontId="2" fillId="0" borderId="0"/>
    <xf numFmtId="171" fontId="23" fillId="0" borderId="0"/>
    <xf numFmtId="164" fontId="2" fillId="0" borderId="0"/>
    <xf numFmtId="171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171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3" fillId="0" borderId="0"/>
    <xf numFmtId="171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3" fillId="0" borderId="0"/>
    <xf numFmtId="164" fontId="2" fillId="0" borderId="0"/>
    <xf numFmtId="171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71" fontId="23" fillId="0" borderId="0"/>
    <xf numFmtId="171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3" fillId="0" borderId="0"/>
    <xf numFmtId="164" fontId="2" fillId="0" borderId="0"/>
    <xf numFmtId="171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53" fillId="0" borderId="0"/>
    <xf numFmtId="0" fontId="53" fillId="0" borderId="0"/>
    <xf numFmtId="0" fontId="53" fillId="0" borderId="0"/>
    <xf numFmtId="171" fontId="53" fillId="0" borderId="0"/>
    <xf numFmtId="0" fontId="53" fillId="0" borderId="0"/>
    <xf numFmtId="0" fontId="53" fillId="0" borderId="0"/>
    <xf numFmtId="171" fontId="53" fillId="0" borderId="0"/>
    <xf numFmtId="0" fontId="53" fillId="0" borderId="0"/>
    <xf numFmtId="171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71" fontId="2" fillId="0" borderId="0"/>
    <xf numFmtId="171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64" fontId="2" fillId="0" borderId="0"/>
    <xf numFmtId="164" fontId="2" fillId="0" borderId="0"/>
    <xf numFmtId="164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1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71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71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" fillId="11" borderId="22" applyNumberFormat="0" applyFont="0" applyAlignment="0" applyProtection="0"/>
    <xf numFmtId="164" fontId="2" fillId="11" borderId="22" applyNumberFormat="0" applyFont="0" applyAlignment="0" applyProtection="0"/>
    <xf numFmtId="164" fontId="23" fillId="53" borderId="30" applyNumberFormat="0" applyFont="0" applyAlignment="0" applyProtection="0"/>
    <xf numFmtId="0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71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" fillId="11" borderId="22" applyNumberFormat="0" applyFont="0" applyAlignment="0" applyProtection="0"/>
    <xf numFmtId="164" fontId="2" fillId="11" borderId="22" applyNumberFormat="0" applyFont="0" applyAlignment="0" applyProtection="0"/>
    <xf numFmtId="0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0" fontId="23" fillId="53" borderId="30" applyNumberFormat="0" applyFont="0" applyAlignment="0" applyProtection="0"/>
    <xf numFmtId="171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71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71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23" fillId="53" borderId="30" applyNumberFormat="0" applyFon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71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0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71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15" fillId="9" borderId="19" applyNumberFormat="0" applyAlignment="0" applyProtection="0"/>
    <xf numFmtId="164" fontId="15" fillId="9" borderId="19" applyNumberFormat="0" applyAlignment="0" applyProtection="0"/>
    <xf numFmtId="0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0" fontId="54" fillId="38" borderId="31" applyNumberFormat="0" applyAlignment="0" applyProtection="0"/>
    <xf numFmtId="171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71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71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164" fontId="54" fillId="38" borderId="31" applyNumberFormat="0" applyAlignment="0" applyProtection="0"/>
    <xf numFmtId="4" fontId="25" fillId="54" borderId="0">
      <alignment horizontal="right"/>
    </xf>
    <xf numFmtId="4" fontId="25" fillId="54" borderId="0">
      <alignment horizontal="right"/>
    </xf>
    <xf numFmtId="0" fontId="55" fillId="54" borderId="0">
      <alignment horizontal="center" vertical="center"/>
    </xf>
    <xf numFmtId="0" fontId="55" fillId="54" borderId="0">
      <alignment horizontal="center" vertical="center"/>
    </xf>
    <xf numFmtId="0" fontId="55" fillId="54" borderId="0">
      <alignment horizontal="center" vertical="center"/>
    </xf>
    <xf numFmtId="171" fontId="55" fillId="54" borderId="0">
      <alignment horizontal="center" vertical="center"/>
    </xf>
    <xf numFmtId="164" fontId="56" fillId="54" borderId="0">
      <alignment horizontal="right"/>
    </xf>
    <xf numFmtId="164" fontId="56" fillId="54" borderId="0">
      <alignment horizontal="right"/>
    </xf>
    <xf numFmtId="164" fontId="56" fillId="54" borderId="0">
      <alignment horizontal="right"/>
    </xf>
    <xf numFmtId="171" fontId="55" fillId="54" borderId="0">
      <alignment horizontal="center" vertical="center"/>
    </xf>
    <xf numFmtId="164" fontId="56" fillId="54" borderId="0">
      <alignment horizontal="right"/>
    </xf>
    <xf numFmtId="164" fontId="56" fillId="54" borderId="0">
      <alignment horizontal="right"/>
    </xf>
    <xf numFmtId="0" fontId="55" fillId="54" borderId="0">
      <alignment horizontal="center" vertical="center"/>
    </xf>
    <xf numFmtId="0" fontId="47" fillId="54" borderId="32"/>
    <xf numFmtId="0" fontId="47" fillId="54" borderId="32"/>
    <xf numFmtId="0" fontId="47" fillId="54" borderId="32"/>
    <xf numFmtId="171" fontId="47" fillId="54" borderId="32"/>
    <xf numFmtId="0" fontId="47" fillId="54" borderId="32"/>
    <xf numFmtId="164" fontId="57" fillId="54" borderId="32"/>
    <xf numFmtId="164" fontId="57" fillId="54" borderId="32"/>
    <xf numFmtId="164" fontId="57" fillId="54" borderId="32"/>
    <xf numFmtId="0" fontId="47" fillId="54" borderId="32"/>
    <xf numFmtId="171" fontId="47" fillId="54" borderId="32"/>
    <xf numFmtId="171" fontId="47" fillId="54" borderId="32"/>
    <xf numFmtId="164" fontId="57" fillId="54" borderId="32"/>
    <xf numFmtId="0" fontId="55" fillId="54" borderId="0" applyBorder="0">
      <alignment horizontal="centerContinuous"/>
    </xf>
    <xf numFmtId="0" fontId="55" fillId="54" borderId="0" applyBorder="0">
      <alignment horizontal="centerContinuous"/>
    </xf>
    <xf numFmtId="0" fontId="55" fillId="54" borderId="0" applyBorder="0">
      <alignment horizontal="centerContinuous"/>
    </xf>
    <xf numFmtId="171" fontId="55" fillId="54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71" fontId="55" fillId="54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4" borderId="0" applyBorder="0">
      <alignment horizontal="centerContinuous"/>
    </xf>
    <xf numFmtId="0" fontId="58" fillId="54" borderId="0" applyBorder="0">
      <alignment horizontal="centerContinuous"/>
    </xf>
    <xf numFmtId="0" fontId="58" fillId="54" borderId="0" applyBorder="0">
      <alignment horizontal="centerContinuous"/>
    </xf>
    <xf numFmtId="0" fontId="58" fillId="54" borderId="0" applyBorder="0">
      <alignment horizontal="centerContinuous"/>
    </xf>
    <xf numFmtId="171" fontId="58" fillId="54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71" fontId="58" fillId="54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4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52" borderId="0">
      <alignment horizontal="center"/>
    </xf>
    <xf numFmtId="0" fontId="47" fillId="52" borderId="0">
      <alignment horizontal="center"/>
    </xf>
    <xf numFmtId="171" fontId="47" fillId="52" borderId="0">
      <alignment horizontal="center"/>
    </xf>
    <xf numFmtId="49" fontId="62" fillId="50" borderId="0">
      <alignment horizontal="center"/>
    </xf>
    <xf numFmtId="0" fontId="30" fillId="49" borderId="0">
      <alignment horizontal="center"/>
    </xf>
    <xf numFmtId="0" fontId="30" fillId="49" borderId="0">
      <alignment horizontal="center"/>
    </xf>
    <xf numFmtId="171" fontId="30" fillId="49" borderId="0">
      <alignment horizontal="center"/>
    </xf>
    <xf numFmtId="0" fontId="30" fillId="49" borderId="0">
      <alignment horizontal="centerContinuous"/>
    </xf>
    <xf numFmtId="0" fontId="30" fillId="49" borderId="0">
      <alignment horizontal="centerContinuous"/>
    </xf>
    <xf numFmtId="171" fontId="30" fillId="49" borderId="0">
      <alignment horizontal="centerContinuous"/>
    </xf>
    <xf numFmtId="0" fontId="63" fillId="50" borderId="0">
      <alignment horizontal="left"/>
    </xf>
    <xf numFmtId="0" fontId="63" fillId="50" borderId="0">
      <alignment horizontal="left"/>
    </xf>
    <xf numFmtId="171" fontId="63" fillId="50" borderId="0">
      <alignment horizontal="left"/>
    </xf>
    <xf numFmtId="49" fontId="63" fillId="50" borderId="0">
      <alignment horizontal="center"/>
    </xf>
    <xf numFmtId="0" fontId="29" fillId="49" borderId="0">
      <alignment horizontal="left"/>
    </xf>
    <xf numFmtId="0" fontId="29" fillId="49" borderId="0">
      <alignment horizontal="left"/>
    </xf>
    <xf numFmtId="171" fontId="29" fillId="49" borderId="0">
      <alignment horizontal="left"/>
    </xf>
    <xf numFmtId="49" fontId="63" fillId="50" borderId="0">
      <alignment horizontal="left"/>
    </xf>
    <xf numFmtId="0" fontId="29" fillId="49" borderId="0">
      <alignment horizontal="centerContinuous"/>
    </xf>
    <xf numFmtId="0" fontId="29" fillId="49" borderId="0">
      <alignment horizontal="centerContinuous"/>
    </xf>
    <xf numFmtId="171" fontId="29" fillId="49" borderId="0">
      <alignment horizontal="centerContinuous"/>
    </xf>
    <xf numFmtId="0" fontId="29" fillId="49" borderId="0">
      <alignment horizontal="right"/>
    </xf>
    <xf numFmtId="0" fontId="29" fillId="49" borderId="0">
      <alignment horizontal="right"/>
    </xf>
    <xf numFmtId="171" fontId="29" fillId="49" borderId="0">
      <alignment horizontal="right"/>
    </xf>
    <xf numFmtId="49" fontId="47" fillId="50" borderId="0">
      <alignment horizontal="left"/>
    </xf>
    <xf numFmtId="0" fontId="30" fillId="49" borderId="0">
      <alignment horizontal="right"/>
    </xf>
    <xf numFmtId="0" fontId="30" fillId="49" borderId="0">
      <alignment horizontal="right"/>
    </xf>
    <xf numFmtId="171" fontId="30" fillId="49" borderId="0">
      <alignment horizontal="right"/>
    </xf>
    <xf numFmtId="0" fontId="63" fillId="39" borderId="0">
      <alignment horizontal="center"/>
    </xf>
    <xf numFmtId="0" fontId="63" fillId="39" borderId="0">
      <alignment horizontal="center"/>
    </xf>
    <xf numFmtId="171" fontId="63" fillId="39" borderId="0">
      <alignment horizontal="center"/>
    </xf>
    <xf numFmtId="0" fontId="64" fillId="39" borderId="0">
      <alignment horizontal="center"/>
    </xf>
    <xf numFmtId="0" fontId="64" fillId="39" borderId="0">
      <alignment horizontal="center"/>
    </xf>
    <xf numFmtId="171" fontId="64" fillId="39" borderId="0">
      <alignment horizontal="center"/>
    </xf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5" fontId="23" fillId="55" borderId="33">
      <alignment horizontal="right"/>
    </xf>
    <xf numFmtId="171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1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1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21" fillId="0" borderId="23" applyNumberFormat="0" applyFill="0" applyAlignment="0" applyProtection="0"/>
    <xf numFmtId="164" fontId="21" fillId="0" borderId="23" applyNumberFormat="0" applyFill="0" applyAlignment="0" applyProtection="0"/>
    <xf numFmtId="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47" fillId="0" borderId="34" applyNumberFormat="0" applyFill="0" applyAlignment="0" applyProtection="0"/>
    <xf numFmtId="171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1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1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66" fillId="50" borderId="0">
      <alignment horizontal="center"/>
    </xf>
    <xf numFmtId="0" fontId="66" fillId="50" borderId="0">
      <alignment horizontal="center"/>
    </xf>
    <xf numFmtId="171" fontId="66" fillId="50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275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9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Alignment="1">
      <alignment horizontal="center" wrapText="1"/>
    </xf>
    <xf numFmtId="0" fontId="4" fillId="0" borderId="0" xfId="5" quotePrefix="1" applyFont="1" applyFill="1" applyAlignment="1">
      <alignment horizontal="center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70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169" fontId="4" fillId="0" borderId="0" xfId="5" applyNumberFormat="1" applyFont="1" applyFill="1"/>
    <xf numFmtId="0" fontId="4" fillId="0" borderId="0" xfId="5" applyFont="1" applyFill="1" applyBorder="1" applyAlignment="1">
      <alignment horizontal="center" wrapText="1"/>
    </xf>
    <xf numFmtId="17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quotePrefix="1" applyFont="1" applyFill="1" applyAlignment="1">
      <alignment horizontal="left"/>
    </xf>
    <xf numFmtId="42" fontId="4" fillId="0" borderId="0" xfId="5" applyNumberFormat="1" applyFont="1" applyFill="1" applyBorder="1" applyAlignment="1"/>
    <xf numFmtId="165" fontId="4" fillId="0" borderId="0" xfId="5" applyNumberFormat="1" applyFont="1" applyFill="1" applyBorder="1"/>
    <xf numFmtId="165" fontId="4" fillId="0" borderId="1" xfId="5" applyNumberFormat="1" applyFont="1" applyFill="1" applyBorder="1"/>
    <xf numFmtId="165" fontId="4" fillId="0" borderId="0" xfId="7" applyNumberFormat="1" applyFont="1" applyFill="1" applyAlignment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Alignment="1">
      <alignment horizontal="right"/>
    </xf>
    <xf numFmtId="3" fontId="4" fillId="0" borderId="0" xfId="5" applyNumberFormat="1" applyFont="1" applyFill="1" applyBorder="1"/>
    <xf numFmtId="0" fontId="4" fillId="0" borderId="3" xfId="5" applyFont="1" applyFill="1" applyBorder="1"/>
    <xf numFmtId="0" fontId="4" fillId="0" borderId="4" xfId="5" applyFont="1" applyFill="1" applyBorder="1"/>
    <xf numFmtId="165" fontId="4" fillId="0" borderId="5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0" fontId="4" fillId="0" borderId="6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4" fillId="0" borderId="7" xfId="5" applyFont="1" applyFill="1" applyBorder="1" applyAlignment="1">
      <alignment horizontal="center"/>
    </xf>
    <xf numFmtId="0" fontId="4" fillId="0" borderId="12" xfId="5" applyFont="1" applyFill="1" applyBorder="1"/>
    <xf numFmtId="0" fontId="4" fillId="0" borderId="13" xfId="5" applyFont="1" applyFill="1" applyBorder="1"/>
    <xf numFmtId="165" fontId="4" fillId="0" borderId="13" xfId="5" applyNumberFormat="1" applyFont="1" applyFill="1" applyBorder="1" applyAlignment="1">
      <alignment horizontal="right"/>
    </xf>
    <xf numFmtId="0" fontId="4" fillId="0" borderId="14" xfId="5" applyFont="1" applyFill="1" applyBorder="1"/>
    <xf numFmtId="165" fontId="4" fillId="0" borderId="0" xfId="5" applyNumberFormat="1" applyFont="1" applyFill="1" applyBorder="1" applyAlignment="1">
      <alignment horizontal="right"/>
    </xf>
    <xf numFmtId="17" fontId="4" fillId="0" borderId="1" xfId="5" applyNumberFormat="1" applyFont="1" applyFill="1" applyBorder="1" applyAlignment="1" applyProtection="1">
      <alignment horizontal="center"/>
      <protection locked="0"/>
    </xf>
    <xf numFmtId="37" fontId="69" fillId="0" borderId="0" xfId="57515" applyFont="1" applyAlignment="1">
      <alignment horizontal="left"/>
    </xf>
    <xf numFmtId="37" fontId="69" fillId="0" borderId="0" xfId="57515" applyFont="1"/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left"/>
    </xf>
    <xf numFmtId="37" fontId="71" fillId="0" borderId="0" xfId="57515" applyFont="1" applyAlignment="1">
      <alignment horizontal="center"/>
    </xf>
    <xf numFmtId="37" fontId="71" fillId="0" borderId="0" xfId="57515" applyFont="1" applyAlignment="1"/>
    <xf numFmtId="37" fontId="69" fillId="0" borderId="0" xfId="57515" applyFont="1" applyAlignment="1">
      <alignment horizontal="centerContinuous"/>
    </xf>
    <xf numFmtId="37" fontId="71" fillId="0" borderId="0" xfId="57515" quotePrefix="1" applyFont="1" applyAlignment="1">
      <alignment horizontal="centerContinuous"/>
    </xf>
    <xf numFmtId="37" fontId="71" fillId="0" borderId="0" xfId="57515" quotePrefix="1" applyFont="1" applyAlignment="1">
      <alignment horizontal="center"/>
    </xf>
    <xf numFmtId="43" fontId="69" fillId="0" borderId="0" xfId="11027" applyFont="1" applyFill="1" applyAlignment="1">
      <alignment horizontal="center"/>
    </xf>
    <xf numFmtId="43" fontId="72" fillId="0" borderId="0" xfId="11027" applyFont="1" applyAlignment="1">
      <alignment horizontal="center"/>
    </xf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37" fontId="70" fillId="0" borderId="0" xfId="57515" quotePrefix="1" applyFont="1" applyAlignment="1">
      <alignment horizontal="center"/>
    </xf>
    <xf numFmtId="37" fontId="6" fillId="0" borderId="0" xfId="57515" quotePrefix="1" applyFont="1" applyFill="1" applyAlignment="1">
      <alignment horizontal="center"/>
    </xf>
    <xf numFmtId="37" fontId="6" fillId="0" borderId="0" xfId="57515" quotePrefix="1" applyFont="1" applyAlignment="1">
      <alignment horizontal="center"/>
    </xf>
    <xf numFmtId="37" fontId="70" fillId="0" borderId="1" xfId="57515" applyFont="1" applyBorder="1" applyAlignment="1">
      <alignment horizontal="center"/>
    </xf>
    <xf numFmtId="37" fontId="70" fillId="0" borderId="1" xfId="57515" applyFont="1" applyFill="1" applyBorder="1" applyAlignment="1">
      <alignment horizontal="center"/>
    </xf>
    <xf numFmtId="37" fontId="71" fillId="0" borderId="0" xfId="57515" applyFont="1"/>
    <xf numFmtId="37" fontId="70" fillId="0" borderId="0" xfId="57515" applyNumberFormat="1" applyFont="1" applyAlignment="1" applyProtection="1">
      <alignment horizontal="right"/>
    </xf>
    <xf numFmtId="37" fontId="70" fillId="0" borderId="0" xfId="57515" applyFont="1" applyFill="1" applyAlignment="1">
      <alignment horizontal="center"/>
    </xf>
    <xf numFmtId="37" fontId="70" fillId="0" borderId="0" xfId="57515" applyFont="1" applyFill="1"/>
    <xf numFmtId="37" fontId="70" fillId="0" borderId="0" xfId="57515" quotePrefix="1" applyFont="1" applyAlignment="1">
      <alignment horizontal="left"/>
    </xf>
    <xf numFmtId="166" fontId="70" fillId="0" borderId="0" xfId="12007" applyNumberFormat="1" applyFont="1"/>
    <xf numFmtId="37" fontId="70" fillId="0" borderId="0" xfId="57515" quotePrefix="1" applyFont="1"/>
    <xf numFmtId="10" fontId="70" fillId="0" borderId="0" xfId="45409" applyNumberFormat="1" applyFont="1"/>
    <xf numFmtId="166" fontId="70" fillId="0" borderId="0" xfId="12007" applyNumberFormat="1" applyFont="1" applyFill="1"/>
    <xf numFmtId="166" fontId="70" fillId="0" borderId="0" xfId="12007" applyNumberFormat="1" applyFont="1" applyFill="1" applyBorder="1"/>
    <xf numFmtId="10" fontId="70" fillId="56" borderId="0" xfId="45409" applyNumberFormat="1" applyFont="1" applyFill="1" applyAlignment="1">
      <alignment horizontal="center"/>
    </xf>
    <xf numFmtId="37" fontId="73" fillId="0" borderId="0" xfId="57515" applyFont="1"/>
    <xf numFmtId="37" fontId="70" fillId="0" borderId="0" xfId="57515" applyFont="1" applyFill="1" applyBorder="1"/>
    <xf numFmtId="10" fontId="70" fillId="0" borderId="0" xfId="45409" applyNumberFormat="1" applyFont="1" applyAlignment="1">
      <alignment horizontal="center"/>
    </xf>
    <xf numFmtId="165" fontId="70" fillId="0" borderId="0" xfId="11027" applyNumberFormat="1" applyFont="1" applyFill="1"/>
    <xf numFmtId="10" fontId="70" fillId="0" borderId="0" xfId="45409" applyNumberFormat="1" applyFont="1" applyFill="1"/>
    <xf numFmtId="10" fontId="70" fillId="0" borderId="0" xfId="57515" applyNumberFormat="1" applyFont="1"/>
    <xf numFmtId="166" fontId="70" fillId="0" borderId="35" xfId="12007" applyNumberFormat="1" applyFont="1" applyBorder="1"/>
    <xf numFmtId="170" fontId="70" fillId="0" borderId="35" xfId="45409" applyNumberFormat="1" applyFont="1" applyBorder="1"/>
    <xf numFmtId="166" fontId="70" fillId="0" borderId="35" xfId="12007" applyNumberFormat="1" applyFont="1" applyFill="1" applyBorder="1"/>
    <xf numFmtId="0" fontId="70" fillId="0" borderId="0" xfId="57515" applyNumberFormat="1" applyFont="1" applyAlignment="1">
      <alignment horizontal="center"/>
    </xf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37" fontId="70" fillId="0" borderId="0" xfId="57515" applyFont="1" applyFill="1" applyBorder="1" applyAlignment="1">
      <alignment horizontal="center"/>
    </xf>
    <xf numFmtId="166" fontId="70" fillId="0" borderId="0" xfId="12007" applyNumberFormat="1" applyFont="1" applyFill="1" applyBorder="1" applyAlignment="1">
      <alignment horizontal="center"/>
    </xf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0" fontId="70" fillId="0" borderId="0" xfId="45409" applyNumberFormat="1" applyFont="1" applyFill="1" applyAlignment="1">
      <alignment horizontal="center"/>
    </xf>
    <xf numFmtId="170" fontId="73" fillId="0" borderId="0" xfId="45409" applyNumberFormat="1" applyFont="1" applyBorder="1"/>
    <xf numFmtId="10" fontId="70" fillId="0" borderId="0" xfId="45409" applyNumberFormat="1" applyFont="1" applyBorder="1"/>
    <xf numFmtId="43" fontId="70" fillId="0" borderId="0" xfId="11027" applyFont="1" applyFill="1" applyBorder="1" applyAlignment="1">
      <alignment horizontal="center"/>
    </xf>
    <xf numFmtId="10" fontId="70" fillId="0" borderId="0" xfId="57515" applyNumberFormat="1" applyFont="1" applyFill="1" applyBorder="1"/>
    <xf numFmtId="10" fontId="70" fillId="0" borderId="0" xfId="57515" applyNumberFormat="1" applyFont="1" applyFill="1" applyAlignment="1">
      <alignment horizontal="center"/>
    </xf>
    <xf numFmtId="37" fontId="68" fillId="0" borderId="0" xfId="57515"/>
    <xf numFmtId="165" fontId="70" fillId="0" borderId="0" xfId="11027" applyNumberFormat="1" applyFont="1" applyFill="1" applyBorder="1" applyAlignment="1">
      <alignment horizontal="center"/>
    </xf>
    <xf numFmtId="43" fontId="70" fillId="0" borderId="0" xfId="11027" applyFont="1" applyFill="1" applyBorder="1"/>
    <xf numFmtId="170" fontId="70" fillId="0" borderId="0" xfId="45409" applyNumberFormat="1" applyFont="1" applyFill="1" applyBorder="1"/>
    <xf numFmtId="170" fontId="73" fillId="0" borderId="0" xfId="45409" applyNumberFormat="1" applyFont="1" applyFill="1" applyBorder="1"/>
    <xf numFmtId="37" fontId="68" fillId="54" borderId="0" xfId="57515" quotePrefix="1" applyFill="1" applyAlignment="1"/>
    <xf numFmtId="170" fontId="70" fillId="0" borderId="0" xfId="45409" applyNumberFormat="1" applyFont="1" applyFill="1"/>
    <xf numFmtId="170" fontId="70" fillId="0" borderId="0" xfId="57515" applyNumberFormat="1" applyFont="1" applyFill="1" applyBorder="1"/>
    <xf numFmtId="10" fontId="70" fillId="0" borderId="0" xfId="57515" applyNumberFormat="1" applyFont="1" applyFill="1"/>
    <xf numFmtId="170" fontId="70" fillId="0" borderId="35" xfId="45409" applyNumberFormat="1" applyFont="1" applyFill="1" applyBorder="1"/>
    <xf numFmtId="10" fontId="70" fillId="0" borderId="35" xfId="45409" quotePrefix="1" applyNumberFormat="1" applyFont="1" applyFill="1" applyBorder="1" applyAlignment="1">
      <alignment horizontal="center"/>
    </xf>
    <xf numFmtId="164" fontId="70" fillId="0" borderId="0" xfId="57515" quotePrefix="1" applyNumberFormat="1" applyFont="1" applyFill="1" applyAlignment="1">
      <alignment horizontal="center"/>
    </xf>
    <xf numFmtId="164" fontId="70" fillId="0" borderId="0" xfId="57515" quotePrefix="1" applyNumberFormat="1" applyFont="1" applyBorder="1" applyAlignment="1">
      <alignment horizontal="center"/>
    </xf>
    <xf numFmtId="164" fontId="70" fillId="0" borderId="0" xfId="57515" quotePrefix="1" applyNumberFormat="1" applyFont="1" applyFill="1" applyBorder="1" applyAlignment="1">
      <alignment horizontal="center"/>
    </xf>
    <xf numFmtId="10" fontId="70" fillId="0" borderId="36" xfId="45409" applyNumberFormat="1" applyFont="1" applyFill="1" applyBorder="1" applyAlignment="1">
      <alignment horizontal="center"/>
    </xf>
    <xf numFmtId="37" fontId="70" fillId="0" borderId="0" xfId="57516" applyFont="1" applyFill="1" applyBorder="1"/>
    <xf numFmtId="170" fontId="70" fillId="0" borderId="0" xfId="45409" applyNumberFormat="1" applyFont="1" applyBorder="1"/>
    <xf numFmtId="176" fontId="70" fillId="0" borderId="0" xfId="45409" applyNumberFormat="1" applyFont="1" applyBorder="1"/>
    <xf numFmtId="177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37" fontId="73" fillId="0" borderId="0" xfId="57515" applyFont="1" applyFill="1"/>
    <xf numFmtId="0" fontId="74" fillId="0" borderId="0" xfId="0" quotePrefix="1" applyFont="1" applyFill="1" applyBorder="1" applyAlignment="1">
      <alignment horizontal="right"/>
    </xf>
    <xf numFmtId="179" fontId="0" fillId="0" borderId="7" xfId="0" applyNumberFormat="1" applyFill="1" applyBorder="1"/>
    <xf numFmtId="179" fontId="0" fillId="0" borderId="0" xfId="0" applyNumberFormat="1" applyFill="1" applyBorder="1"/>
    <xf numFmtId="178" fontId="0" fillId="0" borderId="0" xfId="0" applyNumberFormat="1" applyFill="1" applyBorder="1"/>
    <xf numFmtId="178" fontId="4" fillId="0" borderId="0" xfId="7" applyNumberFormat="1" applyFont="1" applyFill="1" applyBorder="1"/>
    <xf numFmtId="178" fontId="4" fillId="0" borderId="1" xfId="7" applyNumberFormat="1" applyFont="1" applyFill="1" applyBorder="1"/>
    <xf numFmtId="178" fontId="4" fillId="0" borderId="0" xfId="5" applyNumberFormat="1" applyFont="1" applyFill="1"/>
    <xf numFmtId="178" fontId="4" fillId="0" borderId="1" xfId="5" applyNumberFormat="1" applyFont="1" applyFill="1" applyBorder="1"/>
    <xf numFmtId="178" fontId="0" fillId="0" borderId="1" xfId="0" applyNumberFormat="1" applyFill="1" applyBorder="1"/>
    <xf numFmtId="42" fontId="4" fillId="0" borderId="0" xfId="5" applyNumberFormat="1" applyFont="1" applyFill="1" applyAlignment="1">
      <alignment horizontal="center"/>
    </xf>
    <xf numFmtId="178" fontId="4" fillId="0" borderId="0" xfId="5" applyNumberFormat="1" applyFont="1" applyFill="1" applyAlignment="1">
      <alignment horizontal="center"/>
    </xf>
    <xf numFmtId="178" fontId="4" fillId="0" borderId="1" xfId="5" applyNumberFormat="1" applyFont="1" applyFill="1" applyBorder="1" applyAlignment="1">
      <alignment horizontal="center"/>
    </xf>
    <xf numFmtId="179" fontId="4" fillId="0" borderId="0" xfId="5" applyNumberFormat="1" applyFont="1" applyFill="1"/>
    <xf numFmtId="0" fontId="4" fillId="0" borderId="0" xfId="5" quotePrefix="1" applyFont="1" applyFill="1" applyAlignment="1"/>
    <xf numFmtId="0" fontId="4" fillId="0" borderId="1" xfId="5" applyFont="1" applyFill="1" applyBorder="1"/>
    <xf numFmtId="0" fontId="4" fillId="0" borderId="1" xfId="5" applyFont="1" applyFill="1" applyBorder="1" applyAlignment="1">
      <alignment horizontal="right"/>
    </xf>
    <xf numFmtId="44" fontId="4" fillId="0" borderId="0" xfId="5" applyNumberFormat="1" applyFont="1" applyFill="1"/>
    <xf numFmtId="0" fontId="5" fillId="0" borderId="0" xfId="0" applyFont="1" applyFill="1" applyAlignment="1">
      <alignment horizontal="right" vertical="top"/>
    </xf>
    <xf numFmtId="179" fontId="0" fillId="0" borderId="1" xfId="0" applyNumberFormat="1" applyFill="1" applyBorder="1"/>
    <xf numFmtId="42" fontId="4" fillId="0" borderId="0" xfId="5" applyNumberFormat="1" applyFont="1" applyFill="1"/>
    <xf numFmtId="10" fontId="4" fillId="0" borderId="0" xfId="5" applyNumberFormat="1" applyFont="1" applyFill="1"/>
    <xf numFmtId="0" fontId="5" fillId="0" borderId="1" xfId="5" applyFont="1" applyFill="1" applyBorder="1"/>
    <xf numFmtId="0" fontId="1" fillId="0" borderId="0" xfId="57517"/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3" xfId="0" quotePrefix="1" applyFont="1" applyFill="1" applyBorder="1" applyAlignment="1">
      <alignment horizontal="center"/>
    </xf>
    <xf numFmtId="0" fontId="75" fillId="0" borderId="4" xfId="0" quotePrefix="1" applyFont="1" applyFill="1" applyBorder="1" applyAlignment="1">
      <alignment horizontal="center"/>
    </xf>
    <xf numFmtId="0" fontId="75" fillId="0" borderId="5" xfId="0" quotePrefix="1" applyFont="1" applyFill="1" applyBorder="1" applyAlignment="1">
      <alignment horizontal="center"/>
    </xf>
    <xf numFmtId="0" fontId="75" fillId="0" borderId="3" xfId="0" applyFont="1" applyFill="1" applyBorder="1" applyAlignment="1">
      <alignment horizontal="center"/>
    </xf>
    <xf numFmtId="0" fontId="75" fillId="0" borderId="4" xfId="0" applyFont="1" applyFill="1" applyBorder="1" applyAlignment="1">
      <alignment horizontal="center"/>
    </xf>
    <xf numFmtId="0" fontId="75" fillId="0" borderId="5" xfId="0" applyFont="1" applyFill="1" applyBorder="1" applyAlignment="1">
      <alignment horizontal="center"/>
    </xf>
    <xf numFmtId="0" fontId="75" fillId="0" borderId="6" xfId="0" applyFont="1" applyFill="1" applyBorder="1" applyAlignment="1">
      <alignment horizontal="center" wrapText="1"/>
    </xf>
    <xf numFmtId="0" fontId="75" fillId="0" borderId="0" xfId="0" applyFont="1" applyFill="1" applyBorder="1" applyAlignment="1">
      <alignment horizontal="center" wrapText="1"/>
    </xf>
    <xf numFmtId="0" fontId="75" fillId="0" borderId="7" xfId="0" quotePrefix="1" applyFont="1" applyFill="1" applyBorder="1" applyAlignment="1">
      <alignment horizontal="center" wrapText="1"/>
    </xf>
    <xf numFmtId="0" fontId="75" fillId="0" borderId="0" xfId="0" applyFont="1" applyFill="1" applyAlignment="1">
      <alignment horizontal="center" wrapText="1"/>
    </xf>
    <xf numFmtId="0" fontId="75" fillId="0" borderId="7" xfId="0" applyFont="1" applyFill="1" applyBorder="1" applyAlignment="1">
      <alignment horizontal="left" wrapText="1"/>
    </xf>
    <xf numFmtId="0" fontId="75" fillId="0" borderId="0" xfId="0" quotePrefix="1" applyFont="1" applyFill="1" applyBorder="1" applyAlignment="1">
      <alignment horizontal="center" wrapText="1"/>
    </xf>
    <xf numFmtId="0" fontId="75" fillId="0" borderId="7" xfId="0" applyFont="1" applyFill="1" applyBorder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10" xfId="0" applyFont="1" applyFill="1" applyBorder="1"/>
    <xf numFmtId="0" fontId="75" fillId="0" borderId="1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9" xfId="0" quotePrefix="1" applyFont="1" applyFill="1" applyBorder="1" applyAlignment="1">
      <alignment horizontal="center"/>
    </xf>
    <xf numFmtId="0" fontId="75" fillId="0" borderId="1" xfId="0" applyFont="1" applyFill="1" applyBorder="1" applyAlignment="1"/>
    <xf numFmtId="0" fontId="76" fillId="0" borderId="1" xfId="0" quotePrefix="1" applyFont="1" applyFill="1" applyBorder="1" applyAlignment="1">
      <alignment horizontal="right" wrapText="1"/>
    </xf>
    <xf numFmtId="0" fontId="75" fillId="0" borderId="9" xfId="0" applyFont="1" applyFill="1" applyBorder="1"/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9" xfId="0" quotePrefix="1" applyFont="1" applyFill="1" applyBorder="1" applyAlignment="1">
      <alignment horizontal="center" wrapText="1"/>
    </xf>
    <xf numFmtId="164" fontId="75" fillId="0" borderId="8" xfId="0" applyNumberFormat="1" applyFont="1" applyFill="1" applyBorder="1" applyAlignment="1">
      <alignment horizontal="center"/>
    </xf>
    <xf numFmtId="164" fontId="75" fillId="0" borderId="2" xfId="0" applyNumberFormat="1" applyFont="1" applyFill="1" applyBorder="1" applyAlignment="1">
      <alignment horizontal="center"/>
    </xf>
    <xf numFmtId="10" fontId="75" fillId="0" borderId="2" xfId="3" applyNumberFormat="1" applyFont="1" applyFill="1" applyBorder="1" applyAlignment="1">
      <alignment horizontal="center"/>
    </xf>
    <xf numFmtId="42" fontId="75" fillId="0" borderId="0" xfId="1" applyNumberFormat="1" applyFont="1" applyFill="1" applyBorder="1"/>
    <xf numFmtId="166" fontId="75" fillId="0" borderId="0" xfId="0" applyNumberFormat="1" applyFont="1" applyFill="1" applyBorder="1"/>
    <xf numFmtId="179" fontId="75" fillId="0" borderId="2" xfId="2" applyNumberFormat="1" applyFont="1" applyFill="1" applyBorder="1"/>
    <xf numFmtId="179" fontId="75" fillId="0" borderId="11" xfId="2" applyNumberFormat="1" applyFont="1" applyFill="1" applyBorder="1"/>
    <xf numFmtId="166" fontId="75" fillId="0" borderId="2" xfId="0" applyNumberFormat="1" applyFont="1" applyFill="1" applyBorder="1"/>
    <xf numFmtId="179" fontId="75" fillId="0" borderId="2" xfId="0" applyNumberFormat="1" applyFont="1" applyFill="1" applyBorder="1"/>
    <xf numFmtId="10" fontId="75" fillId="0" borderId="2" xfId="0" applyNumberFormat="1" applyFont="1" applyFill="1" applyBorder="1" applyAlignment="1">
      <alignment horizontal="center"/>
    </xf>
    <xf numFmtId="179" fontId="75" fillId="0" borderId="11" xfId="0" applyNumberFormat="1" applyFont="1" applyFill="1" applyBorder="1"/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0" fontId="75" fillId="0" borderId="7" xfId="0" applyFont="1" applyFill="1" applyBorder="1"/>
    <xf numFmtId="165" fontId="75" fillId="0" borderId="0" xfId="1" applyNumberFormat="1" applyFont="1" applyFill="1" applyBorder="1"/>
    <xf numFmtId="179" fontId="75" fillId="0" borderId="0" xfId="1" applyNumberFormat="1" applyFont="1" applyFill="1" applyBorder="1"/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4" fontId="75" fillId="0" borderId="6" xfId="0" applyNumberFormat="1" applyFont="1" applyFill="1" applyBorder="1" applyAlignment="1">
      <alignment horizontal="center"/>
    </xf>
    <xf numFmtId="164" fontId="75" fillId="0" borderId="0" xfId="0" applyNumberFormat="1" applyFont="1" applyFill="1" applyBorder="1" applyAlignment="1">
      <alignment horizontal="center"/>
    </xf>
    <xf numFmtId="178" fontId="75" fillId="0" borderId="0" xfId="1" applyNumberFormat="1" applyFont="1" applyFill="1" applyBorder="1"/>
    <xf numFmtId="178" fontId="75" fillId="0" borderId="7" xfId="1" applyNumberFormat="1" applyFont="1" applyFill="1" applyBorder="1"/>
    <xf numFmtId="165" fontId="75" fillId="0" borderId="0" xfId="0" applyNumberFormat="1" applyFont="1" applyFill="1" applyBorder="1"/>
    <xf numFmtId="41" fontId="75" fillId="0" borderId="7" xfId="0" applyNumberFormat="1" applyFont="1" applyFill="1" applyBorder="1"/>
    <xf numFmtId="165" fontId="75" fillId="0" borderId="0" xfId="0" applyNumberFormat="1" applyFont="1" applyFill="1"/>
    <xf numFmtId="178" fontId="75" fillId="0" borderId="1" xfId="1" applyNumberFormat="1" applyFont="1" applyFill="1" applyBorder="1"/>
    <xf numFmtId="178" fontId="75" fillId="0" borderId="9" xfId="1" applyNumberFormat="1" applyFont="1" applyFill="1" applyBorder="1"/>
    <xf numFmtId="37" fontId="75" fillId="0" borderId="0" xfId="1" applyNumberFormat="1" applyFont="1" applyFill="1" applyBorder="1"/>
    <xf numFmtId="179" fontId="75" fillId="0" borderId="0" xfId="2" applyNumberFormat="1" applyFont="1" applyFill="1" applyBorder="1"/>
    <xf numFmtId="0" fontId="75" fillId="0" borderId="0" xfId="0" applyFont="1" applyFill="1" applyBorder="1"/>
    <xf numFmtId="179" fontId="75" fillId="0" borderId="7" xfId="2" applyNumberFormat="1" applyFont="1" applyFill="1" applyBorder="1"/>
    <xf numFmtId="0" fontId="75" fillId="0" borderId="6" xfId="0" applyFont="1" applyFill="1" applyBorder="1"/>
    <xf numFmtId="0" fontId="75" fillId="4" borderId="6" xfId="0" applyFont="1" applyFill="1" applyBorder="1"/>
    <xf numFmtId="0" fontId="75" fillId="3" borderId="0" xfId="0" applyFont="1" applyFill="1" applyBorder="1"/>
    <xf numFmtId="166" fontId="75" fillId="0" borderId="2" xfId="2" applyNumberFormat="1" applyFont="1" applyFill="1" applyBorder="1"/>
    <xf numFmtId="0" fontId="75" fillId="2" borderId="0" xfId="0" applyFont="1" applyFill="1" applyBorder="1"/>
    <xf numFmtId="166" fontId="75" fillId="0" borderId="11" xfId="2" applyNumberFormat="1" applyFont="1" applyFill="1" applyBorder="1"/>
    <xf numFmtId="167" fontId="75" fillId="0" borderId="0" xfId="1" applyNumberFormat="1" applyFont="1" applyFill="1"/>
    <xf numFmtId="0" fontId="75" fillId="3" borderId="7" xfId="0" applyFont="1" applyFill="1" applyBorder="1"/>
    <xf numFmtId="179" fontId="75" fillId="0" borderId="7" xfId="1" applyNumberFormat="1" applyFont="1" applyFill="1" applyBorder="1"/>
    <xf numFmtId="179" fontId="75" fillId="0" borderId="0" xfId="0" applyNumberFormat="1" applyFont="1" applyFill="1" applyBorder="1"/>
    <xf numFmtId="179" fontId="75" fillId="0" borderId="7" xfId="0" applyNumberFormat="1" applyFont="1" applyFill="1" applyBorder="1"/>
    <xf numFmtId="42" fontId="75" fillId="0" borderId="0" xfId="1" applyNumberFormat="1" applyFont="1" applyFill="1"/>
    <xf numFmtId="39" fontId="75" fillId="0" borderId="0" xfId="0" applyNumberFormat="1" applyFont="1" applyFill="1"/>
    <xf numFmtId="166" fontId="75" fillId="0" borderId="0" xfId="2" applyNumberFormat="1" applyFont="1" applyFill="1" applyBorder="1"/>
    <xf numFmtId="41" fontId="75" fillId="0" borderId="9" xfId="0" applyNumberFormat="1" applyFont="1" applyFill="1" applyBorder="1"/>
    <xf numFmtId="0" fontId="75" fillId="0" borderId="0" xfId="1" applyNumberFormat="1" applyFont="1" applyFill="1"/>
    <xf numFmtId="166" fontId="75" fillId="0" borderId="7" xfId="2" applyNumberFormat="1" applyFont="1" applyFill="1" applyBorder="1"/>
    <xf numFmtId="0" fontId="75" fillId="0" borderId="12" xfId="0" applyFont="1" applyFill="1" applyBorder="1"/>
    <xf numFmtId="0" fontId="75" fillId="0" borderId="13" xfId="0" applyFont="1" applyFill="1" applyBorder="1"/>
    <xf numFmtId="0" fontId="75" fillId="0" borderId="14" xfId="0" applyFont="1" applyFill="1" applyBorder="1"/>
    <xf numFmtId="43" fontId="75" fillId="0" borderId="13" xfId="0" applyNumberFormat="1" applyFont="1" applyFill="1" applyBorder="1"/>
    <xf numFmtId="4" fontId="77" fillId="0" borderId="13" xfId="0" quotePrefix="1" applyNumberFormat="1" applyFont="1" applyFill="1" applyBorder="1"/>
    <xf numFmtId="0" fontId="75" fillId="0" borderId="0" xfId="0" quotePrefix="1" applyFont="1" applyFill="1" applyAlignment="1">
      <alignment horizontal="left"/>
    </xf>
    <xf numFmtId="43" fontId="75" fillId="0" borderId="0" xfId="0" applyNumberFormat="1" applyFont="1" applyFill="1"/>
    <xf numFmtId="3" fontId="75" fillId="0" borderId="0" xfId="0" applyNumberFormat="1" applyFont="1" applyFill="1" applyBorder="1"/>
    <xf numFmtId="3" fontId="75" fillId="0" borderId="0" xfId="0" applyNumberFormat="1" applyFont="1" applyFill="1"/>
    <xf numFmtId="166" fontId="75" fillId="0" borderId="0" xfId="0" applyNumberFormat="1" applyFont="1" applyFill="1"/>
    <xf numFmtId="0" fontId="75" fillId="0" borderId="0" xfId="0" quotePrefix="1" applyFont="1" applyAlignment="1">
      <alignment horizontal="left"/>
    </xf>
    <xf numFmtId="17" fontId="75" fillId="0" borderId="0" xfId="0" applyNumberFormat="1" applyFont="1" applyFill="1"/>
    <xf numFmtId="0" fontId="75" fillId="0" borderId="6" xfId="0" applyFont="1" applyBorder="1"/>
    <xf numFmtId="0" fontId="75" fillId="0" borderId="0" xfId="0" applyNumberFormat="1" applyFont="1" applyFill="1" applyBorder="1"/>
    <xf numFmtId="166" fontId="75" fillId="0" borderId="7" xfId="0" applyNumberFormat="1" applyFont="1" applyFill="1" applyBorder="1"/>
    <xf numFmtId="0" fontId="75" fillId="0" borderId="6" xfId="0" quotePrefix="1" applyFont="1" applyBorder="1" applyAlignment="1">
      <alignment horizontal="left"/>
    </xf>
    <xf numFmtId="4" fontId="75" fillId="0" borderId="0" xfId="0" applyNumberFormat="1" applyFont="1" applyFill="1"/>
    <xf numFmtId="44" fontId="75" fillId="0" borderId="0" xfId="0" applyNumberFormat="1" applyFont="1" applyFill="1" applyBorder="1"/>
    <xf numFmtId="0" fontId="75" fillId="0" borderId="0" xfId="0" applyNumberFormat="1" applyFont="1" applyFill="1" applyBorder="1" applyAlignment="1">
      <alignment horizontal="right"/>
    </xf>
    <xf numFmtId="165" fontId="75" fillId="0" borderId="7" xfId="1" applyNumberFormat="1" applyFont="1" applyFill="1" applyBorder="1"/>
    <xf numFmtId="14" fontId="75" fillId="0" borderId="0" xfId="0" applyNumberFormat="1" applyFont="1" applyFill="1"/>
    <xf numFmtId="4" fontId="75" fillId="0" borderId="0" xfId="0" applyNumberFormat="1" applyFont="1" applyFill="1" applyBorder="1"/>
    <xf numFmtId="165" fontId="75" fillId="0" borderId="0" xfId="0" applyNumberFormat="1" applyFont="1" applyFill="1" applyBorder="1" applyAlignment="1">
      <alignment horizontal="right"/>
    </xf>
    <xf numFmtId="165" fontId="75" fillId="0" borderId="1" xfId="1" applyNumberFormat="1" applyFont="1" applyFill="1" applyBorder="1"/>
    <xf numFmtId="165" fontId="75" fillId="0" borderId="9" xfId="1" applyNumberFormat="1" applyFont="1" applyFill="1" applyBorder="1"/>
    <xf numFmtId="168" fontId="75" fillId="0" borderId="0" xfId="0" applyNumberFormat="1" applyFont="1" applyFill="1" applyBorder="1"/>
    <xf numFmtId="168" fontId="75" fillId="0" borderId="0" xfId="0" applyNumberFormat="1" applyFont="1" applyFill="1"/>
    <xf numFmtId="43" fontId="75" fillId="0" borderId="0" xfId="1" applyFont="1" applyFill="1" applyBorder="1" applyAlignment="1">
      <alignment horizontal="left"/>
    </xf>
    <xf numFmtId="0" fontId="75" fillId="0" borderId="7" xfId="0" applyNumberFormat="1" applyFont="1" applyFill="1" applyBorder="1"/>
    <xf numFmtId="43" fontId="75" fillId="0" borderId="0" xfId="1" applyFont="1" applyFill="1" applyBorder="1"/>
    <xf numFmtId="0" fontId="74" fillId="0" borderId="0" xfId="0" quotePrefix="1" applyFont="1" applyFill="1" applyBorder="1" applyAlignment="1">
      <alignment horizontal="left"/>
    </xf>
    <xf numFmtId="0" fontId="75" fillId="0" borderId="0" xfId="0" applyFont="1" applyFill="1" applyBorder="1" applyAlignment="1">
      <alignment horizontal="center"/>
    </xf>
    <xf numFmtId="0" fontId="74" fillId="0" borderId="13" xfId="0" applyFont="1" applyFill="1" applyBorder="1"/>
    <xf numFmtId="165" fontId="75" fillId="0" borderId="13" xfId="1" applyNumberFormat="1" applyFont="1" applyFill="1" applyBorder="1"/>
    <xf numFmtId="0" fontId="75" fillId="0" borderId="13" xfId="0" applyFont="1" applyFill="1" applyBorder="1" applyAlignment="1">
      <alignment horizontal="left"/>
    </xf>
    <xf numFmtId="0" fontId="75" fillId="0" borderId="13" xfId="0" applyFont="1" applyFill="1" applyBorder="1" applyAlignment="1">
      <alignment horizontal="right"/>
    </xf>
    <xf numFmtId="42" fontId="74" fillId="0" borderId="14" xfId="1" applyNumberFormat="1" applyFont="1" applyFill="1" applyBorder="1"/>
    <xf numFmtId="0" fontId="5" fillId="0" borderId="6" xfId="5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urnal%20Entries\KU\2013\J529%20DSM%20Over%20Under\J529%20KU%20Reclass%20DSM%20Upload%202013.0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65"/>
  <sheetViews>
    <sheetView tabSelected="1" view="pageBreakPreview" topLeftCell="AA1" zoomScale="80" zoomScaleNormal="90" zoomScaleSheetLayoutView="80" workbookViewId="0">
      <selection activeCell="AQ16" sqref="AQ16"/>
    </sheetView>
  </sheetViews>
  <sheetFormatPr defaultRowHeight="12.75" x14ac:dyDescent="0.2"/>
  <cols>
    <col min="1" max="3" width="16.83203125" style="154" customWidth="1"/>
    <col min="4" max="5" width="21.83203125" style="154" customWidth="1"/>
    <col min="6" max="8" width="16.83203125" style="154" customWidth="1"/>
    <col min="9" max="9" width="23.83203125" style="154" customWidth="1"/>
    <col min="10" max="10" width="2.83203125" style="154" customWidth="1"/>
    <col min="11" max="15" width="16.83203125" style="154" customWidth="1"/>
    <col min="16" max="17" width="21.83203125" style="154" customWidth="1"/>
    <col min="18" max="18" width="16.83203125" style="154" customWidth="1"/>
    <col min="19" max="19" width="23.83203125" style="154" customWidth="1"/>
    <col min="20" max="20" width="2.83203125" style="154" customWidth="1"/>
    <col min="21" max="21" width="16.83203125" style="154" customWidth="1"/>
    <col min="22" max="23" width="21.83203125" style="154" customWidth="1"/>
    <col min="24" max="24" width="16.83203125" style="154" customWidth="1"/>
    <col min="25" max="25" width="21.83203125" style="154" customWidth="1"/>
    <col min="26" max="28" width="16.83203125" style="154" customWidth="1"/>
    <col min="29" max="29" width="24" style="154" customWidth="1"/>
    <col min="30" max="30" width="2.83203125" style="154" customWidth="1"/>
    <col min="31" max="31" width="10.83203125" style="154" customWidth="1"/>
    <col min="32" max="32" width="14.6640625" style="154" customWidth="1"/>
    <col min="33" max="33" width="16" style="154" customWidth="1"/>
    <col min="34" max="34" width="17.6640625" style="154" customWidth="1"/>
    <col min="35" max="36" width="13" style="154" customWidth="1"/>
    <col min="37" max="37" width="17" style="154" customWidth="1"/>
    <col min="38" max="38" width="10.33203125" style="154" customWidth="1"/>
    <col min="39" max="39" width="14.6640625" style="154" customWidth="1"/>
    <col min="40" max="40" width="15.83203125" style="154" customWidth="1"/>
    <col min="41" max="41" width="19.6640625" style="154" customWidth="1"/>
    <col min="42" max="42" width="4.5" style="154" customWidth="1"/>
    <col min="43" max="43" width="20.33203125" style="156" customWidth="1"/>
    <col min="44" max="44" width="16.5" style="154" bestFit="1" customWidth="1"/>
    <col min="45" max="46" width="16.83203125" style="154" bestFit="1" customWidth="1"/>
    <col min="47" max="47" width="13.1640625" style="154" bestFit="1" customWidth="1"/>
    <col min="48" max="48" width="16" style="154" bestFit="1" customWidth="1"/>
    <col min="49" max="49" width="14.6640625" style="154" bestFit="1" customWidth="1"/>
    <col min="50" max="50" width="15.5" style="154" bestFit="1" customWidth="1"/>
    <col min="51" max="51" width="14.6640625" style="154" bestFit="1" customWidth="1"/>
    <col min="52" max="52" width="11.83203125" style="154" bestFit="1" customWidth="1"/>
    <col min="53" max="16384" width="9.33203125" style="154"/>
  </cols>
  <sheetData>
    <row r="1" spans="1:52" x14ac:dyDescent="0.2">
      <c r="A1" s="153" t="s">
        <v>47</v>
      </c>
      <c r="I1" s="155" t="s">
        <v>48</v>
      </c>
      <c r="K1" s="153" t="s">
        <v>47</v>
      </c>
      <c r="S1" s="155" t="s">
        <v>48</v>
      </c>
      <c r="U1" s="153" t="s">
        <v>47</v>
      </c>
      <c r="AC1" s="155" t="s">
        <v>49</v>
      </c>
      <c r="AE1" s="153" t="s">
        <v>47</v>
      </c>
      <c r="AL1" s="153"/>
      <c r="AO1" s="155" t="s">
        <v>49</v>
      </c>
    </row>
    <row r="2" spans="1:52" x14ac:dyDescent="0.2">
      <c r="A2" s="153" t="s">
        <v>17</v>
      </c>
      <c r="I2" s="155" t="s">
        <v>165</v>
      </c>
      <c r="K2" s="153" t="s">
        <v>18</v>
      </c>
      <c r="S2" s="155" t="s">
        <v>166</v>
      </c>
      <c r="U2" s="153" t="s">
        <v>23</v>
      </c>
      <c r="AC2" s="157" t="s">
        <v>143</v>
      </c>
      <c r="AE2" s="153" t="s">
        <v>23</v>
      </c>
      <c r="AL2" s="153"/>
      <c r="AO2" s="157" t="s">
        <v>142</v>
      </c>
    </row>
    <row r="3" spans="1:52" x14ac:dyDescent="0.2">
      <c r="A3" s="153" t="s">
        <v>41</v>
      </c>
      <c r="I3" s="157" t="s">
        <v>131</v>
      </c>
      <c r="K3" s="153" t="str">
        <f>A3</f>
        <v xml:space="preserve">Impact on Calculated E(m) </v>
      </c>
      <c r="S3" s="157" t="s">
        <v>131</v>
      </c>
      <c r="U3" s="158" t="s">
        <v>67</v>
      </c>
      <c r="AC3" s="157" t="s">
        <v>35</v>
      </c>
      <c r="AE3" s="158" t="s">
        <v>67</v>
      </c>
      <c r="AL3" s="153"/>
      <c r="AO3" s="157" t="s">
        <v>35</v>
      </c>
    </row>
    <row r="4" spans="1:52" ht="13.5" thickBot="1" x14ac:dyDescent="0.25"/>
    <row r="5" spans="1:52" x14ac:dyDescent="0.2">
      <c r="A5" s="159" t="s">
        <v>6</v>
      </c>
      <c r="B5" s="160" t="s">
        <v>7</v>
      </c>
      <c r="C5" s="160" t="s">
        <v>8</v>
      </c>
      <c r="D5" s="160" t="s">
        <v>9</v>
      </c>
      <c r="E5" s="160" t="s">
        <v>10</v>
      </c>
      <c r="F5" s="160" t="s">
        <v>11</v>
      </c>
      <c r="G5" s="160" t="s">
        <v>12</v>
      </c>
      <c r="H5" s="160" t="s">
        <v>13</v>
      </c>
      <c r="I5" s="161" t="s">
        <v>14</v>
      </c>
      <c r="K5" s="159" t="s">
        <v>6</v>
      </c>
      <c r="L5" s="160" t="s">
        <v>7</v>
      </c>
      <c r="M5" s="160" t="s">
        <v>8</v>
      </c>
      <c r="N5" s="160" t="s">
        <v>9</v>
      </c>
      <c r="O5" s="160" t="s">
        <v>10</v>
      </c>
      <c r="P5" s="160" t="s">
        <v>11</v>
      </c>
      <c r="Q5" s="160" t="s">
        <v>12</v>
      </c>
      <c r="R5" s="160" t="s">
        <v>13</v>
      </c>
      <c r="S5" s="161" t="s">
        <v>14</v>
      </c>
      <c r="U5" s="162" t="s">
        <v>6</v>
      </c>
      <c r="V5" s="163" t="s">
        <v>7</v>
      </c>
      <c r="W5" s="163" t="s">
        <v>8</v>
      </c>
      <c r="X5" s="163" t="s">
        <v>9</v>
      </c>
      <c r="Y5" s="163" t="s">
        <v>10</v>
      </c>
      <c r="Z5" s="160" t="s">
        <v>11</v>
      </c>
      <c r="AA5" s="160" t="s">
        <v>12</v>
      </c>
      <c r="AB5" s="160" t="s">
        <v>13</v>
      </c>
      <c r="AC5" s="164"/>
      <c r="AE5" s="162" t="s">
        <v>6</v>
      </c>
      <c r="AF5" s="163" t="s">
        <v>7</v>
      </c>
      <c r="AG5" s="160" t="s">
        <v>8</v>
      </c>
      <c r="AH5" s="163" t="s">
        <v>9</v>
      </c>
      <c r="AI5" s="163" t="s">
        <v>10</v>
      </c>
      <c r="AJ5" s="163" t="s">
        <v>11</v>
      </c>
      <c r="AK5" s="163" t="s">
        <v>12</v>
      </c>
      <c r="AL5" s="163" t="s">
        <v>13</v>
      </c>
      <c r="AM5" s="163" t="s">
        <v>14</v>
      </c>
      <c r="AN5" s="160" t="s">
        <v>31</v>
      </c>
      <c r="AO5" s="161" t="s">
        <v>57</v>
      </c>
    </row>
    <row r="6" spans="1:52" s="168" customFormat="1" ht="51" x14ac:dyDescent="0.2">
      <c r="A6" s="165" t="s">
        <v>0</v>
      </c>
      <c r="B6" s="166" t="s">
        <v>1</v>
      </c>
      <c r="C6" s="166" t="s">
        <v>2</v>
      </c>
      <c r="D6" s="166" t="s">
        <v>3</v>
      </c>
      <c r="E6" s="166" t="s">
        <v>34</v>
      </c>
      <c r="F6" s="166" t="s">
        <v>4</v>
      </c>
      <c r="G6" s="166" t="s">
        <v>5</v>
      </c>
      <c r="H6" s="166" t="s">
        <v>40</v>
      </c>
      <c r="I6" s="167" t="s">
        <v>50</v>
      </c>
      <c r="K6" s="165" t="s">
        <v>0</v>
      </c>
      <c r="L6" s="166" t="s">
        <v>1</v>
      </c>
      <c r="M6" s="166" t="s">
        <v>2</v>
      </c>
      <c r="N6" s="166" t="s">
        <v>19</v>
      </c>
      <c r="O6" s="166" t="s">
        <v>20</v>
      </c>
      <c r="P6" s="166" t="s">
        <v>28</v>
      </c>
      <c r="Q6" s="166" t="s">
        <v>5</v>
      </c>
      <c r="R6" s="166" t="s">
        <v>40</v>
      </c>
      <c r="S6" s="167" t="s">
        <v>50</v>
      </c>
      <c r="U6" s="165" t="s">
        <v>1</v>
      </c>
      <c r="V6" s="166" t="s">
        <v>28</v>
      </c>
      <c r="W6" s="166" t="s">
        <v>24</v>
      </c>
      <c r="X6" s="166" t="s">
        <v>19</v>
      </c>
      <c r="Y6" s="166" t="s">
        <v>37</v>
      </c>
      <c r="Z6" s="166" t="s">
        <v>29</v>
      </c>
      <c r="AA6" s="166" t="s">
        <v>60</v>
      </c>
      <c r="AB6" s="166" t="s">
        <v>30</v>
      </c>
      <c r="AC6" s="169" t="s">
        <v>39</v>
      </c>
      <c r="AE6" s="165" t="s">
        <v>1</v>
      </c>
      <c r="AF6" s="166" t="s">
        <v>51</v>
      </c>
      <c r="AG6" s="170" t="s">
        <v>61</v>
      </c>
      <c r="AH6" s="166" t="s">
        <v>44</v>
      </c>
      <c r="AI6" s="166" t="s">
        <v>53</v>
      </c>
      <c r="AJ6" s="166" t="s">
        <v>54</v>
      </c>
      <c r="AK6" s="166" t="s">
        <v>32</v>
      </c>
      <c r="AL6" s="166" t="s">
        <v>45</v>
      </c>
      <c r="AM6" s="166" t="s">
        <v>55</v>
      </c>
      <c r="AN6" s="166" t="s">
        <v>56</v>
      </c>
      <c r="AO6" s="171" t="s">
        <v>33</v>
      </c>
      <c r="AQ6" s="172"/>
    </row>
    <row r="7" spans="1:52" ht="53.25" customHeight="1" x14ac:dyDescent="0.2">
      <c r="A7" s="173"/>
      <c r="B7" s="174"/>
      <c r="C7" s="174"/>
      <c r="D7" s="174"/>
      <c r="E7" s="174"/>
      <c r="F7" s="175" t="s">
        <v>15</v>
      </c>
      <c r="G7" s="175" t="s">
        <v>36</v>
      </c>
      <c r="H7" s="176"/>
      <c r="I7" s="177" t="s">
        <v>16</v>
      </c>
      <c r="K7" s="173"/>
      <c r="L7" s="174"/>
      <c r="M7" s="174"/>
      <c r="N7" s="174"/>
      <c r="O7" s="175" t="s">
        <v>21</v>
      </c>
      <c r="P7" s="174"/>
      <c r="Q7" s="175" t="s">
        <v>22</v>
      </c>
      <c r="R7" s="176"/>
      <c r="S7" s="177" t="s">
        <v>16</v>
      </c>
      <c r="U7" s="173"/>
      <c r="V7" s="176" t="s">
        <v>27</v>
      </c>
      <c r="W7" s="175" t="s">
        <v>25</v>
      </c>
      <c r="X7" s="178"/>
      <c r="Y7" s="176" t="s">
        <v>26</v>
      </c>
      <c r="Z7" s="179" t="s">
        <v>42</v>
      </c>
      <c r="AA7" s="176" t="s">
        <v>38</v>
      </c>
      <c r="AB7" s="175" t="s">
        <v>43</v>
      </c>
      <c r="AC7" s="180"/>
      <c r="AE7" s="173"/>
      <c r="AF7" s="176" t="s">
        <v>58</v>
      </c>
      <c r="AG7" s="181" t="s">
        <v>132</v>
      </c>
      <c r="AH7" s="175" t="s">
        <v>52</v>
      </c>
      <c r="AI7" s="176" t="s">
        <v>46</v>
      </c>
      <c r="AJ7" s="176" t="s">
        <v>46</v>
      </c>
      <c r="AK7" s="176" t="s">
        <v>46</v>
      </c>
      <c r="AL7" s="182"/>
      <c r="AM7" s="176" t="s">
        <v>46</v>
      </c>
      <c r="AN7" s="176" t="s">
        <v>46</v>
      </c>
      <c r="AO7" s="183" t="s">
        <v>59</v>
      </c>
    </row>
    <row r="8" spans="1:52" x14ac:dyDescent="0.2">
      <c r="A8" s="184">
        <v>41395</v>
      </c>
      <c r="B8" s="185">
        <v>41334</v>
      </c>
      <c r="C8" s="186">
        <v>0.1026</v>
      </c>
      <c r="D8" s="187">
        <v>466605240</v>
      </c>
      <c r="E8" s="188">
        <f t="shared" ref="E8:E13" si="0">V8</f>
        <v>466605240</v>
      </c>
      <c r="F8" s="189">
        <f t="shared" ref="F8:F13" si="1">E8-D8</f>
        <v>0</v>
      </c>
      <c r="G8" s="189">
        <f t="shared" ref="G8:G13" si="2">(C8*F8)/12</f>
        <v>0</v>
      </c>
      <c r="H8" s="186">
        <v>0.87290000000000001</v>
      </c>
      <c r="I8" s="190">
        <f t="shared" ref="I8:I13" si="3">G8*H8</f>
        <v>0</v>
      </c>
      <c r="K8" s="184">
        <f t="shared" ref="K8:M13" si="4">A8</f>
        <v>41395</v>
      </c>
      <c r="L8" s="185">
        <f t="shared" si="4"/>
        <v>41334</v>
      </c>
      <c r="M8" s="186">
        <f t="shared" si="4"/>
        <v>0.1026</v>
      </c>
      <c r="N8" s="186">
        <f>+X8</f>
        <v>0.10249999999999999</v>
      </c>
      <c r="O8" s="186">
        <f t="shared" ref="O8:O13" si="5">N8-M8</f>
        <v>-1.0000000000000286E-4</v>
      </c>
      <c r="P8" s="191">
        <f t="shared" ref="P8:P13" si="6">V8</f>
        <v>466605240</v>
      </c>
      <c r="Q8" s="192">
        <f>(O8*P8)/12</f>
        <v>-3888.3770000001114</v>
      </c>
      <c r="R8" s="193">
        <f t="shared" ref="R8:R13" si="7">H8</f>
        <v>0.87290000000000001</v>
      </c>
      <c r="S8" s="194">
        <f>R8*Q8</f>
        <v>-3394.1642833000974</v>
      </c>
      <c r="U8" s="195">
        <f t="shared" ref="U8:U13" si="8">L8</f>
        <v>41334</v>
      </c>
      <c r="V8" s="187">
        <v>466605240</v>
      </c>
      <c r="W8" s="191">
        <f t="shared" ref="W8:W13" si="9">V8/12</f>
        <v>38883770</v>
      </c>
      <c r="X8" s="196">
        <v>0.10249999999999999</v>
      </c>
      <c r="Y8" s="187">
        <v>1534382</v>
      </c>
      <c r="Z8" s="191">
        <f>(W8*X8)+Y8</f>
        <v>5519968.4249999998</v>
      </c>
      <c r="AA8" s="196">
        <f t="shared" ref="AA8:AA13" si="10">R8</f>
        <v>0.87290000000000001</v>
      </c>
      <c r="AB8" s="191">
        <f t="shared" ref="AB8:AB13" si="11">Z8*AA8</f>
        <v>4818380.4381825002</v>
      </c>
      <c r="AC8" s="197"/>
      <c r="AE8" s="195">
        <f t="shared" ref="AE8:AE10" si="12">U8</f>
        <v>41334</v>
      </c>
      <c r="AF8" s="198">
        <f t="shared" ref="AF8:AF10" si="13">AB8</f>
        <v>4818380.4381825002</v>
      </c>
      <c r="AG8" s="199">
        <v>0</v>
      </c>
      <c r="AH8" s="191">
        <f t="shared" ref="AH8:AH13" si="14">SUM(AF8:AG8)</f>
        <v>4818380.4381825002</v>
      </c>
      <c r="AI8" s="200">
        <v>4.0204744601156098E-2</v>
      </c>
      <c r="AJ8" s="200">
        <v>6.9675192517680104E-2</v>
      </c>
      <c r="AK8" s="187">
        <v>438490</v>
      </c>
      <c r="AL8" s="201">
        <f>+A8</f>
        <v>41395</v>
      </c>
      <c r="AM8" s="187">
        <v>1386055.37</v>
      </c>
      <c r="AN8" s="187">
        <v>2584994.5299999989</v>
      </c>
      <c r="AO8" s="202">
        <f t="shared" ref="AO8:AO13" si="15">(AK8+AM8+AN8)-AH8</f>
        <v>-408840.53818250168</v>
      </c>
      <c r="AQ8" s="198"/>
      <c r="AR8" s="203"/>
      <c r="AS8" s="203"/>
      <c r="AT8" s="203"/>
      <c r="AU8" s="203"/>
      <c r="AV8" s="203"/>
      <c r="AW8" s="203"/>
      <c r="AX8" s="203"/>
      <c r="AY8" s="203"/>
      <c r="AZ8" s="203"/>
    </row>
    <row r="9" spans="1:52" x14ac:dyDescent="0.2">
      <c r="A9" s="204">
        <v>41426</v>
      </c>
      <c r="B9" s="205">
        <v>41365</v>
      </c>
      <c r="C9" s="200">
        <v>0.10299999999999999</v>
      </c>
      <c r="D9" s="198">
        <v>488353534</v>
      </c>
      <c r="E9" s="198">
        <f t="shared" si="0"/>
        <v>488353534</v>
      </c>
      <c r="F9" s="206">
        <f t="shared" si="1"/>
        <v>0</v>
      </c>
      <c r="G9" s="206">
        <f t="shared" si="2"/>
        <v>0</v>
      </c>
      <c r="H9" s="200">
        <v>0.8861</v>
      </c>
      <c r="I9" s="207">
        <f t="shared" si="3"/>
        <v>0</v>
      </c>
      <c r="K9" s="204">
        <f t="shared" si="4"/>
        <v>41426</v>
      </c>
      <c r="L9" s="205">
        <f t="shared" si="4"/>
        <v>41365</v>
      </c>
      <c r="M9" s="200">
        <f t="shared" si="4"/>
        <v>0.10299999999999999</v>
      </c>
      <c r="N9" s="200">
        <f>+X9</f>
        <v>0.10249999999999999</v>
      </c>
      <c r="O9" s="200">
        <f t="shared" si="5"/>
        <v>-5.0000000000000044E-4</v>
      </c>
      <c r="P9" s="208">
        <f t="shared" si="6"/>
        <v>488353534</v>
      </c>
      <c r="Q9" s="206">
        <f t="shared" ref="Q9:Q13" si="16">(O9*P9)/12</f>
        <v>-20348.063916666684</v>
      </c>
      <c r="R9" s="196">
        <f t="shared" si="7"/>
        <v>0.8861</v>
      </c>
      <c r="S9" s="207">
        <f t="shared" ref="S9:S13" si="17">R9*Q9</f>
        <v>-18030.41943655835</v>
      </c>
      <c r="U9" s="195">
        <f t="shared" si="8"/>
        <v>41365</v>
      </c>
      <c r="V9" s="198">
        <v>488353534</v>
      </c>
      <c r="W9" s="198">
        <f t="shared" si="9"/>
        <v>40696127.833333336</v>
      </c>
      <c r="X9" s="196">
        <v>0.10249999999999999</v>
      </c>
      <c r="Y9" s="198">
        <v>1482876.92</v>
      </c>
      <c r="Z9" s="198">
        <f>(W9*X9)+Y9</f>
        <v>5654230.0229166672</v>
      </c>
      <c r="AA9" s="196">
        <f t="shared" si="10"/>
        <v>0.8861</v>
      </c>
      <c r="AB9" s="198">
        <f t="shared" si="11"/>
        <v>5010213.2233064584</v>
      </c>
      <c r="AC9" s="197"/>
      <c r="AE9" s="195">
        <f t="shared" si="12"/>
        <v>41365</v>
      </c>
      <c r="AF9" s="198">
        <f t="shared" si="13"/>
        <v>5010213.2233064584</v>
      </c>
      <c r="AG9" s="206">
        <v>-218511</v>
      </c>
      <c r="AH9" s="198">
        <f t="shared" si="14"/>
        <v>4791702.2233064584</v>
      </c>
      <c r="AI9" s="200">
        <v>3.9558273978733051E-2</v>
      </c>
      <c r="AJ9" s="200">
        <v>6.8607512935697085E-2</v>
      </c>
      <c r="AK9" s="198">
        <v>423362</v>
      </c>
      <c r="AL9" s="201">
        <f>+A9</f>
        <v>41426</v>
      </c>
      <c r="AM9" s="198">
        <v>1602385.09</v>
      </c>
      <c r="AN9" s="198">
        <v>2753864.0299999993</v>
      </c>
      <c r="AO9" s="209">
        <f t="shared" si="15"/>
        <v>-12091.103306459263</v>
      </c>
      <c r="AQ9" s="198"/>
      <c r="AR9" s="203"/>
      <c r="AS9" s="203"/>
      <c r="AT9" s="203"/>
      <c r="AU9" s="203"/>
      <c r="AV9" s="203"/>
      <c r="AW9" s="203"/>
      <c r="AX9" s="203"/>
      <c r="AY9" s="203"/>
      <c r="AZ9" s="203"/>
    </row>
    <row r="10" spans="1:52" x14ac:dyDescent="0.2">
      <c r="A10" s="204">
        <v>41456</v>
      </c>
      <c r="B10" s="205">
        <v>41395</v>
      </c>
      <c r="C10" s="200">
        <v>0.10299999999999999</v>
      </c>
      <c r="D10" s="198">
        <v>500727214</v>
      </c>
      <c r="E10" s="198">
        <f t="shared" si="0"/>
        <v>500727214</v>
      </c>
      <c r="F10" s="206">
        <f t="shared" si="1"/>
        <v>0</v>
      </c>
      <c r="G10" s="206">
        <f t="shared" si="2"/>
        <v>0</v>
      </c>
      <c r="H10" s="200">
        <v>0.86280000000000001</v>
      </c>
      <c r="I10" s="207">
        <f t="shared" si="3"/>
        <v>0</v>
      </c>
      <c r="K10" s="204">
        <f t="shared" si="4"/>
        <v>41456</v>
      </c>
      <c r="L10" s="205">
        <f t="shared" si="4"/>
        <v>41395</v>
      </c>
      <c r="M10" s="200">
        <f t="shared" si="4"/>
        <v>0.10299999999999999</v>
      </c>
      <c r="N10" s="200">
        <f t="shared" ref="N10:N13" si="18">+X10</f>
        <v>0.10249999999999999</v>
      </c>
      <c r="O10" s="200">
        <f t="shared" si="5"/>
        <v>-5.0000000000000044E-4</v>
      </c>
      <c r="P10" s="208">
        <f t="shared" si="6"/>
        <v>500727214</v>
      </c>
      <c r="Q10" s="206">
        <f t="shared" si="16"/>
        <v>-20863.633916666684</v>
      </c>
      <c r="R10" s="196">
        <f t="shared" si="7"/>
        <v>0.86280000000000001</v>
      </c>
      <c r="S10" s="207">
        <f t="shared" si="17"/>
        <v>-18001.143343300017</v>
      </c>
      <c r="U10" s="195">
        <f t="shared" si="8"/>
        <v>41395</v>
      </c>
      <c r="V10" s="198">
        <v>500727214</v>
      </c>
      <c r="W10" s="198">
        <f t="shared" si="9"/>
        <v>41727267.833333336</v>
      </c>
      <c r="X10" s="196">
        <v>0.10249999999999999</v>
      </c>
      <c r="Y10" s="198">
        <v>1574123.4</v>
      </c>
      <c r="Z10" s="198">
        <f t="shared" ref="Z10:Z13" si="19">(W10*X10)+Y10</f>
        <v>5851168.3529166672</v>
      </c>
      <c r="AA10" s="196">
        <f t="shared" si="10"/>
        <v>0.86280000000000001</v>
      </c>
      <c r="AB10" s="198">
        <f t="shared" si="11"/>
        <v>5048388.0548965009</v>
      </c>
      <c r="AC10" s="197"/>
      <c r="AE10" s="195">
        <f t="shared" si="12"/>
        <v>41395</v>
      </c>
      <c r="AF10" s="198">
        <f t="shared" si="13"/>
        <v>5048388.0548965009</v>
      </c>
      <c r="AG10" s="206">
        <v>0</v>
      </c>
      <c r="AH10" s="198">
        <f t="shared" si="14"/>
        <v>5048388.0548965009</v>
      </c>
      <c r="AI10" s="200">
        <v>4.2436173199891222E-2</v>
      </c>
      <c r="AJ10" s="200">
        <v>7.3596083041001986E-2</v>
      </c>
      <c r="AK10" s="198">
        <v>355318</v>
      </c>
      <c r="AL10" s="201">
        <f t="shared" ref="AL10:AL13" si="20">+A10</f>
        <v>41456</v>
      </c>
      <c r="AM10" s="198">
        <v>2047688.88</v>
      </c>
      <c r="AN10" s="198">
        <v>3053534.8199999994</v>
      </c>
      <c r="AO10" s="209">
        <f t="shared" si="15"/>
        <v>408153.64510349836</v>
      </c>
      <c r="AP10" s="210"/>
      <c r="AQ10" s="198"/>
      <c r="AR10" s="203"/>
      <c r="AS10" s="203"/>
      <c r="AT10" s="203"/>
      <c r="AU10" s="203"/>
      <c r="AV10" s="203"/>
      <c r="AW10" s="203"/>
      <c r="AX10" s="203"/>
      <c r="AY10" s="203"/>
      <c r="AZ10" s="203"/>
    </row>
    <row r="11" spans="1:52" x14ac:dyDescent="0.2">
      <c r="A11" s="204">
        <v>41487</v>
      </c>
      <c r="B11" s="205">
        <v>41426</v>
      </c>
      <c r="C11" s="200">
        <v>0.10299999999999999</v>
      </c>
      <c r="D11" s="198">
        <v>522490759</v>
      </c>
      <c r="E11" s="198">
        <f t="shared" si="0"/>
        <v>522490759</v>
      </c>
      <c r="F11" s="206">
        <f t="shared" si="1"/>
        <v>0</v>
      </c>
      <c r="G11" s="206">
        <f t="shared" si="2"/>
        <v>0</v>
      </c>
      <c r="H11" s="200">
        <v>0.87290000000000001</v>
      </c>
      <c r="I11" s="207">
        <f t="shared" si="3"/>
        <v>0</v>
      </c>
      <c r="K11" s="204">
        <f t="shared" si="4"/>
        <v>41487</v>
      </c>
      <c r="L11" s="205">
        <f t="shared" si="4"/>
        <v>41426</v>
      </c>
      <c r="M11" s="200">
        <f t="shared" si="4"/>
        <v>0.10299999999999999</v>
      </c>
      <c r="N11" s="200">
        <f t="shared" si="18"/>
        <v>0.10249999999999999</v>
      </c>
      <c r="O11" s="200">
        <f t="shared" si="5"/>
        <v>-5.0000000000000044E-4</v>
      </c>
      <c r="P11" s="208">
        <f t="shared" si="6"/>
        <v>522490759</v>
      </c>
      <c r="Q11" s="206">
        <f t="shared" si="16"/>
        <v>-21770.448291666686</v>
      </c>
      <c r="R11" s="196">
        <f t="shared" si="7"/>
        <v>0.87290000000000001</v>
      </c>
      <c r="S11" s="207">
        <f t="shared" si="17"/>
        <v>-19003.424313795851</v>
      </c>
      <c r="U11" s="195">
        <f t="shared" si="8"/>
        <v>41426</v>
      </c>
      <c r="V11" s="198">
        <v>522490759</v>
      </c>
      <c r="W11" s="198">
        <f t="shared" si="9"/>
        <v>43540896.583333336</v>
      </c>
      <c r="X11" s="196">
        <v>0.10249999999999999</v>
      </c>
      <c r="Y11" s="198">
        <v>1282021.06</v>
      </c>
      <c r="Z11" s="198">
        <f t="shared" si="19"/>
        <v>5744962.9597916659</v>
      </c>
      <c r="AA11" s="196">
        <f t="shared" si="10"/>
        <v>0.87290000000000001</v>
      </c>
      <c r="AB11" s="198">
        <f t="shared" si="11"/>
        <v>5014778.1676021451</v>
      </c>
      <c r="AC11" s="197"/>
      <c r="AE11" s="195">
        <f>U11</f>
        <v>41426</v>
      </c>
      <c r="AF11" s="198">
        <f>AB11</f>
        <v>5014778.1676021451</v>
      </c>
      <c r="AG11" s="206">
        <v>0</v>
      </c>
      <c r="AH11" s="198">
        <f t="shared" si="14"/>
        <v>5014778.1676021451</v>
      </c>
      <c r="AI11" s="200">
        <v>4.1724556047527353E-2</v>
      </c>
      <c r="AJ11" s="200">
        <v>7.2548794745516051E-2</v>
      </c>
      <c r="AK11" s="198">
        <v>390332</v>
      </c>
      <c r="AL11" s="201">
        <f t="shared" si="20"/>
        <v>41487</v>
      </c>
      <c r="AM11" s="198">
        <v>1911882.42</v>
      </c>
      <c r="AN11" s="198">
        <v>3065470.4200000004</v>
      </c>
      <c r="AO11" s="209">
        <f t="shared" si="15"/>
        <v>352906.67239785474</v>
      </c>
      <c r="AP11" s="210"/>
      <c r="AQ11" s="198"/>
      <c r="AR11" s="203"/>
      <c r="AS11" s="203"/>
      <c r="AT11" s="203"/>
      <c r="AU11" s="203"/>
      <c r="AV11" s="203"/>
      <c r="AW11" s="203"/>
      <c r="AX11" s="203"/>
      <c r="AY11" s="203"/>
      <c r="AZ11" s="203"/>
    </row>
    <row r="12" spans="1:52" x14ac:dyDescent="0.2">
      <c r="A12" s="204">
        <v>41518</v>
      </c>
      <c r="B12" s="205">
        <v>41456</v>
      </c>
      <c r="C12" s="200">
        <v>0.10299999999999999</v>
      </c>
      <c r="D12" s="198">
        <v>545861106</v>
      </c>
      <c r="E12" s="198">
        <f t="shared" si="0"/>
        <v>545861106</v>
      </c>
      <c r="F12" s="206">
        <f t="shared" si="1"/>
        <v>0</v>
      </c>
      <c r="G12" s="206">
        <f t="shared" si="2"/>
        <v>0</v>
      </c>
      <c r="H12" s="200">
        <v>0.88290000000000002</v>
      </c>
      <c r="I12" s="207">
        <f t="shared" si="3"/>
        <v>0</v>
      </c>
      <c r="K12" s="204">
        <f t="shared" si="4"/>
        <v>41518</v>
      </c>
      <c r="L12" s="205">
        <f t="shared" si="4"/>
        <v>41456</v>
      </c>
      <c r="M12" s="200">
        <f t="shared" si="4"/>
        <v>0.10299999999999999</v>
      </c>
      <c r="N12" s="200">
        <f t="shared" si="18"/>
        <v>0.10249999999999999</v>
      </c>
      <c r="O12" s="200">
        <f t="shared" si="5"/>
        <v>-5.0000000000000044E-4</v>
      </c>
      <c r="P12" s="208">
        <f t="shared" si="6"/>
        <v>545861106</v>
      </c>
      <c r="Q12" s="206">
        <f t="shared" si="16"/>
        <v>-22744.212750000021</v>
      </c>
      <c r="R12" s="196">
        <f t="shared" si="7"/>
        <v>0.88290000000000002</v>
      </c>
      <c r="S12" s="207">
        <f t="shared" si="17"/>
        <v>-20080.865436975018</v>
      </c>
      <c r="U12" s="195">
        <f t="shared" si="8"/>
        <v>41456</v>
      </c>
      <c r="V12" s="198">
        <v>545861106</v>
      </c>
      <c r="W12" s="198">
        <f t="shared" si="9"/>
        <v>45488425.5</v>
      </c>
      <c r="X12" s="196">
        <v>0.10249999999999999</v>
      </c>
      <c r="Y12" s="198">
        <v>1328577.3600000001</v>
      </c>
      <c r="Z12" s="198">
        <f t="shared" si="19"/>
        <v>5991140.9737499999</v>
      </c>
      <c r="AA12" s="196">
        <f t="shared" si="10"/>
        <v>0.88290000000000002</v>
      </c>
      <c r="AB12" s="198">
        <f t="shared" si="11"/>
        <v>5289578.3657238754</v>
      </c>
      <c r="AC12" s="197"/>
      <c r="AE12" s="195">
        <f>U12</f>
        <v>41456</v>
      </c>
      <c r="AF12" s="198">
        <f>AB12</f>
        <v>5289578.3657238754</v>
      </c>
      <c r="AG12" s="206">
        <v>0</v>
      </c>
      <c r="AH12" s="198">
        <f t="shared" si="14"/>
        <v>5289578.3657238754</v>
      </c>
      <c r="AI12" s="200">
        <v>4.3908144217223416E-2</v>
      </c>
      <c r="AJ12" s="200">
        <v>7.6465755992430925E-2</v>
      </c>
      <c r="AK12" s="198">
        <v>431471</v>
      </c>
      <c r="AL12" s="201">
        <f t="shared" si="20"/>
        <v>41518</v>
      </c>
      <c r="AM12" s="198">
        <v>2050794.0999999999</v>
      </c>
      <c r="AN12" s="198">
        <v>3160751.2399999998</v>
      </c>
      <c r="AO12" s="209">
        <f t="shared" si="15"/>
        <v>353437.9742761245</v>
      </c>
      <c r="AP12" s="210"/>
      <c r="AQ12" s="198"/>
      <c r="AR12" s="203"/>
      <c r="AS12" s="203"/>
      <c r="AT12" s="203"/>
      <c r="AU12" s="203"/>
      <c r="AV12" s="203"/>
      <c r="AW12" s="203"/>
      <c r="AX12" s="203"/>
      <c r="AY12" s="203"/>
      <c r="AZ12" s="203"/>
    </row>
    <row r="13" spans="1:52" x14ac:dyDescent="0.2">
      <c r="A13" s="204">
        <v>41548</v>
      </c>
      <c r="B13" s="205">
        <v>41487</v>
      </c>
      <c r="C13" s="200">
        <v>0.10299999999999999</v>
      </c>
      <c r="D13" s="198">
        <v>565466957</v>
      </c>
      <c r="E13" s="198">
        <f t="shared" si="0"/>
        <v>565466957</v>
      </c>
      <c r="F13" s="206">
        <f t="shared" si="1"/>
        <v>0</v>
      </c>
      <c r="G13" s="211">
        <f t="shared" si="2"/>
        <v>0</v>
      </c>
      <c r="H13" s="200">
        <v>0.87529999999999997</v>
      </c>
      <c r="I13" s="212">
        <f t="shared" si="3"/>
        <v>0</v>
      </c>
      <c r="K13" s="204">
        <f t="shared" si="4"/>
        <v>41548</v>
      </c>
      <c r="L13" s="205">
        <f t="shared" si="4"/>
        <v>41487</v>
      </c>
      <c r="M13" s="200">
        <f t="shared" si="4"/>
        <v>0.10299999999999999</v>
      </c>
      <c r="N13" s="200">
        <f t="shared" si="18"/>
        <v>0.10249999999999999</v>
      </c>
      <c r="O13" s="200">
        <f t="shared" si="5"/>
        <v>-5.0000000000000044E-4</v>
      </c>
      <c r="P13" s="208">
        <f t="shared" si="6"/>
        <v>565466957</v>
      </c>
      <c r="Q13" s="211">
        <f t="shared" si="16"/>
        <v>-23561.123208333356</v>
      </c>
      <c r="R13" s="196">
        <f t="shared" si="7"/>
        <v>0.87529999999999997</v>
      </c>
      <c r="S13" s="212">
        <f t="shared" si="17"/>
        <v>-20623.051144254187</v>
      </c>
      <c r="U13" s="195">
        <f t="shared" si="8"/>
        <v>41487</v>
      </c>
      <c r="V13" s="198">
        <v>565466957</v>
      </c>
      <c r="W13" s="198">
        <f t="shared" si="9"/>
        <v>47122246.416666664</v>
      </c>
      <c r="X13" s="196">
        <v>0.10249999999999999</v>
      </c>
      <c r="Y13" s="198">
        <v>1293263</v>
      </c>
      <c r="Z13" s="198">
        <f t="shared" si="19"/>
        <v>6123293.2577083325</v>
      </c>
      <c r="AA13" s="196">
        <f t="shared" si="10"/>
        <v>0.87529999999999997</v>
      </c>
      <c r="AB13" s="198">
        <f t="shared" si="11"/>
        <v>5359718.5884721037</v>
      </c>
      <c r="AC13" s="197"/>
      <c r="AE13" s="195">
        <f>U13</f>
        <v>41487</v>
      </c>
      <c r="AF13" s="198">
        <f>AB13</f>
        <v>5359718.5884721037</v>
      </c>
      <c r="AG13" s="206">
        <v>0</v>
      </c>
      <c r="AH13" s="198">
        <f t="shared" si="14"/>
        <v>5359718.5884721037</v>
      </c>
      <c r="AI13" s="200">
        <v>4.4730053203261316E-2</v>
      </c>
      <c r="AJ13" s="200">
        <v>7.7793381631774836E-2</v>
      </c>
      <c r="AK13" s="198">
        <v>421674</v>
      </c>
      <c r="AL13" s="201">
        <f t="shared" si="20"/>
        <v>41548</v>
      </c>
      <c r="AM13" s="198">
        <v>1601932.7300000009</v>
      </c>
      <c r="AN13" s="198">
        <v>2989573.3800000008</v>
      </c>
      <c r="AO13" s="209">
        <f t="shared" si="15"/>
        <v>-346538.47847210243</v>
      </c>
      <c r="AP13" s="210"/>
      <c r="AQ13" s="198"/>
      <c r="AR13" s="203"/>
      <c r="AS13" s="203"/>
      <c r="AT13" s="203"/>
      <c r="AU13" s="203"/>
      <c r="AV13" s="203"/>
      <c r="AW13" s="203"/>
      <c r="AX13" s="203"/>
      <c r="AY13" s="203"/>
      <c r="AZ13" s="203"/>
    </row>
    <row r="14" spans="1:52" x14ac:dyDescent="0.2">
      <c r="A14" s="204"/>
      <c r="B14" s="205"/>
      <c r="C14" s="200"/>
      <c r="D14" s="213"/>
      <c r="E14" s="198"/>
      <c r="F14" s="198"/>
      <c r="G14" s="214">
        <f>SUM(G8:G13)</f>
        <v>0</v>
      </c>
      <c r="H14" s="215"/>
      <c r="I14" s="216">
        <f>SUM(I8:I13)</f>
        <v>0</v>
      </c>
      <c r="K14" s="217"/>
      <c r="L14" s="215"/>
      <c r="M14" s="215"/>
      <c r="N14" s="215"/>
      <c r="O14" s="215"/>
      <c r="P14" s="215"/>
      <c r="Q14" s="214">
        <f>SUM(Q8:Q13)</f>
        <v>-113175.85908333355</v>
      </c>
      <c r="R14" s="215"/>
      <c r="S14" s="216">
        <f>SUM(S8:S13)</f>
        <v>-99133.067958183528</v>
      </c>
      <c r="U14" s="195"/>
      <c r="V14" s="198"/>
      <c r="W14" s="215"/>
      <c r="X14" s="215"/>
      <c r="Y14" s="208"/>
      <c r="Z14" s="215"/>
      <c r="AA14" s="215"/>
      <c r="AB14" s="215"/>
      <c r="AC14" s="197"/>
      <c r="AE14" s="218"/>
      <c r="AF14" s="219"/>
      <c r="AG14" s="219"/>
      <c r="AH14" s="220">
        <f>SUM(AH8:AH13)</f>
        <v>30322545.838183582</v>
      </c>
      <c r="AI14" s="219"/>
      <c r="AJ14" s="221"/>
      <c r="AK14" s="220">
        <f>SUM(AK8:AK13)</f>
        <v>2460647</v>
      </c>
      <c r="AL14" s="219"/>
      <c r="AM14" s="220">
        <f>SUM(AM8:AM13)</f>
        <v>10600738.59</v>
      </c>
      <c r="AN14" s="220">
        <f>SUM(AN8:AN13)</f>
        <v>17608188.420000002</v>
      </c>
      <c r="AO14" s="222">
        <f>SUM(AO8:AO13)</f>
        <v>347028.17181641422</v>
      </c>
      <c r="AP14" s="210"/>
      <c r="AQ14" s="223"/>
      <c r="AR14" s="203"/>
      <c r="AS14" s="203"/>
      <c r="AT14" s="203"/>
      <c r="AU14" s="203"/>
      <c r="AV14" s="203"/>
      <c r="AW14" s="203"/>
      <c r="AX14" s="203"/>
      <c r="AY14" s="203"/>
      <c r="AZ14" s="203"/>
    </row>
    <row r="15" spans="1:52" x14ac:dyDescent="0.2">
      <c r="A15" s="204"/>
      <c r="B15" s="205"/>
      <c r="C15" s="200"/>
      <c r="D15" s="213"/>
      <c r="E15" s="198"/>
      <c r="F15" s="198"/>
      <c r="G15" s="198"/>
      <c r="H15" s="200"/>
      <c r="I15" s="197"/>
      <c r="K15" s="204"/>
      <c r="L15" s="205"/>
      <c r="M15" s="200"/>
      <c r="N15" s="200"/>
      <c r="O15" s="200"/>
      <c r="P15" s="208"/>
      <c r="Q15" s="208"/>
      <c r="R15" s="196"/>
      <c r="S15" s="197"/>
      <c r="U15" s="217"/>
      <c r="V15" s="198"/>
      <c r="W15" s="215"/>
      <c r="X15" s="215"/>
      <c r="Y15" s="215"/>
      <c r="Z15" s="215"/>
      <c r="AA15" s="215"/>
      <c r="AB15" s="215"/>
      <c r="AC15" s="197"/>
      <c r="AE15" s="218"/>
      <c r="AF15" s="219"/>
      <c r="AG15" s="219"/>
      <c r="AH15" s="219"/>
      <c r="AI15" s="219"/>
      <c r="AJ15" s="219"/>
      <c r="AK15" s="219"/>
      <c r="AL15" s="219"/>
      <c r="AM15" s="219"/>
      <c r="AN15" s="219"/>
      <c r="AO15" s="224"/>
      <c r="AP15" s="210"/>
      <c r="AQ15" s="198"/>
      <c r="AR15" s="203"/>
      <c r="AS15" s="203"/>
      <c r="AT15" s="203"/>
      <c r="AU15" s="203"/>
      <c r="AV15" s="203"/>
      <c r="AW15" s="203"/>
      <c r="AX15" s="203"/>
      <c r="AY15" s="203"/>
      <c r="AZ15" s="203"/>
    </row>
    <row r="16" spans="1:52" x14ac:dyDescent="0.2">
      <c r="A16" s="204">
        <v>41579</v>
      </c>
      <c r="B16" s="205">
        <v>41518</v>
      </c>
      <c r="C16" s="200">
        <v>0.10299999999999999</v>
      </c>
      <c r="D16" s="187">
        <v>584887914</v>
      </c>
      <c r="E16" s="188">
        <f t="shared" ref="E16:E18" si="21">V16</f>
        <v>584887914</v>
      </c>
      <c r="F16" s="199">
        <f>E16-D16</f>
        <v>0</v>
      </c>
      <c r="G16" s="199">
        <f t="shared" ref="G16:G18" si="22">(C16*F16)/12</f>
        <v>0</v>
      </c>
      <c r="H16" s="200">
        <v>0.88739999999999997</v>
      </c>
      <c r="I16" s="225">
        <f t="shared" ref="I16:I18" si="23">G16*H16</f>
        <v>0</v>
      </c>
      <c r="K16" s="204">
        <f t="shared" ref="K16" si="24">A16</f>
        <v>41579</v>
      </c>
      <c r="L16" s="205">
        <f t="shared" ref="L16" si="25">B16</f>
        <v>41518</v>
      </c>
      <c r="M16" s="200">
        <f t="shared" ref="M16:M18" si="26">C16</f>
        <v>0.10299999999999999</v>
      </c>
      <c r="N16" s="200">
        <f t="shared" ref="N16:N18" si="27">+X16</f>
        <v>0.10299999999999999</v>
      </c>
      <c r="O16" s="200">
        <f t="shared" ref="O16:O18" si="28">N16-M16</f>
        <v>0</v>
      </c>
      <c r="P16" s="188">
        <f t="shared" ref="P16:P18" si="29">V16</f>
        <v>584887914</v>
      </c>
      <c r="Q16" s="226">
        <f t="shared" ref="Q16:Q18" si="30">(O16*P16)/12</f>
        <v>0</v>
      </c>
      <c r="R16" s="196">
        <f t="shared" ref="R16:R18" si="31">H16</f>
        <v>0.88739999999999997</v>
      </c>
      <c r="S16" s="227">
        <f t="shared" ref="S16:S18" si="32">R16*Q16</f>
        <v>0</v>
      </c>
      <c r="U16" s="195">
        <f t="shared" ref="U16:U21" si="33">L16</f>
        <v>41518</v>
      </c>
      <c r="V16" s="187">
        <v>584887914</v>
      </c>
      <c r="W16" s="188">
        <f t="shared" ref="W16:W18" si="34">V16/12</f>
        <v>48740659.5</v>
      </c>
      <c r="X16" s="196">
        <f>+'Revised ROR Dec13'!$R$46</f>
        <v>0.10299999999999999</v>
      </c>
      <c r="Y16" s="187">
        <v>1293025.3400000001</v>
      </c>
      <c r="Z16" s="188">
        <f t="shared" ref="Z16:Z18" si="35">(W16*X16)+Y16</f>
        <v>6313313.2684999993</v>
      </c>
      <c r="AA16" s="196">
        <f t="shared" ref="AA16:AA18" si="36">R16</f>
        <v>0.88739999999999997</v>
      </c>
      <c r="AB16" s="188">
        <f t="shared" ref="AB16:AB18" si="37">Z16*AA16</f>
        <v>5602434.1944668991</v>
      </c>
      <c r="AC16" s="197" t="s">
        <v>135</v>
      </c>
      <c r="AE16" s="195">
        <f t="shared" ref="AE16:AE18" si="38">U16</f>
        <v>41518</v>
      </c>
      <c r="AF16" s="198">
        <f t="shared" ref="AF16:AF18" si="39">AB16</f>
        <v>5602434.1944668991</v>
      </c>
      <c r="AG16" s="199">
        <v>0</v>
      </c>
      <c r="AH16" s="188">
        <f t="shared" ref="AH16:AH21" si="40">SUM(AF16:AG16)</f>
        <v>5602434.1944668991</v>
      </c>
      <c r="AI16" s="200">
        <v>4.65E-2</v>
      </c>
      <c r="AJ16" s="200">
        <v>8.0699999999999994E-2</v>
      </c>
      <c r="AK16" s="187">
        <v>427062</v>
      </c>
      <c r="AL16" s="201">
        <f>+A16</f>
        <v>41579</v>
      </c>
      <c r="AM16" s="187">
        <v>1733077.3699999999</v>
      </c>
      <c r="AN16" s="187">
        <v>2763204.1399999997</v>
      </c>
      <c r="AO16" s="202">
        <f t="shared" ref="AO16:AO21" si="41">(AK16+AM16+AN16)-AH16</f>
        <v>-679090.68446689937</v>
      </c>
      <c r="AP16" s="210"/>
      <c r="AQ16" s="228">
        <v>-631512.98</v>
      </c>
      <c r="AR16" s="203">
        <f>+AO16-AQ16</f>
        <v>-47577.704466899391</v>
      </c>
      <c r="AS16" s="203"/>
      <c r="AT16" s="203"/>
      <c r="AU16" s="203"/>
      <c r="AV16" s="203"/>
      <c r="AW16" s="203"/>
      <c r="AX16" s="203"/>
      <c r="AY16" s="203"/>
      <c r="AZ16" s="203"/>
    </row>
    <row r="17" spans="1:52" x14ac:dyDescent="0.2">
      <c r="A17" s="204">
        <v>41609</v>
      </c>
      <c r="B17" s="205">
        <v>41548</v>
      </c>
      <c r="C17" s="200">
        <v>0.10299999999999999</v>
      </c>
      <c r="D17" s="213">
        <v>622806349</v>
      </c>
      <c r="E17" s="198">
        <f t="shared" si="21"/>
        <v>622806349</v>
      </c>
      <c r="F17" s="206">
        <f t="shared" ref="F17:F18" si="42">E17-D17</f>
        <v>0</v>
      </c>
      <c r="G17" s="206">
        <f t="shared" si="22"/>
        <v>0</v>
      </c>
      <c r="H17" s="200">
        <v>0.86950000000000005</v>
      </c>
      <c r="I17" s="207">
        <f t="shared" si="23"/>
        <v>0</v>
      </c>
      <c r="K17" s="204">
        <f t="shared" ref="K17:K21" si="43">A17</f>
        <v>41609</v>
      </c>
      <c r="L17" s="205">
        <f t="shared" ref="L17:L21" si="44">B17</f>
        <v>41548</v>
      </c>
      <c r="M17" s="200">
        <f t="shared" si="26"/>
        <v>0.10299999999999999</v>
      </c>
      <c r="N17" s="200">
        <f t="shared" si="27"/>
        <v>0.10299999999999999</v>
      </c>
      <c r="O17" s="200">
        <f t="shared" si="28"/>
        <v>0</v>
      </c>
      <c r="P17" s="208">
        <f t="shared" si="29"/>
        <v>622806349</v>
      </c>
      <c r="Q17" s="206">
        <f t="shared" si="30"/>
        <v>0</v>
      </c>
      <c r="R17" s="196">
        <f t="shared" si="31"/>
        <v>0.86950000000000005</v>
      </c>
      <c r="S17" s="207">
        <f t="shared" si="32"/>
        <v>0</v>
      </c>
      <c r="U17" s="195">
        <f t="shared" si="33"/>
        <v>41548</v>
      </c>
      <c r="V17" s="213">
        <v>622806349</v>
      </c>
      <c r="W17" s="198">
        <f t="shared" si="34"/>
        <v>51900529.083333336</v>
      </c>
      <c r="X17" s="196">
        <f>+'Revised ROR Dec13'!$R$46</f>
        <v>0.10299999999999999</v>
      </c>
      <c r="Y17" s="198">
        <v>1249576.21</v>
      </c>
      <c r="Z17" s="198">
        <f t="shared" si="35"/>
        <v>6595330.705583333</v>
      </c>
      <c r="AA17" s="196">
        <f t="shared" si="36"/>
        <v>0.86950000000000005</v>
      </c>
      <c r="AB17" s="198">
        <f t="shared" si="37"/>
        <v>5734640.0485047083</v>
      </c>
      <c r="AC17" s="197" t="s">
        <v>135</v>
      </c>
      <c r="AE17" s="195">
        <f t="shared" si="38"/>
        <v>41548</v>
      </c>
      <c r="AF17" s="198">
        <f t="shared" si="39"/>
        <v>5734640.0485047083</v>
      </c>
      <c r="AG17" s="206">
        <v>0</v>
      </c>
      <c r="AH17" s="198">
        <f t="shared" si="40"/>
        <v>5734640.0485047083</v>
      </c>
      <c r="AI17" s="200">
        <v>4.7800000000000002E-2</v>
      </c>
      <c r="AJ17" s="200">
        <v>8.3000000000000004E-2</v>
      </c>
      <c r="AK17" s="198">
        <v>376987</v>
      </c>
      <c r="AL17" s="201">
        <f>+A17</f>
        <v>41609</v>
      </c>
      <c r="AM17" s="198">
        <v>2599351.4700000007</v>
      </c>
      <c r="AN17" s="198">
        <v>3230356.67</v>
      </c>
      <c r="AO17" s="209">
        <f t="shared" si="41"/>
        <v>472055.09149529226</v>
      </c>
      <c r="AP17" s="210"/>
      <c r="AQ17" s="198">
        <v>521695.35</v>
      </c>
      <c r="AR17" s="203">
        <f t="shared" ref="AR17:AR21" si="45">+AO17-AQ17</f>
        <v>-49640.258504707715</v>
      </c>
      <c r="AS17" s="203"/>
      <c r="AT17" s="203"/>
      <c r="AU17" s="203"/>
      <c r="AV17" s="203"/>
      <c r="AW17" s="203"/>
      <c r="AX17" s="203"/>
      <c r="AY17" s="203"/>
      <c r="AZ17" s="203"/>
    </row>
    <row r="18" spans="1:52" x14ac:dyDescent="0.2">
      <c r="A18" s="204">
        <v>41640</v>
      </c>
      <c r="B18" s="205">
        <v>41579</v>
      </c>
      <c r="C18" s="200">
        <v>0.10100000000000001</v>
      </c>
      <c r="D18" s="213">
        <v>678217552</v>
      </c>
      <c r="E18" s="198">
        <f t="shared" si="21"/>
        <v>678217552</v>
      </c>
      <c r="F18" s="206">
        <f t="shared" si="42"/>
        <v>0</v>
      </c>
      <c r="G18" s="206">
        <f t="shared" si="22"/>
        <v>0</v>
      </c>
      <c r="H18" s="200">
        <v>0.87109999999999999</v>
      </c>
      <c r="I18" s="207">
        <f t="shared" si="23"/>
        <v>0</v>
      </c>
      <c r="K18" s="204">
        <f t="shared" si="43"/>
        <v>41640</v>
      </c>
      <c r="L18" s="205">
        <f t="shared" si="44"/>
        <v>41579</v>
      </c>
      <c r="M18" s="200">
        <f t="shared" si="26"/>
        <v>0.10100000000000001</v>
      </c>
      <c r="N18" s="200">
        <f t="shared" si="27"/>
        <v>0.10299999999999999</v>
      </c>
      <c r="O18" s="200">
        <f t="shared" si="28"/>
        <v>1.9999999999999879E-3</v>
      </c>
      <c r="P18" s="208">
        <f t="shared" si="29"/>
        <v>678217552</v>
      </c>
      <c r="Q18" s="206">
        <f t="shared" si="30"/>
        <v>113036.25866666599</v>
      </c>
      <c r="R18" s="196">
        <f t="shared" si="31"/>
        <v>0.87109999999999999</v>
      </c>
      <c r="S18" s="207">
        <f t="shared" si="32"/>
        <v>98465.884924532744</v>
      </c>
      <c r="U18" s="195">
        <f t="shared" si="33"/>
        <v>41579</v>
      </c>
      <c r="V18" s="213">
        <v>678217552</v>
      </c>
      <c r="W18" s="198">
        <f t="shared" si="34"/>
        <v>56518129.333333336</v>
      </c>
      <c r="X18" s="196">
        <f>+'Revised ROR Dec13'!$R$46</f>
        <v>0.10299999999999999</v>
      </c>
      <c r="Y18" s="198">
        <v>1453797.1</v>
      </c>
      <c r="Z18" s="198">
        <f t="shared" si="35"/>
        <v>7275164.4213333335</v>
      </c>
      <c r="AA18" s="196">
        <f t="shared" si="36"/>
        <v>0.87109999999999999</v>
      </c>
      <c r="AB18" s="198">
        <f t="shared" si="37"/>
        <v>6337395.7274234667</v>
      </c>
      <c r="AC18" s="197" t="s">
        <v>135</v>
      </c>
      <c r="AE18" s="195">
        <f t="shared" si="38"/>
        <v>41579</v>
      </c>
      <c r="AF18" s="198">
        <f t="shared" si="39"/>
        <v>6337395.7274234667</v>
      </c>
      <c r="AG18" s="206">
        <v>-444933</v>
      </c>
      <c r="AH18" s="198">
        <f t="shared" si="40"/>
        <v>5892462.7274234667</v>
      </c>
      <c r="AI18" s="200">
        <v>4.8599999999999997E-2</v>
      </c>
      <c r="AJ18" s="200">
        <v>8.4099999999999994E-2</v>
      </c>
      <c r="AK18" s="198">
        <v>355518</v>
      </c>
      <c r="AL18" s="201">
        <f t="shared" ref="AL18:AL21" si="46">+A18</f>
        <v>41640</v>
      </c>
      <c r="AM18" s="198">
        <v>3562881.4299999992</v>
      </c>
      <c r="AN18" s="198">
        <v>3409510.29</v>
      </c>
      <c r="AO18" s="209">
        <f t="shared" si="41"/>
        <v>1435446.9925765321</v>
      </c>
      <c r="AP18" s="210"/>
      <c r="AQ18" s="156">
        <v>1489603.23</v>
      </c>
      <c r="AR18" s="203">
        <f t="shared" si="45"/>
        <v>-54156.237423467916</v>
      </c>
      <c r="AS18" s="203"/>
      <c r="AT18" s="203"/>
      <c r="AU18" s="203"/>
      <c r="AV18" s="203"/>
      <c r="AW18" s="203"/>
      <c r="AX18" s="203"/>
      <c r="AY18" s="203"/>
      <c r="AZ18" s="203"/>
    </row>
    <row r="19" spans="1:52" x14ac:dyDescent="0.2">
      <c r="A19" s="204">
        <v>41671</v>
      </c>
      <c r="B19" s="205">
        <v>41609</v>
      </c>
      <c r="C19" s="200">
        <v>0.10100000000000001</v>
      </c>
      <c r="D19" s="213">
        <v>751970332</v>
      </c>
      <c r="E19" s="198">
        <f t="shared" ref="E19:E21" si="47">V19</f>
        <v>751970332</v>
      </c>
      <c r="F19" s="206">
        <f t="shared" ref="F19:F21" si="48">E19-D19</f>
        <v>0</v>
      </c>
      <c r="G19" s="206">
        <f t="shared" ref="G19:G21" si="49">(C19*F19)/12</f>
        <v>0</v>
      </c>
      <c r="H19" s="200">
        <v>0.86550000000000005</v>
      </c>
      <c r="I19" s="207">
        <f t="shared" ref="I19:I21" si="50">G19*H19</f>
        <v>0</v>
      </c>
      <c r="K19" s="204">
        <f t="shared" si="43"/>
        <v>41671</v>
      </c>
      <c r="L19" s="205">
        <f t="shared" si="44"/>
        <v>41609</v>
      </c>
      <c r="M19" s="200">
        <f t="shared" ref="M19:M21" si="51">C19</f>
        <v>0.10100000000000001</v>
      </c>
      <c r="N19" s="200">
        <f t="shared" ref="N19:N21" si="52">+X19</f>
        <v>0.10299999999999999</v>
      </c>
      <c r="O19" s="200">
        <f t="shared" ref="O19:O21" si="53">N19-M19</f>
        <v>1.9999999999999879E-3</v>
      </c>
      <c r="P19" s="208">
        <f t="shared" ref="P19:P21" si="54">V19</f>
        <v>751970332</v>
      </c>
      <c r="Q19" s="206">
        <f t="shared" ref="Q19:Q21" si="55">(O19*P19)/12</f>
        <v>125328.38866666589</v>
      </c>
      <c r="R19" s="196">
        <f t="shared" ref="R19:R21" si="56">H19</f>
        <v>0.86550000000000005</v>
      </c>
      <c r="S19" s="207">
        <f t="shared" ref="S19:S21" si="57">R19*Q19</f>
        <v>108471.72039099934</v>
      </c>
      <c r="U19" s="195">
        <f t="shared" si="33"/>
        <v>41609</v>
      </c>
      <c r="V19" s="213">
        <v>751970332</v>
      </c>
      <c r="W19" s="198">
        <f t="shared" ref="W19:W21" si="58">V19/12</f>
        <v>62664194.333333336</v>
      </c>
      <c r="X19" s="196">
        <f>+'Revised ROR Dec13'!$R$46</f>
        <v>0.10299999999999999</v>
      </c>
      <c r="Y19" s="198">
        <v>1630198.78</v>
      </c>
      <c r="Z19" s="198">
        <f t="shared" ref="Z19:Z21" si="59">(W19*X19)+Y19</f>
        <v>8084610.7963333335</v>
      </c>
      <c r="AA19" s="196">
        <f t="shared" ref="AA19:AA21" si="60">R19</f>
        <v>0.86550000000000005</v>
      </c>
      <c r="AB19" s="198">
        <f t="shared" ref="AB19:AB21" si="61">Z19*AA19</f>
        <v>6997230.6442265008</v>
      </c>
      <c r="AC19" s="197" t="s">
        <v>135</v>
      </c>
      <c r="AE19" s="195">
        <f>U19</f>
        <v>41609</v>
      </c>
      <c r="AF19" s="198">
        <f>AB19</f>
        <v>6997230.6442265008</v>
      </c>
      <c r="AG19" s="206">
        <v>0</v>
      </c>
      <c r="AH19" s="198">
        <f t="shared" si="40"/>
        <v>6997230.6442265008</v>
      </c>
      <c r="AI19" s="200">
        <v>5.6599999999999998E-2</v>
      </c>
      <c r="AJ19" s="200">
        <v>9.7900000000000001E-2</v>
      </c>
      <c r="AK19" s="198">
        <v>457453</v>
      </c>
      <c r="AL19" s="201">
        <f t="shared" si="46"/>
        <v>41671</v>
      </c>
      <c r="AM19" s="198">
        <v>4154270.2800000003</v>
      </c>
      <c r="AN19" s="198">
        <v>4280944.57</v>
      </c>
      <c r="AO19" s="209">
        <f t="shared" si="41"/>
        <v>1895437.2057735007</v>
      </c>
      <c r="AP19" s="210"/>
      <c r="AQ19" s="156">
        <v>1955096.65</v>
      </c>
      <c r="AR19" s="203">
        <f t="shared" si="45"/>
        <v>-59659.444226499181</v>
      </c>
      <c r="AS19" s="203"/>
      <c r="AT19" s="203"/>
      <c r="AU19" s="203"/>
      <c r="AV19" s="203"/>
      <c r="AW19" s="203"/>
      <c r="AX19" s="203"/>
      <c r="AY19" s="203"/>
      <c r="AZ19" s="203"/>
    </row>
    <row r="20" spans="1:52" x14ac:dyDescent="0.2">
      <c r="A20" s="204">
        <v>41699</v>
      </c>
      <c r="B20" s="205">
        <v>41640</v>
      </c>
      <c r="C20" s="200">
        <v>0.10100000000000001</v>
      </c>
      <c r="D20" s="213">
        <v>770708068</v>
      </c>
      <c r="E20" s="198">
        <f t="shared" si="47"/>
        <v>770708068</v>
      </c>
      <c r="F20" s="206">
        <f t="shared" si="48"/>
        <v>0</v>
      </c>
      <c r="G20" s="206">
        <f t="shared" si="49"/>
        <v>0</v>
      </c>
      <c r="H20" s="200">
        <v>0.85209999999999997</v>
      </c>
      <c r="I20" s="207">
        <f t="shared" si="50"/>
        <v>0</v>
      </c>
      <c r="K20" s="204">
        <f t="shared" si="43"/>
        <v>41699</v>
      </c>
      <c r="L20" s="205">
        <f t="shared" si="44"/>
        <v>41640</v>
      </c>
      <c r="M20" s="200">
        <f t="shared" si="51"/>
        <v>0.10100000000000001</v>
      </c>
      <c r="N20" s="200">
        <f t="shared" si="52"/>
        <v>0.1065</v>
      </c>
      <c r="O20" s="200">
        <f t="shared" si="53"/>
        <v>5.499999999999991E-3</v>
      </c>
      <c r="P20" s="208">
        <f t="shared" si="54"/>
        <v>770708068</v>
      </c>
      <c r="Q20" s="206">
        <f t="shared" si="55"/>
        <v>353241.19783333276</v>
      </c>
      <c r="R20" s="196">
        <f t="shared" si="56"/>
        <v>0.85209999999999997</v>
      </c>
      <c r="S20" s="207">
        <f t="shared" si="57"/>
        <v>300996.82467378286</v>
      </c>
      <c r="U20" s="195">
        <f t="shared" si="33"/>
        <v>41640</v>
      </c>
      <c r="V20" s="213">
        <v>770708068</v>
      </c>
      <c r="W20" s="198">
        <f t="shared" si="58"/>
        <v>64225672.333333336</v>
      </c>
      <c r="X20" s="196">
        <f>+'Revised ROR Feb14'!$R$46</f>
        <v>0.1065</v>
      </c>
      <c r="Y20" s="198">
        <v>1667121.96</v>
      </c>
      <c r="Z20" s="198">
        <f t="shared" si="59"/>
        <v>8507156.0635000002</v>
      </c>
      <c r="AA20" s="196">
        <f t="shared" si="60"/>
        <v>0.85209999999999997</v>
      </c>
      <c r="AB20" s="198">
        <f t="shared" si="61"/>
        <v>7248947.6817083498</v>
      </c>
      <c r="AC20" s="197" t="s">
        <v>135</v>
      </c>
      <c r="AE20" s="195">
        <f>U20</f>
        <v>41640</v>
      </c>
      <c r="AF20" s="198">
        <f>AB20</f>
        <v>7248947.6817083498</v>
      </c>
      <c r="AG20" s="206">
        <v>0</v>
      </c>
      <c r="AH20" s="198">
        <f t="shared" si="40"/>
        <v>7248947.6817083498</v>
      </c>
      <c r="AI20" s="200">
        <v>1.6E-2</v>
      </c>
      <c r="AJ20" s="200">
        <v>2.7699999999999999E-2</v>
      </c>
      <c r="AK20" s="198">
        <v>5100375</v>
      </c>
      <c r="AL20" s="201">
        <f t="shared" si="46"/>
        <v>41699</v>
      </c>
      <c r="AM20" s="198">
        <v>1054776.4399999992</v>
      </c>
      <c r="AN20" s="198">
        <v>1398454.6400000001</v>
      </c>
      <c r="AO20" s="209">
        <f t="shared" si="41"/>
        <v>304658.39829165023</v>
      </c>
      <c r="AP20" s="210"/>
      <c r="AQ20" s="156">
        <v>332021.75</v>
      </c>
      <c r="AR20" s="203">
        <f t="shared" si="45"/>
        <v>-27363.351708349772</v>
      </c>
      <c r="AS20" s="229"/>
    </row>
    <row r="21" spans="1:52" x14ac:dyDescent="0.2">
      <c r="A21" s="204">
        <v>41730</v>
      </c>
      <c r="B21" s="205">
        <v>41671</v>
      </c>
      <c r="C21" s="200">
        <v>0.10100000000000001</v>
      </c>
      <c r="D21" s="213">
        <v>784851040</v>
      </c>
      <c r="E21" s="198">
        <f t="shared" si="47"/>
        <v>784851040</v>
      </c>
      <c r="F21" s="206">
        <f t="shared" si="48"/>
        <v>0</v>
      </c>
      <c r="G21" s="211">
        <f t="shared" si="49"/>
        <v>0</v>
      </c>
      <c r="H21" s="200">
        <v>0.8679</v>
      </c>
      <c r="I21" s="212">
        <f t="shared" si="50"/>
        <v>0</v>
      </c>
      <c r="K21" s="204">
        <f t="shared" si="43"/>
        <v>41730</v>
      </c>
      <c r="L21" s="205">
        <f t="shared" si="44"/>
        <v>41671</v>
      </c>
      <c r="M21" s="200">
        <f t="shared" si="51"/>
        <v>0.10100000000000001</v>
      </c>
      <c r="N21" s="200">
        <f t="shared" si="52"/>
        <v>0.1065</v>
      </c>
      <c r="O21" s="200">
        <f t="shared" si="53"/>
        <v>5.499999999999991E-3</v>
      </c>
      <c r="P21" s="208">
        <f t="shared" si="54"/>
        <v>784851040</v>
      </c>
      <c r="Q21" s="211">
        <f t="shared" si="55"/>
        <v>359723.39333333279</v>
      </c>
      <c r="R21" s="196">
        <f t="shared" si="56"/>
        <v>0.8679</v>
      </c>
      <c r="S21" s="212">
        <f t="shared" si="57"/>
        <v>312203.93307399953</v>
      </c>
      <c r="U21" s="195">
        <f t="shared" si="33"/>
        <v>41671</v>
      </c>
      <c r="V21" s="213">
        <v>784851040</v>
      </c>
      <c r="W21" s="198">
        <f t="shared" si="58"/>
        <v>65404253.333333336</v>
      </c>
      <c r="X21" s="196">
        <f>+'Revised ROR Feb14'!$R$46</f>
        <v>0.1065</v>
      </c>
      <c r="Y21" s="198">
        <v>1500280.52</v>
      </c>
      <c r="Z21" s="198">
        <f t="shared" si="59"/>
        <v>8465833.5</v>
      </c>
      <c r="AA21" s="196">
        <f t="shared" si="60"/>
        <v>0.8679</v>
      </c>
      <c r="AB21" s="198">
        <f t="shared" si="61"/>
        <v>7347496.8946500001</v>
      </c>
      <c r="AC21" s="197" t="s">
        <v>135</v>
      </c>
      <c r="AE21" s="195">
        <f>U21</f>
        <v>41671</v>
      </c>
      <c r="AF21" s="198">
        <f>AB21</f>
        <v>7347496.8946500001</v>
      </c>
      <c r="AG21" s="206">
        <v>0</v>
      </c>
      <c r="AH21" s="198">
        <f t="shared" si="40"/>
        <v>7347496.8946500001</v>
      </c>
      <c r="AI21" s="200">
        <v>1.2200000000000001E-2</v>
      </c>
      <c r="AJ21" s="200">
        <v>2.1100000000000001E-2</v>
      </c>
      <c r="AK21" s="198">
        <v>5603061</v>
      </c>
      <c r="AL21" s="201">
        <f t="shared" si="46"/>
        <v>41730</v>
      </c>
      <c r="AM21" s="198">
        <v>526790.4299999997</v>
      </c>
      <c r="AN21" s="198">
        <v>843968.74000000011</v>
      </c>
      <c r="AO21" s="209">
        <f t="shared" si="41"/>
        <v>-373676.72465000022</v>
      </c>
      <c r="AP21" s="210"/>
      <c r="AQ21" s="156">
        <v>-345294.55</v>
      </c>
      <c r="AR21" s="203">
        <f t="shared" si="45"/>
        <v>-28382.174650000234</v>
      </c>
      <c r="AS21" s="229"/>
    </row>
    <row r="22" spans="1:52" x14ac:dyDescent="0.2">
      <c r="A22" s="204"/>
      <c r="B22" s="205"/>
      <c r="C22" s="200"/>
      <c r="D22" s="213"/>
      <c r="E22" s="198"/>
      <c r="F22" s="198"/>
      <c r="G22" s="214">
        <f>SUM(G16:G21)</f>
        <v>0</v>
      </c>
      <c r="H22" s="200"/>
      <c r="I22" s="216">
        <f>SUM(I16:I21)</f>
        <v>0</v>
      </c>
      <c r="K22" s="204"/>
      <c r="L22" s="205"/>
      <c r="M22" s="215"/>
      <c r="N22" s="215"/>
      <c r="O22" s="215"/>
      <c r="P22" s="215"/>
      <c r="Q22" s="214">
        <f>SUM(Q16:Q21)</f>
        <v>951329.23849999742</v>
      </c>
      <c r="R22" s="215"/>
      <c r="S22" s="216">
        <f>SUM(S16:S21)</f>
        <v>820138.36306331446</v>
      </c>
      <c r="U22" s="217"/>
      <c r="V22" s="198"/>
      <c r="W22" s="215"/>
      <c r="X22" s="215"/>
      <c r="Y22" s="215"/>
      <c r="Z22" s="215"/>
      <c r="AA22" s="215"/>
      <c r="AB22" s="215"/>
      <c r="AC22" s="197"/>
      <c r="AE22" s="218"/>
      <c r="AF22" s="215"/>
      <c r="AG22" s="215"/>
      <c r="AH22" s="220">
        <f>SUM(AH16:AH21)</f>
        <v>38823212.19097992</v>
      </c>
      <c r="AI22" s="215"/>
      <c r="AJ22" s="215"/>
      <c r="AK22" s="220">
        <f>SUM(AK16:AK21)</f>
        <v>12320456</v>
      </c>
      <c r="AL22" s="215"/>
      <c r="AM22" s="220">
        <f>SUM(AM16:AM21)</f>
        <v>13631147.42</v>
      </c>
      <c r="AN22" s="220">
        <f>SUM(AN16:AN21)</f>
        <v>15926439.050000001</v>
      </c>
      <c r="AO22" s="222">
        <f>SUM(AO16:AO21)</f>
        <v>3054830.2790200757</v>
      </c>
      <c r="AP22" s="210"/>
      <c r="AQ22" s="222">
        <f>SUM(AQ16:AQ21)</f>
        <v>3321609.45</v>
      </c>
      <c r="AR22" s="222">
        <f>SUM(AR16:AR21)</f>
        <v>-266779.17097992421</v>
      </c>
      <c r="AS22" s="229"/>
    </row>
    <row r="23" spans="1:52" x14ac:dyDescent="0.2">
      <c r="A23" s="204"/>
      <c r="B23" s="205"/>
      <c r="C23" s="200"/>
      <c r="D23" s="213"/>
      <c r="E23" s="198"/>
      <c r="F23" s="198"/>
      <c r="G23" s="198"/>
      <c r="H23" s="200"/>
      <c r="I23" s="197"/>
      <c r="K23" s="204"/>
      <c r="L23" s="205"/>
      <c r="M23" s="200"/>
      <c r="N23" s="200"/>
      <c r="O23" s="200"/>
      <c r="P23" s="208"/>
      <c r="Q23" s="208"/>
      <c r="R23" s="196"/>
      <c r="S23" s="197"/>
      <c r="U23" s="217"/>
      <c r="V23" s="215"/>
      <c r="W23" s="215"/>
      <c r="X23" s="215"/>
      <c r="Y23" s="215"/>
      <c r="Z23" s="215"/>
      <c r="AA23" s="215"/>
      <c r="AB23" s="215"/>
      <c r="AC23" s="197"/>
      <c r="AE23" s="218"/>
      <c r="AF23" s="215"/>
      <c r="AG23" s="215"/>
      <c r="AH23" s="230"/>
      <c r="AI23" s="230"/>
      <c r="AJ23" s="230"/>
      <c r="AK23" s="230"/>
      <c r="AL23" s="230"/>
      <c r="AM23" s="230"/>
      <c r="AN23" s="130" t="s">
        <v>156</v>
      </c>
      <c r="AO23" s="231">
        <v>3321609.453781317</v>
      </c>
      <c r="AP23" s="210"/>
      <c r="AQ23" s="232"/>
    </row>
    <row r="24" spans="1:52" x14ac:dyDescent="0.2">
      <c r="A24" s="204">
        <v>41760</v>
      </c>
      <c r="B24" s="205">
        <v>41699</v>
      </c>
      <c r="C24" s="200">
        <v>0.10100000000000001</v>
      </c>
      <c r="D24" s="187">
        <v>807289854</v>
      </c>
      <c r="E24" s="188">
        <f t="shared" ref="E24:E29" si="62">V24</f>
        <v>807289854</v>
      </c>
      <c r="F24" s="199">
        <f t="shared" ref="F24:F29" si="63">E24-D24</f>
        <v>0</v>
      </c>
      <c r="G24" s="199">
        <f t="shared" ref="G24:G29" si="64">(C24*F24)/12</f>
        <v>0</v>
      </c>
      <c r="H24" s="200">
        <v>0.87860000000000005</v>
      </c>
      <c r="I24" s="225">
        <f t="shared" ref="I24:I29" si="65">G24*H24</f>
        <v>0</v>
      </c>
      <c r="K24" s="204">
        <f t="shared" ref="K24" si="66">A24</f>
        <v>41760</v>
      </c>
      <c r="L24" s="205">
        <f t="shared" ref="L24" si="67">B24</f>
        <v>41699</v>
      </c>
      <c r="M24" s="200">
        <f t="shared" ref="M24:M29" si="68">C24</f>
        <v>0.10100000000000001</v>
      </c>
      <c r="N24" s="200">
        <f t="shared" ref="N24:N29" si="69">+X24</f>
        <v>0.1056</v>
      </c>
      <c r="O24" s="200">
        <f t="shared" ref="O24:O29" si="70">N24-M24</f>
        <v>4.599999999999993E-3</v>
      </c>
      <c r="P24" s="188">
        <f t="shared" ref="P24:P29" si="71">V24</f>
        <v>807289854</v>
      </c>
      <c r="Q24" s="226">
        <f t="shared" ref="Q24:Q29" si="72">(O24*P24)/12</f>
        <v>309461.11069999955</v>
      </c>
      <c r="R24" s="196">
        <f t="shared" ref="R24:R29" si="73">H24</f>
        <v>0.87860000000000005</v>
      </c>
      <c r="S24" s="227">
        <f t="shared" ref="S24:S29" si="74">R24*Q24</f>
        <v>271892.53186101961</v>
      </c>
      <c r="U24" s="195">
        <f t="shared" ref="U24:U29" si="75">L24</f>
        <v>41699</v>
      </c>
      <c r="V24" s="187">
        <v>807289854</v>
      </c>
      <c r="W24" s="188">
        <f t="shared" ref="W24:W29" si="76">V24/12</f>
        <v>67274154.5</v>
      </c>
      <c r="X24" s="196">
        <f>+'Revised ROR Aug14'!$R$46</f>
        <v>0.1056</v>
      </c>
      <c r="Y24" s="187">
        <v>1626809.14</v>
      </c>
      <c r="Z24" s="188">
        <f t="shared" ref="Z24:Z29" si="77">(W24*X24)+Y24</f>
        <v>8730959.8552000001</v>
      </c>
      <c r="AA24" s="196">
        <f t="shared" ref="AA24:AA29" si="78">R24</f>
        <v>0.87860000000000005</v>
      </c>
      <c r="AB24" s="188">
        <f t="shared" ref="AB24:AB29" si="79">Z24*AA24</f>
        <v>7671021.3287787205</v>
      </c>
      <c r="AC24" s="197" t="s">
        <v>135</v>
      </c>
      <c r="AE24" s="218"/>
      <c r="AF24" s="215"/>
      <c r="AG24" s="215"/>
      <c r="AH24" s="230"/>
      <c r="AI24" s="230"/>
      <c r="AJ24" s="230"/>
      <c r="AK24" s="230"/>
      <c r="AL24" s="230"/>
      <c r="AM24" s="230"/>
      <c r="AN24" s="230"/>
      <c r="AO24" s="233">
        <f>+AO22-AO23</f>
        <v>-266779.1747612413</v>
      </c>
      <c r="AP24" s="210"/>
      <c r="AR24" s="203"/>
      <c r="AS24" s="203"/>
      <c r="AT24" s="203"/>
      <c r="AU24" s="203"/>
      <c r="AV24" s="203"/>
      <c r="AW24" s="203"/>
      <c r="AX24" s="203"/>
      <c r="AY24" s="203"/>
      <c r="AZ24" s="203"/>
    </row>
    <row r="25" spans="1:52" x14ac:dyDescent="0.2">
      <c r="A25" s="204">
        <v>41791</v>
      </c>
      <c r="B25" s="205">
        <v>41730</v>
      </c>
      <c r="C25" s="200">
        <v>0.10100000000000001</v>
      </c>
      <c r="D25" s="198">
        <v>835560012</v>
      </c>
      <c r="E25" s="208">
        <f t="shared" si="62"/>
        <v>835560012</v>
      </c>
      <c r="F25" s="206">
        <f t="shared" si="63"/>
        <v>0</v>
      </c>
      <c r="G25" s="206">
        <f t="shared" si="64"/>
        <v>0</v>
      </c>
      <c r="H25" s="200">
        <v>0.88570000000000004</v>
      </c>
      <c r="I25" s="207">
        <f t="shared" si="65"/>
        <v>0</v>
      </c>
      <c r="K25" s="204">
        <f t="shared" ref="K25:K29" si="80">A25</f>
        <v>41791</v>
      </c>
      <c r="L25" s="205">
        <f t="shared" ref="L25:L29" si="81">B25</f>
        <v>41730</v>
      </c>
      <c r="M25" s="200">
        <f t="shared" si="68"/>
        <v>0.10100000000000001</v>
      </c>
      <c r="N25" s="200">
        <f t="shared" si="69"/>
        <v>0.1056</v>
      </c>
      <c r="O25" s="200">
        <f t="shared" si="70"/>
        <v>4.599999999999993E-3</v>
      </c>
      <c r="P25" s="208">
        <f t="shared" si="71"/>
        <v>835560012</v>
      </c>
      <c r="Q25" s="206">
        <f t="shared" si="72"/>
        <v>320298.00459999952</v>
      </c>
      <c r="R25" s="196">
        <f t="shared" si="73"/>
        <v>0.88570000000000004</v>
      </c>
      <c r="S25" s="207">
        <f t="shared" si="74"/>
        <v>283687.94267421961</v>
      </c>
      <c r="U25" s="195">
        <f t="shared" si="75"/>
        <v>41730</v>
      </c>
      <c r="V25" s="198">
        <v>835560012</v>
      </c>
      <c r="W25" s="198">
        <f t="shared" si="76"/>
        <v>69630001</v>
      </c>
      <c r="X25" s="196">
        <f>+'Revised ROR Aug14'!$R$46</f>
        <v>0.1056</v>
      </c>
      <c r="Y25" s="198">
        <v>1349988.66</v>
      </c>
      <c r="Z25" s="198">
        <f t="shared" si="77"/>
        <v>8702916.7655999996</v>
      </c>
      <c r="AA25" s="196">
        <f t="shared" si="78"/>
        <v>0.88570000000000004</v>
      </c>
      <c r="AB25" s="198">
        <f t="shared" si="79"/>
        <v>7708173.37929192</v>
      </c>
      <c r="AC25" s="197" t="s">
        <v>135</v>
      </c>
      <c r="AE25" s="218"/>
      <c r="AF25" s="219"/>
      <c r="AG25" s="219"/>
      <c r="AH25" s="219"/>
      <c r="AI25" s="219"/>
      <c r="AJ25" s="219"/>
      <c r="AK25" s="219"/>
      <c r="AL25" s="219"/>
      <c r="AM25" s="219"/>
      <c r="AN25" s="219"/>
      <c r="AO25" s="224"/>
      <c r="AP25" s="210"/>
      <c r="AR25" s="203"/>
      <c r="AS25" s="203"/>
      <c r="AT25" s="203"/>
      <c r="AU25" s="203"/>
      <c r="AV25" s="203"/>
      <c r="AW25" s="203"/>
      <c r="AX25" s="203"/>
      <c r="AY25" s="203"/>
      <c r="AZ25" s="203"/>
    </row>
    <row r="26" spans="1:52" x14ac:dyDescent="0.2">
      <c r="A26" s="204">
        <v>41821</v>
      </c>
      <c r="B26" s="205">
        <v>41760</v>
      </c>
      <c r="C26" s="200">
        <v>0.10100000000000001</v>
      </c>
      <c r="D26" s="198">
        <v>869643132</v>
      </c>
      <c r="E26" s="198">
        <f t="shared" si="62"/>
        <v>869643132</v>
      </c>
      <c r="F26" s="206">
        <f t="shared" si="63"/>
        <v>0</v>
      </c>
      <c r="G26" s="206">
        <f t="shared" si="64"/>
        <v>0</v>
      </c>
      <c r="H26" s="200">
        <v>0.86829999999999996</v>
      </c>
      <c r="I26" s="207">
        <f t="shared" si="65"/>
        <v>0</v>
      </c>
      <c r="K26" s="204">
        <f t="shared" si="80"/>
        <v>41821</v>
      </c>
      <c r="L26" s="205">
        <f t="shared" si="81"/>
        <v>41760</v>
      </c>
      <c r="M26" s="200">
        <f t="shared" si="68"/>
        <v>0.10100000000000001</v>
      </c>
      <c r="N26" s="200">
        <f t="shared" si="69"/>
        <v>0.1056</v>
      </c>
      <c r="O26" s="200">
        <f t="shared" si="70"/>
        <v>4.599999999999993E-3</v>
      </c>
      <c r="P26" s="208">
        <f t="shared" si="71"/>
        <v>869643132</v>
      </c>
      <c r="Q26" s="206">
        <f t="shared" si="72"/>
        <v>333363.20059999946</v>
      </c>
      <c r="R26" s="196">
        <f t="shared" si="73"/>
        <v>0.86829999999999996</v>
      </c>
      <c r="S26" s="207">
        <f t="shared" si="74"/>
        <v>289459.26708097954</v>
      </c>
      <c r="U26" s="195">
        <f t="shared" si="75"/>
        <v>41760</v>
      </c>
      <c r="V26" s="198">
        <v>869643132</v>
      </c>
      <c r="W26" s="198">
        <f t="shared" si="76"/>
        <v>72470261</v>
      </c>
      <c r="X26" s="196">
        <f>+'Revised ROR Aug14'!$R$46</f>
        <v>0.1056</v>
      </c>
      <c r="Y26" s="198">
        <v>1469484.57</v>
      </c>
      <c r="Z26" s="198">
        <f t="shared" si="77"/>
        <v>9122344.1316</v>
      </c>
      <c r="AA26" s="196">
        <f t="shared" si="78"/>
        <v>0.86829999999999996</v>
      </c>
      <c r="AB26" s="198">
        <f t="shared" si="79"/>
        <v>7920931.4094682792</v>
      </c>
      <c r="AC26" s="197" t="s">
        <v>135</v>
      </c>
      <c r="AE26" s="195">
        <f t="shared" ref="AE26:AE31" si="82">U24</f>
        <v>41699</v>
      </c>
      <c r="AF26" s="198">
        <f t="shared" ref="AF26:AF31" si="83">AB24</f>
        <v>7671021.3287787205</v>
      </c>
      <c r="AG26" s="199">
        <v>0</v>
      </c>
      <c r="AH26" s="188">
        <f t="shared" ref="AH26:AH31" si="84">SUM(AF26:AG26)</f>
        <v>7671021.3287787205</v>
      </c>
      <c r="AI26" s="200">
        <v>2.1940569239608746E-2</v>
      </c>
      <c r="AJ26" s="200">
        <v>3.8016562423016674E-2</v>
      </c>
      <c r="AK26" s="187">
        <v>4786970</v>
      </c>
      <c r="AL26" s="201">
        <f t="shared" ref="AL26:AL31" si="85">+A24</f>
        <v>41760</v>
      </c>
      <c r="AM26" s="187">
        <v>813841.02</v>
      </c>
      <c r="AN26" s="187">
        <v>1479499.19</v>
      </c>
      <c r="AO26" s="202">
        <f t="shared" ref="AO26:AO31" si="86">(AK26+AM26+AN26)-AH26</f>
        <v>-590711.11877872143</v>
      </c>
      <c r="AP26" s="210"/>
      <c r="AQ26" s="228">
        <v>-567068.29</v>
      </c>
      <c r="AR26" s="203">
        <f>+AO26-AQ26</f>
        <v>-23642.828778721392</v>
      </c>
      <c r="AS26" s="203"/>
      <c r="AT26" s="203"/>
      <c r="AU26" s="203"/>
      <c r="AV26" s="203"/>
      <c r="AW26" s="203"/>
      <c r="AX26" s="203"/>
      <c r="AY26" s="203"/>
      <c r="AZ26" s="203"/>
    </row>
    <row r="27" spans="1:52" x14ac:dyDescent="0.2">
      <c r="A27" s="204">
        <v>41852</v>
      </c>
      <c r="B27" s="205">
        <v>41791</v>
      </c>
      <c r="C27" s="200">
        <v>0.10100000000000001</v>
      </c>
      <c r="D27" s="198">
        <v>882323119</v>
      </c>
      <c r="E27" s="198">
        <f t="shared" si="62"/>
        <v>882323119</v>
      </c>
      <c r="F27" s="206">
        <f t="shared" si="63"/>
        <v>0</v>
      </c>
      <c r="G27" s="206">
        <f t="shared" si="64"/>
        <v>0</v>
      </c>
      <c r="H27" s="200">
        <v>0.88370000000000004</v>
      </c>
      <c r="I27" s="207">
        <f t="shared" si="65"/>
        <v>0</v>
      </c>
      <c r="K27" s="204">
        <f t="shared" si="80"/>
        <v>41852</v>
      </c>
      <c r="L27" s="205">
        <f t="shared" si="81"/>
        <v>41791</v>
      </c>
      <c r="M27" s="200">
        <f t="shared" si="68"/>
        <v>0.10100000000000001</v>
      </c>
      <c r="N27" s="200">
        <f t="shared" si="69"/>
        <v>0.1056</v>
      </c>
      <c r="O27" s="200">
        <f t="shared" si="70"/>
        <v>4.599999999999993E-3</v>
      </c>
      <c r="P27" s="208">
        <f t="shared" si="71"/>
        <v>882323119</v>
      </c>
      <c r="Q27" s="206">
        <f t="shared" si="72"/>
        <v>338223.8622833328</v>
      </c>
      <c r="R27" s="196">
        <f t="shared" si="73"/>
        <v>0.88370000000000004</v>
      </c>
      <c r="S27" s="207">
        <f t="shared" si="74"/>
        <v>298888.42709978123</v>
      </c>
      <c r="U27" s="195">
        <f t="shared" si="75"/>
        <v>41791</v>
      </c>
      <c r="V27" s="198">
        <v>882323119</v>
      </c>
      <c r="W27" s="198">
        <f t="shared" si="76"/>
        <v>73526926.583333328</v>
      </c>
      <c r="X27" s="196">
        <f>+'Revised ROR Aug14'!$R$46</f>
        <v>0.1056</v>
      </c>
      <c r="Y27" s="198">
        <v>1563570.84</v>
      </c>
      <c r="Z27" s="198">
        <f t="shared" si="77"/>
        <v>9328014.2872000001</v>
      </c>
      <c r="AA27" s="196">
        <f t="shared" si="78"/>
        <v>0.88370000000000004</v>
      </c>
      <c r="AB27" s="198">
        <f t="shared" si="79"/>
        <v>8243166.2255986407</v>
      </c>
      <c r="AC27" s="197" t="s">
        <v>135</v>
      </c>
      <c r="AE27" s="195">
        <f t="shared" si="82"/>
        <v>41730</v>
      </c>
      <c r="AF27" s="198">
        <f t="shared" si="83"/>
        <v>7708173.37929192</v>
      </c>
      <c r="AG27" s="206">
        <v>0</v>
      </c>
      <c r="AH27" s="198">
        <f t="shared" si="84"/>
        <v>7708173.37929192</v>
      </c>
      <c r="AI27" s="200">
        <v>2.9937217485628581E-2</v>
      </c>
      <c r="AJ27" s="200">
        <v>5.189638675962769E-2</v>
      </c>
      <c r="AK27" s="198">
        <v>3868869</v>
      </c>
      <c r="AL27" s="201">
        <f t="shared" si="85"/>
        <v>41791</v>
      </c>
      <c r="AM27" s="198">
        <v>1355794.8099999991</v>
      </c>
      <c r="AN27" s="198">
        <v>2180162.3999999994</v>
      </c>
      <c r="AO27" s="209">
        <f t="shared" si="86"/>
        <v>-303347.16929192189</v>
      </c>
      <c r="AP27" s="210"/>
      <c r="AQ27" s="198">
        <v>-278678.65000000002</v>
      </c>
      <c r="AR27" s="203">
        <f t="shared" ref="AR27:AR31" si="87">+AO27-AQ27</f>
        <v>-24668.519291921868</v>
      </c>
      <c r="AS27" s="203"/>
      <c r="AT27" s="203"/>
      <c r="AU27" s="203"/>
      <c r="AV27" s="203"/>
      <c r="AW27" s="203"/>
      <c r="AX27" s="203"/>
      <c r="AY27" s="203"/>
      <c r="AZ27" s="203"/>
    </row>
    <row r="28" spans="1:52" x14ac:dyDescent="0.2">
      <c r="A28" s="204">
        <v>41883</v>
      </c>
      <c r="B28" s="205">
        <v>41821</v>
      </c>
      <c r="C28" s="200">
        <v>0.1022</v>
      </c>
      <c r="D28" s="198">
        <v>899691626</v>
      </c>
      <c r="E28" s="198">
        <f t="shared" si="62"/>
        <v>899691626</v>
      </c>
      <c r="F28" s="206">
        <f t="shared" si="63"/>
        <v>0</v>
      </c>
      <c r="G28" s="206">
        <f t="shared" si="64"/>
        <v>0</v>
      </c>
      <c r="H28" s="200">
        <v>0.89219999999999999</v>
      </c>
      <c r="I28" s="207">
        <f t="shared" si="65"/>
        <v>0</v>
      </c>
      <c r="K28" s="204">
        <f t="shared" si="80"/>
        <v>41883</v>
      </c>
      <c r="L28" s="205">
        <f t="shared" si="81"/>
        <v>41821</v>
      </c>
      <c r="M28" s="200">
        <f t="shared" si="68"/>
        <v>0.1022</v>
      </c>
      <c r="N28" s="200">
        <f t="shared" si="69"/>
        <v>0.1056</v>
      </c>
      <c r="O28" s="200">
        <f t="shared" si="70"/>
        <v>3.4000000000000002E-3</v>
      </c>
      <c r="P28" s="208">
        <f t="shared" si="71"/>
        <v>899691626</v>
      </c>
      <c r="Q28" s="206">
        <f t="shared" si="72"/>
        <v>254912.62736666668</v>
      </c>
      <c r="R28" s="196">
        <f t="shared" si="73"/>
        <v>0.89219999999999999</v>
      </c>
      <c r="S28" s="207">
        <f t="shared" si="74"/>
        <v>227433.04613654001</v>
      </c>
      <c r="U28" s="195">
        <f t="shared" si="75"/>
        <v>41821</v>
      </c>
      <c r="V28" s="198">
        <v>899691626</v>
      </c>
      <c r="W28" s="198">
        <f t="shared" si="76"/>
        <v>74974302.166666672</v>
      </c>
      <c r="X28" s="196">
        <f>+'Revised ROR Aug14'!$R$46</f>
        <v>0.1056</v>
      </c>
      <c r="Y28" s="198">
        <v>1907911.76</v>
      </c>
      <c r="Z28" s="198">
        <f t="shared" si="77"/>
        <v>9825198.0688000005</v>
      </c>
      <c r="AA28" s="196">
        <f t="shared" si="78"/>
        <v>0.89219999999999999</v>
      </c>
      <c r="AB28" s="198">
        <f t="shared" si="79"/>
        <v>8766041.7169833612</v>
      </c>
      <c r="AC28" s="197" t="s">
        <v>135</v>
      </c>
      <c r="AE28" s="195">
        <f t="shared" si="82"/>
        <v>41760</v>
      </c>
      <c r="AF28" s="198">
        <f t="shared" si="83"/>
        <v>7920931.4094682792</v>
      </c>
      <c r="AG28" s="206">
        <v>0</v>
      </c>
      <c r="AH28" s="198">
        <f t="shared" si="84"/>
        <v>7920931.4094682792</v>
      </c>
      <c r="AI28" s="200">
        <v>3.3315650732373817E-2</v>
      </c>
      <c r="AJ28" s="200">
        <v>5.7914501519244564E-2</v>
      </c>
      <c r="AK28" s="198">
        <v>3642921</v>
      </c>
      <c r="AL28" s="201">
        <f t="shared" si="85"/>
        <v>41821</v>
      </c>
      <c r="AM28" s="198">
        <v>1697993.8100000005</v>
      </c>
      <c r="AN28" s="198">
        <v>2628531.8100000005</v>
      </c>
      <c r="AO28" s="209">
        <f t="shared" si="86"/>
        <v>48515.210531721823</v>
      </c>
      <c r="AP28" s="210"/>
      <c r="AQ28" s="156">
        <v>73685.58</v>
      </c>
      <c r="AR28" s="203">
        <f t="shared" si="87"/>
        <v>-25170.369468278179</v>
      </c>
      <c r="AS28" s="229"/>
    </row>
    <row r="29" spans="1:52" x14ac:dyDescent="0.2">
      <c r="A29" s="204">
        <v>41913</v>
      </c>
      <c r="B29" s="205">
        <v>41852</v>
      </c>
      <c r="C29" s="200">
        <v>0.1022</v>
      </c>
      <c r="D29" s="198">
        <v>916873351</v>
      </c>
      <c r="E29" s="198">
        <f t="shared" si="62"/>
        <v>916873351</v>
      </c>
      <c r="F29" s="206">
        <f t="shared" si="63"/>
        <v>0</v>
      </c>
      <c r="G29" s="211">
        <f t="shared" si="64"/>
        <v>0</v>
      </c>
      <c r="H29" s="200">
        <v>0.87109999999999999</v>
      </c>
      <c r="I29" s="212">
        <f t="shared" si="65"/>
        <v>0</v>
      </c>
      <c r="K29" s="204">
        <f t="shared" si="80"/>
        <v>41913</v>
      </c>
      <c r="L29" s="205">
        <f t="shared" si="81"/>
        <v>41852</v>
      </c>
      <c r="M29" s="200">
        <f t="shared" si="68"/>
        <v>0.1022</v>
      </c>
      <c r="N29" s="200">
        <f t="shared" si="69"/>
        <v>0.1056</v>
      </c>
      <c r="O29" s="200">
        <f t="shared" si="70"/>
        <v>3.4000000000000002E-3</v>
      </c>
      <c r="P29" s="208">
        <f t="shared" si="71"/>
        <v>916873351</v>
      </c>
      <c r="Q29" s="211">
        <f t="shared" si="72"/>
        <v>259780.78278333336</v>
      </c>
      <c r="R29" s="196">
        <f t="shared" si="73"/>
        <v>0.87109999999999999</v>
      </c>
      <c r="S29" s="212">
        <f t="shared" si="74"/>
        <v>226295.03988256169</v>
      </c>
      <c r="U29" s="195">
        <f t="shared" si="75"/>
        <v>41852</v>
      </c>
      <c r="V29" s="198">
        <v>916873351</v>
      </c>
      <c r="W29" s="198">
        <f t="shared" si="76"/>
        <v>76406112.583333328</v>
      </c>
      <c r="X29" s="196">
        <f>+'Revised ROR Aug14'!$R$46</f>
        <v>0.1056</v>
      </c>
      <c r="Y29" s="198">
        <v>1752753.1800000002</v>
      </c>
      <c r="Z29" s="198">
        <f t="shared" si="77"/>
        <v>9821238.6688000001</v>
      </c>
      <c r="AA29" s="196">
        <f t="shared" si="78"/>
        <v>0.87109999999999999</v>
      </c>
      <c r="AB29" s="198">
        <f t="shared" si="79"/>
        <v>8555281.0043916795</v>
      </c>
      <c r="AC29" s="197" t="s">
        <v>135</v>
      </c>
      <c r="AE29" s="195">
        <f t="shared" si="82"/>
        <v>41791</v>
      </c>
      <c r="AF29" s="198">
        <f t="shared" si="83"/>
        <v>8243166.2255986407</v>
      </c>
      <c r="AG29" s="206">
        <v>0</v>
      </c>
      <c r="AH29" s="198">
        <f t="shared" si="84"/>
        <v>8243166.2255986407</v>
      </c>
      <c r="AI29" s="200">
        <v>3.2078348981901338E-2</v>
      </c>
      <c r="AJ29" s="200">
        <v>5.5874893056072059E-2</v>
      </c>
      <c r="AK29" s="198">
        <v>4071075</v>
      </c>
      <c r="AL29" s="201">
        <f t="shared" si="85"/>
        <v>41852</v>
      </c>
      <c r="AM29" s="198">
        <v>1418374.4200000002</v>
      </c>
      <c r="AN29" s="198">
        <v>2352336.33</v>
      </c>
      <c r="AO29" s="209">
        <f t="shared" si="86"/>
        <v>-401380.47559864074</v>
      </c>
      <c r="AP29" s="210"/>
      <c r="AQ29" s="156">
        <v>-375390.18</v>
      </c>
      <c r="AR29" s="203">
        <f t="shared" si="87"/>
        <v>-25990.295598640747</v>
      </c>
      <c r="AS29" s="229"/>
    </row>
    <row r="30" spans="1:52" x14ac:dyDescent="0.2">
      <c r="A30" s="204"/>
      <c r="B30" s="205"/>
      <c r="C30" s="200"/>
      <c r="D30" s="213"/>
      <c r="E30" s="198"/>
      <c r="F30" s="198"/>
      <c r="G30" s="214">
        <f>SUM(G24:G29)</f>
        <v>0</v>
      </c>
      <c r="H30" s="200"/>
      <c r="I30" s="216">
        <f>SUM(I24:I29)</f>
        <v>0</v>
      </c>
      <c r="K30" s="204"/>
      <c r="L30" s="205"/>
      <c r="M30" s="215"/>
      <c r="N30" s="215"/>
      <c r="O30" s="215"/>
      <c r="P30" s="215"/>
      <c r="Q30" s="214">
        <f>SUM(Q24:Q29)</f>
        <v>1816039.5883333313</v>
      </c>
      <c r="R30" s="215"/>
      <c r="S30" s="216">
        <f>SUM(S24:S29)</f>
        <v>1597656.2547351015</v>
      </c>
      <c r="U30" s="217"/>
      <c r="V30" s="198"/>
      <c r="W30" s="215"/>
      <c r="X30" s="215"/>
      <c r="Y30" s="215"/>
      <c r="Z30" s="215"/>
      <c r="AA30" s="215"/>
      <c r="AB30" s="215"/>
      <c r="AC30" s="197"/>
      <c r="AE30" s="195">
        <f t="shared" si="82"/>
        <v>41821</v>
      </c>
      <c r="AF30" s="198">
        <f t="shared" si="83"/>
        <v>8766041.7169833612</v>
      </c>
      <c r="AG30" s="206">
        <v>-347028</v>
      </c>
      <c r="AH30" s="198">
        <f t="shared" si="84"/>
        <v>8419013.7169833612</v>
      </c>
      <c r="AI30" s="200">
        <v>3.0456855366916197E-2</v>
      </c>
      <c r="AJ30" s="200">
        <v>5.2960268908683779E-2</v>
      </c>
      <c r="AK30" s="198">
        <v>4491538</v>
      </c>
      <c r="AL30" s="201">
        <f t="shared" si="85"/>
        <v>41883</v>
      </c>
      <c r="AM30" s="198">
        <v>1459896.2900000003</v>
      </c>
      <c r="AN30" s="198">
        <v>2415726.5299999998</v>
      </c>
      <c r="AO30" s="209">
        <f t="shared" si="86"/>
        <v>-51852.896983360872</v>
      </c>
      <c r="AP30" s="210"/>
      <c r="AQ30" s="156">
        <v>-25096.07</v>
      </c>
      <c r="AR30" s="203">
        <f t="shared" si="87"/>
        <v>-26756.826983360872</v>
      </c>
      <c r="AS30" s="229"/>
    </row>
    <row r="31" spans="1:52" x14ac:dyDescent="0.2">
      <c r="A31" s="204"/>
      <c r="B31" s="205"/>
      <c r="C31" s="200"/>
      <c r="D31" s="213"/>
      <c r="E31" s="198"/>
      <c r="F31" s="198"/>
      <c r="G31" s="198"/>
      <c r="H31" s="200"/>
      <c r="I31" s="197"/>
      <c r="K31" s="204"/>
      <c r="L31" s="205"/>
      <c r="M31" s="200"/>
      <c r="N31" s="200"/>
      <c r="O31" s="200"/>
      <c r="P31" s="208"/>
      <c r="Q31" s="208"/>
      <c r="R31" s="196"/>
      <c r="S31" s="197"/>
      <c r="U31" s="217"/>
      <c r="V31" s="198"/>
      <c r="W31" s="215"/>
      <c r="X31" s="215"/>
      <c r="Y31" s="215"/>
      <c r="Z31" s="215"/>
      <c r="AA31" s="215"/>
      <c r="AB31" s="215"/>
      <c r="AC31" s="197"/>
      <c r="AE31" s="195">
        <f t="shared" si="82"/>
        <v>41852</v>
      </c>
      <c r="AF31" s="198">
        <f t="shared" si="83"/>
        <v>8555281.0043916795</v>
      </c>
      <c r="AG31" s="206">
        <v>0</v>
      </c>
      <c r="AH31" s="198">
        <f t="shared" si="84"/>
        <v>8555281.0043916795</v>
      </c>
      <c r="AI31" s="200">
        <v>3.5247701290712322E-2</v>
      </c>
      <c r="AJ31" s="200">
        <v>6.1095397851730703E-2</v>
      </c>
      <c r="AK31" s="198">
        <v>4060849</v>
      </c>
      <c r="AL31" s="201">
        <f t="shared" si="85"/>
        <v>41913</v>
      </c>
      <c r="AM31" s="198">
        <v>1267031.3700000003</v>
      </c>
      <c r="AN31" s="198">
        <v>2529826.13</v>
      </c>
      <c r="AO31" s="209">
        <f t="shared" si="86"/>
        <v>-697574.50439167954</v>
      </c>
      <c r="AP31" s="210"/>
      <c r="AQ31" s="156">
        <v>-670951.56000000006</v>
      </c>
      <c r="AR31" s="203">
        <f t="shared" si="87"/>
        <v>-26622.944391679484</v>
      </c>
      <c r="AS31" s="203"/>
      <c r="AT31" s="203"/>
      <c r="AU31" s="203"/>
      <c r="AV31" s="203"/>
      <c r="AW31" s="203"/>
      <c r="AX31" s="203"/>
      <c r="AY31" s="203"/>
      <c r="AZ31" s="203"/>
    </row>
    <row r="32" spans="1:52" x14ac:dyDescent="0.2">
      <c r="A32" s="204">
        <v>41944</v>
      </c>
      <c r="B32" s="205">
        <v>41883</v>
      </c>
      <c r="C32" s="200">
        <v>0.1022</v>
      </c>
      <c r="D32" s="187">
        <v>930776213</v>
      </c>
      <c r="E32" s="188">
        <f t="shared" ref="E32:E34" si="88">V32</f>
        <v>930776213</v>
      </c>
      <c r="F32" s="199">
        <f t="shared" ref="F32:F34" si="89">E32-D32</f>
        <v>0</v>
      </c>
      <c r="G32" s="199">
        <f t="shared" ref="G32:G34" si="90">(C32*F32)/12</f>
        <v>0</v>
      </c>
      <c r="H32" s="200">
        <v>0.89080000000000004</v>
      </c>
      <c r="I32" s="225">
        <f t="shared" ref="I32:I34" si="91">G32*H32</f>
        <v>0</v>
      </c>
      <c r="K32" s="204">
        <f t="shared" ref="K32" si="92">A32</f>
        <v>41944</v>
      </c>
      <c r="L32" s="205">
        <f t="shared" ref="L32" si="93">B32</f>
        <v>41883</v>
      </c>
      <c r="M32" s="200">
        <f t="shared" ref="M32:M34" si="94">C32</f>
        <v>0.1022</v>
      </c>
      <c r="N32" s="200">
        <f t="shared" ref="N32:N34" si="95">+X32</f>
        <v>0.10539999999999999</v>
      </c>
      <c r="O32" s="200">
        <f t="shared" ref="O32:O34" si="96">N32-M32</f>
        <v>3.1999999999999945E-3</v>
      </c>
      <c r="P32" s="188">
        <f t="shared" ref="P32:P34" si="97">V32</f>
        <v>930776213</v>
      </c>
      <c r="Q32" s="226">
        <f t="shared" ref="Q32:Q34" si="98">(O32*P32)/12</f>
        <v>248206.9901333329</v>
      </c>
      <c r="R32" s="196">
        <f t="shared" ref="R32:R34" si="99">H32</f>
        <v>0.89080000000000004</v>
      </c>
      <c r="S32" s="227">
        <f t="shared" ref="S32:S34" si="100">R32*Q32</f>
        <v>221102.78681077296</v>
      </c>
      <c r="U32" s="195">
        <f t="shared" ref="U32:U37" si="101">L32</f>
        <v>41883</v>
      </c>
      <c r="V32" s="187">
        <v>930776213</v>
      </c>
      <c r="W32" s="188">
        <f t="shared" ref="W32:W34" si="102">V32/12</f>
        <v>77564684.416666672</v>
      </c>
      <c r="X32" s="196">
        <f>+'Q1 - KU ROR Feb15'!$R$46</f>
        <v>0.10539999999999999</v>
      </c>
      <c r="Y32" s="187">
        <v>2291014.2400000002</v>
      </c>
      <c r="Z32" s="188">
        <f t="shared" ref="Z32:Z34" si="103">(W32*X32)+Y32</f>
        <v>10466331.977516666</v>
      </c>
      <c r="AA32" s="196">
        <f t="shared" ref="AA32:AA34" si="104">R32</f>
        <v>0.89080000000000004</v>
      </c>
      <c r="AB32" s="188">
        <f t="shared" ref="AB32:AB34" si="105">Z32*AA32</f>
        <v>9323408.5255718473</v>
      </c>
      <c r="AC32" s="197"/>
      <c r="AE32" s="218"/>
      <c r="AF32" s="215"/>
      <c r="AG32" s="215"/>
      <c r="AH32" s="220">
        <f>SUM(AH26:AH31)</f>
        <v>48517587.064512596</v>
      </c>
      <c r="AI32" s="215"/>
      <c r="AJ32" s="215"/>
      <c r="AK32" s="220">
        <f>SUM(AK26:AK31)</f>
        <v>24922222</v>
      </c>
      <c r="AL32" s="215"/>
      <c r="AM32" s="220">
        <f>SUM(AM26:AM31)</f>
        <v>8012931.7199999997</v>
      </c>
      <c r="AN32" s="220">
        <f>SUM(AN26:AN31)</f>
        <v>13586082.390000001</v>
      </c>
      <c r="AO32" s="222">
        <f>SUM(AO26:AO31)</f>
        <v>-1996350.9545126026</v>
      </c>
      <c r="AP32" s="210"/>
      <c r="AQ32" s="222">
        <f>SUM(AQ26:AQ31)</f>
        <v>-1843499.1700000002</v>
      </c>
      <c r="AR32" s="222">
        <f>SUM(AR26:AR31)</f>
        <v>-152851.78451260255</v>
      </c>
      <c r="AS32" s="203"/>
      <c r="AT32" s="203"/>
      <c r="AU32" s="203"/>
      <c r="AV32" s="203"/>
      <c r="AW32" s="203"/>
      <c r="AX32" s="203"/>
      <c r="AY32" s="203"/>
      <c r="AZ32" s="203"/>
    </row>
    <row r="33" spans="1:52" x14ac:dyDescent="0.2">
      <c r="A33" s="204">
        <v>41974</v>
      </c>
      <c r="B33" s="205">
        <v>41913</v>
      </c>
      <c r="C33" s="200">
        <v>0.1022</v>
      </c>
      <c r="D33" s="198">
        <v>945540539</v>
      </c>
      <c r="E33" s="208">
        <f t="shared" si="88"/>
        <v>945540539</v>
      </c>
      <c r="F33" s="206">
        <f t="shared" si="89"/>
        <v>0</v>
      </c>
      <c r="G33" s="206">
        <f t="shared" si="90"/>
        <v>0</v>
      </c>
      <c r="H33" s="200">
        <v>0.88090000000000002</v>
      </c>
      <c r="I33" s="207">
        <f t="shared" si="91"/>
        <v>0</v>
      </c>
      <c r="K33" s="204">
        <f t="shared" ref="K33:K37" si="106">A33</f>
        <v>41974</v>
      </c>
      <c r="L33" s="205">
        <f t="shared" ref="L33:L37" si="107">B33</f>
        <v>41913</v>
      </c>
      <c r="M33" s="200">
        <f t="shared" si="94"/>
        <v>0.1022</v>
      </c>
      <c r="N33" s="200">
        <f t="shared" si="95"/>
        <v>0.10539999999999999</v>
      </c>
      <c r="O33" s="200">
        <f t="shared" si="96"/>
        <v>3.1999999999999945E-3</v>
      </c>
      <c r="P33" s="208">
        <f t="shared" si="97"/>
        <v>945540539</v>
      </c>
      <c r="Q33" s="206">
        <f t="shared" si="98"/>
        <v>252144.14373333289</v>
      </c>
      <c r="R33" s="196">
        <f t="shared" si="99"/>
        <v>0.88090000000000002</v>
      </c>
      <c r="S33" s="207">
        <f t="shared" si="100"/>
        <v>222113.77621469295</v>
      </c>
      <c r="U33" s="195">
        <f t="shared" si="101"/>
        <v>41913</v>
      </c>
      <c r="V33" s="198">
        <v>945540539</v>
      </c>
      <c r="W33" s="198">
        <f t="shared" si="102"/>
        <v>78795044.916666672</v>
      </c>
      <c r="X33" s="196">
        <f>+'Q1 - KU ROR Feb15'!$R$46</f>
        <v>0.10539999999999999</v>
      </c>
      <c r="Y33" s="198">
        <v>2333020.1600000001</v>
      </c>
      <c r="Z33" s="198">
        <f t="shared" si="103"/>
        <v>10638017.894216668</v>
      </c>
      <c r="AA33" s="196">
        <f t="shared" si="104"/>
        <v>0.88090000000000002</v>
      </c>
      <c r="AB33" s="198">
        <f t="shared" si="105"/>
        <v>9371029.9630154632</v>
      </c>
      <c r="AC33" s="197"/>
      <c r="AE33" s="218"/>
      <c r="AF33" s="215"/>
      <c r="AG33" s="215"/>
      <c r="AH33" s="230"/>
      <c r="AI33" s="230"/>
      <c r="AJ33" s="230"/>
      <c r="AK33" s="230"/>
      <c r="AL33" s="230"/>
      <c r="AM33" s="230"/>
      <c r="AN33" s="130" t="s">
        <v>157</v>
      </c>
      <c r="AO33" s="231">
        <v>-1843499.1650158698</v>
      </c>
      <c r="AP33" s="210"/>
      <c r="AQ33" s="198"/>
      <c r="AR33" s="203"/>
      <c r="AS33" s="203"/>
      <c r="AT33" s="203"/>
      <c r="AU33" s="203"/>
      <c r="AV33" s="203"/>
      <c r="AW33" s="203"/>
      <c r="AX33" s="203"/>
      <c r="AY33" s="203"/>
      <c r="AZ33" s="203"/>
    </row>
    <row r="34" spans="1:52" x14ac:dyDescent="0.2">
      <c r="A34" s="204">
        <v>42005</v>
      </c>
      <c r="B34" s="205">
        <v>41944</v>
      </c>
      <c r="C34" s="200">
        <v>0.1022</v>
      </c>
      <c r="D34" s="198">
        <v>955837140</v>
      </c>
      <c r="E34" s="198">
        <f t="shared" si="88"/>
        <v>955837140</v>
      </c>
      <c r="F34" s="206">
        <f t="shared" si="89"/>
        <v>0</v>
      </c>
      <c r="G34" s="206">
        <f t="shared" si="90"/>
        <v>0</v>
      </c>
      <c r="H34" s="200">
        <v>0.87760000000000005</v>
      </c>
      <c r="I34" s="207">
        <f t="shared" si="91"/>
        <v>0</v>
      </c>
      <c r="K34" s="204">
        <f t="shared" si="106"/>
        <v>42005</v>
      </c>
      <c r="L34" s="205">
        <f t="shared" si="107"/>
        <v>41944</v>
      </c>
      <c r="M34" s="200">
        <f t="shared" si="94"/>
        <v>0.1022</v>
      </c>
      <c r="N34" s="200">
        <f t="shared" si="95"/>
        <v>0.10539999999999999</v>
      </c>
      <c r="O34" s="200">
        <f t="shared" si="96"/>
        <v>3.1999999999999945E-3</v>
      </c>
      <c r="P34" s="208">
        <f t="shared" si="97"/>
        <v>955837140</v>
      </c>
      <c r="Q34" s="206">
        <f t="shared" si="98"/>
        <v>254889.90399999954</v>
      </c>
      <c r="R34" s="196">
        <f t="shared" si="99"/>
        <v>0.87760000000000005</v>
      </c>
      <c r="S34" s="207">
        <f t="shared" si="100"/>
        <v>223691.37975039962</v>
      </c>
      <c r="U34" s="195">
        <f t="shared" si="101"/>
        <v>41944</v>
      </c>
      <c r="V34" s="198">
        <v>955837140</v>
      </c>
      <c r="W34" s="198">
        <f t="shared" si="102"/>
        <v>79653095</v>
      </c>
      <c r="X34" s="196">
        <f>+'Q1 - KU ROR Feb15'!$R$46</f>
        <v>0.10539999999999999</v>
      </c>
      <c r="Y34" s="198">
        <v>2266796.12</v>
      </c>
      <c r="Z34" s="198">
        <f t="shared" si="103"/>
        <v>10662232.333000001</v>
      </c>
      <c r="AA34" s="196">
        <f t="shared" si="104"/>
        <v>0.87760000000000005</v>
      </c>
      <c r="AB34" s="198">
        <f t="shared" si="105"/>
        <v>9357175.0954408012</v>
      </c>
      <c r="AC34" s="197"/>
      <c r="AE34" s="218"/>
      <c r="AF34" s="215"/>
      <c r="AG34" s="215"/>
      <c r="AH34" s="230"/>
      <c r="AI34" s="230"/>
      <c r="AJ34" s="230"/>
      <c r="AK34" s="230"/>
      <c r="AL34" s="230"/>
      <c r="AM34" s="230"/>
      <c r="AN34" s="230"/>
      <c r="AO34" s="233">
        <f>+AO32-AO33</f>
        <v>-152851.78949673288</v>
      </c>
      <c r="AP34" s="210"/>
      <c r="AR34" s="203"/>
      <c r="AS34" s="203"/>
      <c r="AT34" s="203"/>
      <c r="AU34" s="203"/>
      <c r="AV34" s="203"/>
      <c r="AW34" s="203"/>
      <c r="AX34" s="203"/>
      <c r="AY34" s="203"/>
      <c r="AZ34" s="203"/>
    </row>
    <row r="35" spans="1:52" x14ac:dyDescent="0.2">
      <c r="A35" s="204">
        <v>42036</v>
      </c>
      <c r="B35" s="205">
        <v>41974</v>
      </c>
      <c r="C35" s="200">
        <v>0.1022</v>
      </c>
      <c r="D35" s="198">
        <v>951842719</v>
      </c>
      <c r="E35" s="198">
        <f t="shared" ref="E35:E37" si="108">V35</f>
        <v>951842719</v>
      </c>
      <c r="F35" s="206">
        <f t="shared" ref="F35:F37" si="109">E35-D35</f>
        <v>0</v>
      </c>
      <c r="G35" s="206">
        <f t="shared" ref="G35:G37" si="110">(C35*F35)/12</f>
        <v>0</v>
      </c>
      <c r="H35" s="200">
        <v>0.88070000000000004</v>
      </c>
      <c r="I35" s="207">
        <f t="shared" ref="I35:I37" si="111">G35*H35</f>
        <v>0</v>
      </c>
      <c r="K35" s="204">
        <f t="shared" si="106"/>
        <v>42036</v>
      </c>
      <c r="L35" s="205">
        <f t="shared" si="107"/>
        <v>41974</v>
      </c>
      <c r="M35" s="200">
        <f t="shared" ref="M35:M37" si="112">C35</f>
        <v>0.1022</v>
      </c>
      <c r="N35" s="200">
        <f t="shared" ref="N35:N37" si="113">+X35</f>
        <v>0.10539999999999999</v>
      </c>
      <c r="O35" s="200">
        <f t="shared" ref="O35:O37" si="114">N35-M35</f>
        <v>3.1999999999999945E-3</v>
      </c>
      <c r="P35" s="208">
        <f t="shared" ref="P35:P37" si="115">V35</f>
        <v>951842719</v>
      </c>
      <c r="Q35" s="206">
        <f t="shared" ref="Q35:Q37" si="116">(O35*P35)/12</f>
        <v>253824.72506666623</v>
      </c>
      <c r="R35" s="196">
        <f t="shared" ref="R35:R37" si="117">H35</f>
        <v>0.88070000000000004</v>
      </c>
      <c r="S35" s="207">
        <f t="shared" ref="S35:S37" si="118">R35*Q35</f>
        <v>223543.43536621297</v>
      </c>
      <c r="U35" s="195">
        <f t="shared" si="101"/>
        <v>41974</v>
      </c>
      <c r="V35" s="198">
        <v>951842719</v>
      </c>
      <c r="W35" s="198">
        <f t="shared" ref="W35:W37" si="119">V35/12</f>
        <v>79320226.583333328</v>
      </c>
      <c r="X35" s="196">
        <f>+'Q1 - KU ROR Feb15'!$R$46</f>
        <v>0.10539999999999999</v>
      </c>
      <c r="Y35" s="198">
        <v>2706830.11</v>
      </c>
      <c r="Z35" s="198">
        <f t="shared" ref="Z35" si="120">(W35*X35)+Y35</f>
        <v>11067181.991883332</v>
      </c>
      <c r="AA35" s="196">
        <f t="shared" ref="AA35" si="121">R35</f>
        <v>0.88070000000000004</v>
      </c>
      <c r="AB35" s="198">
        <f t="shared" ref="AB35" si="122">Z35*AA35</f>
        <v>9746867.1802516505</v>
      </c>
      <c r="AC35" s="197"/>
      <c r="AE35" s="218"/>
      <c r="AF35" s="219"/>
      <c r="AG35" s="219"/>
      <c r="AH35" s="219"/>
      <c r="AI35" s="219"/>
      <c r="AJ35" s="219"/>
      <c r="AK35" s="219"/>
      <c r="AL35" s="219"/>
      <c r="AM35" s="219"/>
      <c r="AN35" s="219"/>
      <c r="AO35" s="224"/>
      <c r="AP35" s="210"/>
      <c r="AQ35" s="223"/>
      <c r="AR35" s="203"/>
      <c r="AS35" s="203"/>
      <c r="AT35" s="203"/>
      <c r="AU35" s="203"/>
      <c r="AV35" s="203"/>
      <c r="AW35" s="203"/>
      <c r="AX35" s="203"/>
      <c r="AY35" s="203"/>
      <c r="AZ35" s="203"/>
    </row>
    <row r="36" spans="1:52" x14ac:dyDescent="0.2">
      <c r="A36" s="204">
        <v>42064</v>
      </c>
      <c r="B36" s="205">
        <v>42005</v>
      </c>
      <c r="C36" s="200">
        <v>0.1022</v>
      </c>
      <c r="D36" s="198">
        <v>969125037</v>
      </c>
      <c r="E36" s="198">
        <f t="shared" si="108"/>
        <v>969125037</v>
      </c>
      <c r="F36" s="206">
        <f t="shared" si="109"/>
        <v>0</v>
      </c>
      <c r="G36" s="206">
        <f t="shared" si="110"/>
        <v>0</v>
      </c>
      <c r="H36" s="200">
        <v>0.87429999999999997</v>
      </c>
      <c r="I36" s="207">
        <f t="shared" si="111"/>
        <v>0</v>
      </c>
      <c r="K36" s="204">
        <f t="shared" si="106"/>
        <v>42064</v>
      </c>
      <c r="L36" s="205">
        <f t="shared" si="107"/>
        <v>42005</v>
      </c>
      <c r="M36" s="200">
        <f t="shared" si="112"/>
        <v>0.1022</v>
      </c>
      <c r="N36" s="200">
        <f t="shared" si="113"/>
        <v>0.10539999999999999</v>
      </c>
      <c r="O36" s="200">
        <f t="shared" si="114"/>
        <v>3.1999999999999945E-3</v>
      </c>
      <c r="P36" s="208">
        <f t="shared" si="115"/>
        <v>969125037</v>
      </c>
      <c r="Q36" s="206">
        <f t="shared" si="116"/>
        <v>258433.34319999957</v>
      </c>
      <c r="R36" s="196">
        <f t="shared" si="117"/>
        <v>0.87429999999999997</v>
      </c>
      <c r="S36" s="207">
        <f t="shared" si="118"/>
        <v>225948.27195975962</v>
      </c>
      <c r="U36" s="195">
        <f t="shared" si="101"/>
        <v>42005</v>
      </c>
      <c r="V36" s="198">
        <v>969125037</v>
      </c>
      <c r="W36" s="198">
        <f t="shared" si="119"/>
        <v>80760419.75</v>
      </c>
      <c r="X36" s="196">
        <f>+'Q1 - KU ROR Feb15'!$R$46</f>
        <v>0.10539999999999999</v>
      </c>
      <c r="Y36" s="198">
        <v>3177492.52</v>
      </c>
      <c r="Z36" s="198">
        <f t="shared" ref="Z36:Z37" si="123">(W36*X36)+Y36</f>
        <v>11689640.76165</v>
      </c>
      <c r="AA36" s="196">
        <f t="shared" ref="AA36:AA37" si="124">R36</f>
        <v>0.87429999999999997</v>
      </c>
      <c r="AB36" s="198">
        <f t="shared" ref="AB36:AB37" si="125">Z36*AA36</f>
        <v>10220252.917910594</v>
      </c>
      <c r="AC36" s="197"/>
      <c r="AE36" s="195">
        <f t="shared" ref="AE36:AE41" si="126">U32</f>
        <v>41883</v>
      </c>
      <c r="AF36" s="198">
        <f t="shared" ref="AF36:AF41" si="127">AB32</f>
        <v>9323408.5255718473</v>
      </c>
      <c r="AG36" s="199">
        <v>0</v>
      </c>
      <c r="AH36" s="188">
        <f t="shared" ref="AH36:AH41" si="128">SUM(AF36:AG36)</f>
        <v>9323408.5255718473</v>
      </c>
      <c r="AI36" s="200">
        <v>3.8868143200140003E-2</v>
      </c>
      <c r="AJ36" s="200">
        <v>6.7328065375860044E-2</v>
      </c>
      <c r="AK36" s="187">
        <v>4377643.29</v>
      </c>
      <c r="AL36" s="201">
        <f>+A32</f>
        <v>41944</v>
      </c>
      <c r="AM36" s="187">
        <v>1562853.4000000004</v>
      </c>
      <c r="AN36" s="187">
        <v>2232593.8199999998</v>
      </c>
      <c r="AO36" s="202">
        <f>(AK36+AM36+AN36)-AH36+0.5</f>
        <v>-1150317.5155718476</v>
      </c>
      <c r="AP36" s="210"/>
      <c r="AR36" s="229"/>
      <c r="AS36" s="229"/>
    </row>
    <row r="37" spans="1:52" x14ac:dyDescent="0.2">
      <c r="A37" s="204">
        <v>42095</v>
      </c>
      <c r="B37" s="205">
        <v>42036</v>
      </c>
      <c r="C37" s="200">
        <v>0.1022</v>
      </c>
      <c r="D37" s="198">
        <v>990499868</v>
      </c>
      <c r="E37" s="198">
        <f t="shared" si="108"/>
        <v>990499868</v>
      </c>
      <c r="F37" s="206">
        <f t="shared" si="109"/>
        <v>0</v>
      </c>
      <c r="G37" s="211">
        <f t="shared" si="110"/>
        <v>0</v>
      </c>
      <c r="H37" s="200">
        <v>0.86329999999999996</v>
      </c>
      <c r="I37" s="212">
        <f t="shared" si="111"/>
        <v>0</v>
      </c>
      <c r="K37" s="204">
        <f t="shared" si="106"/>
        <v>42095</v>
      </c>
      <c r="L37" s="205">
        <f t="shared" si="107"/>
        <v>42036</v>
      </c>
      <c r="M37" s="200">
        <f t="shared" si="112"/>
        <v>0.1022</v>
      </c>
      <c r="N37" s="200">
        <f t="shared" si="113"/>
        <v>0.10539999999999999</v>
      </c>
      <c r="O37" s="200">
        <f t="shared" si="114"/>
        <v>3.1999999999999945E-3</v>
      </c>
      <c r="P37" s="208">
        <f t="shared" si="115"/>
        <v>990499868</v>
      </c>
      <c r="Q37" s="211">
        <f t="shared" si="116"/>
        <v>264133.29813333286</v>
      </c>
      <c r="R37" s="196">
        <f t="shared" si="117"/>
        <v>0.86329999999999996</v>
      </c>
      <c r="S37" s="212">
        <f t="shared" si="118"/>
        <v>228026.27627850624</v>
      </c>
      <c r="U37" s="195">
        <f t="shared" si="101"/>
        <v>42036</v>
      </c>
      <c r="V37" s="198">
        <v>990499868</v>
      </c>
      <c r="W37" s="198">
        <f t="shared" si="119"/>
        <v>82541655.666666672</v>
      </c>
      <c r="X37" s="196">
        <f>+'Q1 - KU ROR Feb15'!$R$46</f>
        <v>0.10539999999999999</v>
      </c>
      <c r="Y37" s="198">
        <v>2838329.75</v>
      </c>
      <c r="Z37" s="198">
        <f t="shared" si="123"/>
        <v>11538220.257266667</v>
      </c>
      <c r="AA37" s="196">
        <f t="shared" si="124"/>
        <v>0.86329999999999996</v>
      </c>
      <c r="AB37" s="198">
        <f t="shared" si="125"/>
        <v>9960945.5480983127</v>
      </c>
      <c r="AC37" s="197"/>
      <c r="AE37" s="195">
        <f t="shared" si="126"/>
        <v>41913</v>
      </c>
      <c r="AF37" s="198">
        <f t="shared" si="127"/>
        <v>9371029.9630154632</v>
      </c>
      <c r="AG37" s="206">
        <v>0</v>
      </c>
      <c r="AH37" s="198">
        <f t="shared" si="128"/>
        <v>9371029.9630154632</v>
      </c>
      <c r="AI37" s="200">
        <v>4.3949161445060385E-2</v>
      </c>
      <c r="AJ37" s="200">
        <v>7.6177878164118237E-2</v>
      </c>
      <c r="AK37" s="198">
        <v>3786932.33</v>
      </c>
      <c r="AL37" s="201">
        <f>+A33</f>
        <v>41974</v>
      </c>
      <c r="AM37" s="198">
        <v>2488537.3600000013</v>
      </c>
      <c r="AN37" s="198">
        <v>3181589.2500000009</v>
      </c>
      <c r="AO37" s="209">
        <f>(AK37+AM37+AN37)-AH37+0.15</f>
        <v>86029.126984538132</v>
      </c>
      <c r="AP37" s="210"/>
      <c r="AR37" s="229"/>
      <c r="AS37" s="229"/>
    </row>
    <row r="38" spans="1:52" x14ac:dyDescent="0.2">
      <c r="A38" s="204"/>
      <c r="B38" s="205"/>
      <c r="C38" s="200"/>
      <c r="D38" s="213"/>
      <c r="E38" s="198"/>
      <c r="F38" s="198"/>
      <c r="G38" s="214">
        <f>SUM(G32:G37)</f>
        <v>0</v>
      </c>
      <c r="H38" s="200"/>
      <c r="I38" s="216">
        <f>SUM(I32:I37)</f>
        <v>0</v>
      </c>
      <c r="K38" s="204"/>
      <c r="L38" s="205"/>
      <c r="M38" s="215"/>
      <c r="N38" s="215"/>
      <c r="O38" s="215"/>
      <c r="P38" s="215"/>
      <c r="Q38" s="214">
        <f>SUM(Q32:Q37)</f>
        <v>1531632.4042666638</v>
      </c>
      <c r="R38" s="215"/>
      <c r="S38" s="216">
        <f>SUM(S32:S37)</f>
        <v>1344425.9263803444</v>
      </c>
      <c r="U38" s="217"/>
      <c r="V38" s="198"/>
      <c r="W38" s="215"/>
      <c r="X38" s="215"/>
      <c r="Y38" s="215"/>
      <c r="Z38" s="215"/>
      <c r="AA38" s="215"/>
      <c r="AB38" s="215"/>
      <c r="AC38" s="197"/>
      <c r="AE38" s="195">
        <f t="shared" si="126"/>
        <v>41944</v>
      </c>
      <c r="AF38" s="198">
        <f t="shared" si="127"/>
        <v>9357175.0954408012</v>
      </c>
      <c r="AG38" s="206">
        <v>0</v>
      </c>
      <c r="AH38" s="198">
        <f t="shared" si="128"/>
        <v>9357175.0954408012</v>
      </c>
      <c r="AI38" s="200">
        <v>4.6532923636532303E-2</v>
      </c>
      <c r="AJ38" s="200">
        <v>8.0410081971228731E-2</v>
      </c>
      <c r="AK38" s="198">
        <v>3467078.74</v>
      </c>
      <c r="AL38" s="201">
        <f t="shared" ref="AL38:AL41" si="129">+A34</f>
        <v>42005</v>
      </c>
      <c r="AM38" s="198">
        <v>3133635.2499999995</v>
      </c>
      <c r="AN38" s="198">
        <v>3454923.7899999996</v>
      </c>
      <c r="AO38" s="209">
        <f t="shared" ref="AO38:AO41" si="130">(AK38+AM38+AN38)-AH38</f>
        <v>698462.6845591981</v>
      </c>
      <c r="AP38" s="210"/>
      <c r="AR38" s="229"/>
      <c r="AS38" s="229"/>
    </row>
    <row r="39" spans="1:52" ht="13.5" thickBot="1" x14ac:dyDescent="0.25">
      <c r="A39" s="234"/>
      <c r="B39" s="235"/>
      <c r="C39" s="235"/>
      <c r="D39" s="235"/>
      <c r="E39" s="235"/>
      <c r="F39" s="235"/>
      <c r="G39" s="235"/>
      <c r="H39" s="235"/>
      <c r="I39" s="236"/>
      <c r="K39" s="234"/>
      <c r="L39" s="235"/>
      <c r="M39" s="235"/>
      <c r="N39" s="235"/>
      <c r="O39" s="235"/>
      <c r="P39" s="235"/>
      <c r="Q39" s="235"/>
      <c r="R39" s="235"/>
      <c r="S39" s="236"/>
      <c r="U39" s="234"/>
      <c r="V39" s="235"/>
      <c r="W39" s="235"/>
      <c r="X39" s="237"/>
      <c r="Y39" s="238"/>
      <c r="Z39" s="235"/>
      <c r="AA39" s="235"/>
      <c r="AB39" s="235"/>
      <c r="AC39" s="236"/>
      <c r="AE39" s="195">
        <f t="shared" si="126"/>
        <v>41974</v>
      </c>
      <c r="AF39" s="198">
        <f t="shared" si="127"/>
        <v>9746867.1802516505</v>
      </c>
      <c r="AG39" s="206">
        <v>0</v>
      </c>
      <c r="AH39" s="198">
        <f t="shared" si="128"/>
        <v>9746867.1802516505</v>
      </c>
      <c r="AI39" s="200">
        <v>3.915217079923175E-2</v>
      </c>
      <c r="AJ39" s="200">
        <v>6.7618752932065498E-2</v>
      </c>
      <c r="AK39" s="198">
        <v>4716163.9499999993</v>
      </c>
      <c r="AL39" s="201">
        <f t="shared" si="129"/>
        <v>42036</v>
      </c>
      <c r="AM39" s="198">
        <v>2766523.9099999997</v>
      </c>
      <c r="AN39" s="198">
        <v>2620604.0999999996</v>
      </c>
      <c r="AO39" s="209">
        <f t="shared" si="130"/>
        <v>356424.77974834852</v>
      </c>
      <c r="AP39" s="210"/>
      <c r="AQ39" s="232"/>
    </row>
    <row r="40" spans="1:52" x14ac:dyDescent="0.2">
      <c r="U40" s="239"/>
      <c r="W40" s="215"/>
      <c r="X40" s="240"/>
      <c r="Y40" s="198"/>
      <c r="Z40" s="198"/>
      <c r="AE40" s="195">
        <f t="shared" si="126"/>
        <v>42005</v>
      </c>
      <c r="AF40" s="198">
        <f t="shared" si="127"/>
        <v>10220252.917910594</v>
      </c>
      <c r="AG40" s="206">
        <v>0</v>
      </c>
      <c r="AH40" s="198">
        <f t="shared" si="128"/>
        <v>10220252.917910594</v>
      </c>
      <c r="AI40" s="200">
        <v>3.9778489795119457E-2</v>
      </c>
      <c r="AJ40" s="200">
        <v>6.9053932198284651E-2</v>
      </c>
      <c r="AK40" s="198">
        <v>5099581.6100000003</v>
      </c>
      <c r="AL40" s="201">
        <f t="shared" si="129"/>
        <v>42064</v>
      </c>
      <c r="AM40" s="198">
        <v>2610454.6400000015</v>
      </c>
      <c r="AN40" s="198">
        <v>3113349.07</v>
      </c>
      <c r="AO40" s="209">
        <f t="shared" si="130"/>
        <v>603132.40208940767</v>
      </c>
      <c r="AP40" s="210"/>
      <c r="AQ40" s="232"/>
    </row>
    <row r="41" spans="1:52" x14ac:dyDescent="0.2">
      <c r="A41" s="239"/>
      <c r="W41" s="241"/>
      <c r="X41" s="240"/>
      <c r="Y41" s="198"/>
      <c r="Z41" s="198"/>
      <c r="AB41" s="210"/>
      <c r="AE41" s="195">
        <f t="shared" si="126"/>
        <v>42036</v>
      </c>
      <c r="AF41" s="198">
        <f t="shared" si="127"/>
        <v>9960945.5480983127</v>
      </c>
      <c r="AG41" s="206">
        <v>0</v>
      </c>
      <c r="AH41" s="198">
        <f t="shared" si="128"/>
        <v>9960945.5480983127</v>
      </c>
      <c r="AI41" s="200">
        <v>3.9547469397051331E-2</v>
      </c>
      <c r="AJ41" s="200">
        <v>6.8648606387249247E-2</v>
      </c>
      <c r="AK41" s="198">
        <v>4878988.33</v>
      </c>
      <c r="AL41" s="201">
        <f t="shared" si="129"/>
        <v>42095</v>
      </c>
      <c r="AM41" s="198">
        <v>1564355.7299999995</v>
      </c>
      <c r="AN41" s="198">
        <v>2642048.59</v>
      </c>
      <c r="AO41" s="209">
        <f t="shared" si="130"/>
        <v>-875552.89809831418</v>
      </c>
      <c r="AQ41" s="232"/>
    </row>
    <row r="42" spans="1:52" x14ac:dyDescent="0.2">
      <c r="V42" s="239"/>
      <c r="W42" s="242"/>
      <c r="X42" s="240"/>
      <c r="Y42" s="198"/>
      <c r="Z42" s="198"/>
      <c r="AB42" s="210"/>
      <c r="AE42" s="218"/>
      <c r="AF42" s="219"/>
      <c r="AG42" s="219"/>
      <c r="AH42" s="220">
        <f>SUM(AH36:AH41)</f>
        <v>57979679.230288669</v>
      </c>
      <c r="AI42" s="219"/>
      <c r="AJ42" s="221"/>
      <c r="AK42" s="220">
        <f>SUM(AK36:AK41)</f>
        <v>26326388.25</v>
      </c>
      <c r="AL42" s="219"/>
      <c r="AM42" s="220">
        <f>SUM(AM36:AM41)</f>
        <v>14126360.290000003</v>
      </c>
      <c r="AN42" s="220">
        <f>SUM(AN36:AN41)</f>
        <v>17245108.619999997</v>
      </c>
      <c r="AO42" s="222">
        <f>SUM(AO36:AO41)</f>
        <v>-281821.42028866941</v>
      </c>
      <c r="AQ42" s="232"/>
    </row>
    <row r="43" spans="1:52" x14ac:dyDescent="0.2">
      <c r="Q43" s="243"/>
      <c r="S43" s="188"/>
      <c r="V43" s="239"/>
      <c r="W43" s="242"/>
      <c r="X43" s="240"/>
      <c r="Y43" s="198"/>
      <c r="Z43" s="198"/>
      <c r="AB43" s="210"/>
      <c r="AE43" s="218"/>
      <c r="AF43" s="219"/>
      <c r="AG43" s="219"/>
      <c r="AH43" s="219"/>
      <c r="AI43" s="219"/>
      <c r="AJ43" s="219"/>
      <c r="AK43" s="219"/>
      <c r="AL43" s="219"/>
      <c r="AM43" s="219"/>
      <c r="AN43" s="219"/>
      <c r="AO43" s="224"/>
    </row>
    <row r="44" spans="1:52" x14ac:dyDescent="0.2">
      <c r="B44" s="244"/>
      <c r="L44" s="244"/>
      <c r="S44" s="198"/>
      <c r="V44" s="245"/>
      <c r="W44" s="198"/>
      <c r="X44" s="210"/>
      <c r="Y44" s="198"/>
      <c r="Z44" s="210"/>
      <c r="AB44" s="210"/>
      <c r="AE44" s="218"/>
      <c r="AF44" s="219"/>
      <c r="AG44" s="219"/>
      <c r="AH44" s="219"/>
      <c r="AI44" s="219"/>
      <c r="AJ44" s="219"/>
      <c r="AK44" s="219"/>
      <c r="AL44" s="219"/>
      <c r="AM44" s="219"/>
      <c r="AN44" s="219"/>
      <c r="AO44" s="224"/>
    </row>
    <row r="45" spans="1:52" x14ac:dyDescent="0.2">
      <c r="B45" s="244"/>
      <c r="L45" s="244"/>
      <c r="S45" s="198"/>
      <c r="V45" s="245"/>
      <c r="W45" s="198"/>
      <c r="X45" s="210"/>
      <c r="Y45" s="198"/>
      <c r="Z45" s="210"/>
      <c r="AB45" s="210"/>
      <c r="AE45" s="246" t="s">
        <v>62</v>
      </c>
      <c r="AF45" s="247"/>
      <c r="AG45" s="247"/>
      <c r="AH45" s="188">
        <f>AH14+AH22+AH32+AH42</f>
        <v>175643024.32396477</v>
      </c>
      <c r="AI45" s="247"/>
      <c r="AJ45" s="247"/>
      <c r="AK45" s="188">
        <f>AK14+AK22+AK32+AK42</f>
        <v>66029713.25</v>
      </c>
      <c r="AL45" s="247"/>
      <c r="AM45" s="188">
        <f>AM14+AM22+AM32+AM42</f>
        <v>46371178.019999996</v>
      </c>
      <c r="AN45" s="188">
        <f>AN14+AN22+AN32+AN42</f>
        <v>64365818.479999997</v>
      </c>
      <c r="AO45" s="248">
        <f>AO14+AO22+AO32+AO42</f>
        <v>1123686.0760352178</v>
      </c>
    </row>
    <row r="46" spans="1:52" x14ac:dyDescent="0.2">
      <c r="S46" s="198"/>
      <c r="V46" s="245"/>
      <c r="W46" s="198"/>
      <c r="X46" s="210"/>
      <c r="Y46" s="198"/>
      <c r="Z46" s="210"/>
      <c r="AE46" s="249" t="s">
        <v>63</v>
      </c>
      <c r="AF46" s="247"/>
      <c r="AG46" s="247"/>
      <c r="AH46" s="215"/>
      <c r="AI46" s="247"/>
      <c r="AJ46" s="247"/>
      <c r="AK46" s="215"/>
      <c r="AL46" s="247"/>
      <c r="AM46" s="215"/>
      <c r="AN46" s="215"/>
      <c r="AO46" s="197"/>
    </row>
    <row r="47" spans="1:52" x14ac:dyDescent="0.2">
      <c r="S47" s="198"/>
      <c r="V47" s="250"/>
      <c r="W47" s="250"/>
      <c r="X47" s="215"/>
      <c r="Y47" s="201"/>
      <c r="Z47" s="251"/>
      <c r="AA47" s="251"/>
      <c r="AB47" s="215"/>
      <c r="AC47" s="215"/>
      <c r="AE47" s="246"/>
      <c r="AF47" s="252" t="s">
        <v>65</v>
      </c>
      <c r="AG47" s="247" t="s">
        <v>68</v>
      </c>
      <c r="AH47" s="198">
        <f>+AH14</f>
        <v>30322545.838183582</v>
      </c>
      <c r="AI47" s="247"/>
      <c r="AJ47" s="247"/>
      <c r="AK47" s="198">
        <f>+AK14</f>
        <v>2460647</v>
      </c>
      <c r="AL47" s="247"/>
      <c r="AM47" s="198">
        <f>+AM14</f>
        <v>10600738.59</v>
      </c>
      <c r="AN47" s="198">
        <f>+AN14</f>
        <v>17608188.420000002</v>
      </c>
      <c r="AO47" s="253">
        <f>+AO14</f>
        <v>347028.17181641422</v>
      </c>
    </row>
    <row r="48" spans="1:52" x14ac:dyDescent="0.2">
      <c r="S48" s="198"/>
      <c r="X48" s="215"/>
      <c r="Y48" s="201"/>
      <c r="Z48" s="251"/>
      <c r="AA48" s="251"/>
      <c r="AB48" s="215"/>
      <c r="AC48" s="215"/>
      <c r="AE48" s="246"/>
      <c r="AF48" s="252" t="s">
        <v>65</v>
      </c>
      <c r="AG48" s="247" t="s">
        <v>66</v>
      </c>
      <c r="AH48" s="198">
        <f>+AH22</f>
        <v>38823212.19097992</v>
      </c>
      <c r="AI48" s="247"/>
      <c r="AJ48" s="247"/>
      <c r="AK48" s="198">
        <f>+AK22</f>
        <v>12320456</v>
      </c>
      <c r="AL48" s="247"/>
      <c r="AM48" s="198">
        <f>+AM22</f>
        <v>13631147.42</v>
      </c>
      <c r="AN48" s="198">
        <f>+AN22</f>
        <v>15926439.050000001</v>
      </c>
      <c r="AO48" s="253">
        <f>+AO22</f>
        <v>3054830.2790200757</v>
      </c>
    </row>
    <row r="49" spans="1:41" x14ac:dyDescent="0.2">
      <c r="S49" s="198"/>
      <c r="U49" s="254"/>
      <c r="W49" s="250"/>
      <c r="X49" s="255"/>
      <c r="Y49" s="187"/>
      <c r="Z49" s="256"/>
      <c r="AA49" s="208"/>
      <c r="AB49" s="215"/>
      <c r="AC49" s="215"/>
      <c r="AE49" s="246"/>
      <c r="AF49" s="252" t="s">
        <v>65</v>
      </c>
      <c r="AG49" s="247" t="s">
        <v>66</v>
      </c>
      <c r="AH49" s="257">
        <f>+AH32</f>
        <v>48517587.064512596</v>
      </c>
      <c r="AI49" s="247"/>
      <c r="AJ49" s="247"/>
      <c r="AK49" s="257">
        <f>+AK32</f>
        <v>24922222</v>
      </c>
      <c r="AL49" s="247"/>
      <c r="AM49" s="257">
        <f>+AM32</f>
        <v>8012931.7199999997</v>
      </c>
      <c r="AN49" s="257">
        <f>+AN32</f>
        <v>13586082.390000001</v>
      </c>
      <c r="AO49" s="258">
        <f>+AO32</f>
        <v>-1996350.9545126026</v>
      </c>
    </row>
    <row r="50" spans="1:41" x14ac:dyDescent="0.2">
      <c r="D50" s="259"/>
      <c r="E50" s="259"/>
      <c r="F50" s="260"/>
      <c r="I50" s="203"/>
      <c r="S50" s="215"/>
      <c r="U50" s="254"/>
      <c r="W50" s="250"/>
      <c r="X50" s="255"/>
      <c r="Y50" s="198"/>
      <c r="Z50" s="256"/>
      <c r="AA50" s="208"/>
      <c r="AB50" s="201"/>
      <c r="AC50" s="215"/>
      <c r="AE50" s="246" t="s">
        <v>64</v>
      </c>
      <c r="AF50" s="247"/>
      <c r="AG50" s="247"/>
      <c r="AH50" s="188">
        <f>+AH45-SUM(AH47:AH49)</f>
        <v>57979679.230288669</v>
      </c>
      <c r="AI50" s="247"/>
      <c r="AJ50" s="247"/>
      <c r="AK50" s="188">
        <f>+AK45-SUM(AK47:AK49)</f>
        <v>26326388.25</v>
      </c>
      <c r="AL50" s="247"/>
      <c r="AM50" s="188">
        <f>+AM45-SUM(AM47:AM49)</f>
        <v>14126360.289999999</v>
      </c>
      <c r="AN50" s="188">
        <f>+AN45-SUM(AN47:AN49)</f>
        <v>17245108.619999997</v>
      </c>
      <c r="AO50" s="248">
        <f>+AO45-SUM(AO47:AO49)</f>
        <v>-281821.42028866941</v>
      </c>
    </row>
    <row r="51" spans="1:41" x14ac:dyDescent="0.2">
      <c r="D51" s="259"/>
      <c r="E51" s="259"/>
      <c r="F51" s="260"/>
      <c r="U51" s="254"/>
      <c r="W51" s="250"/>
      <c r="X51" s="255"/>
      <c r="Y51" s="198"/>
      <c r="Z51" s="256"/>
      <c r="AA51" s="208"/>
      <c r="AB51" s="215"/>
      <c r="AC51" s="261"/>
      <c r="AE51" s="217"/>
      <c r="AF51" s="247"/>
      <c r="AG51" s="247"/>
      <c r="AH51" s="215"/>
      <c r="AI51" s="247"/>
      <c r="AJ51" s="247"/>
      <c r="AK51" s="247"/>
      <c r="AL51" s="247"/>
      <c r="AM51" s="247"/>
      <c r="AN51" s="247"/>
      <c r="AO51" s="262"/>
    </row>
    <row r="52" spans="1:41" x14ac:dyDescent="0.2">
      <c r="D52" s="259"/>
      <c r="E52" s="259"/>
      <c r="F52" s="260"/>
      <c r="U52" s="254"/>
      <c r="W52" s="250"/>
      <c r="X52" s="255"/>
      <c r="Y52" s="198"/>
      <c r="Z52" s="256"/>
      <c r="AA52" s="208"/>
      <c r="AB52" s="215"/>
      <c r="AC52" s="261"/>
      <c r="AE52" s="217"/>
      <c r="AF52" s="247"/>
      <c r="AG52" s="247"/>
      <c r="AH52" s="215"/>
      <c r="AI52" s="247"/>
      <c r="AJ52" s="247"/>
      <c r="AK52" s="247"/>
      <c r="AL52" s="247"/>
      <c r="AM52" s="247"/>
      <c r="AN52" s="247"/>
      <c r="AO52" s="262"/>
    </row>
    <row r="53" spans="1:41" x14ac:dyDescent="0.2">
      <c r="E53" s="259"/>
      <c r="F53" s="260"/>
      <c r="W53" s="250"/>
      <c r="X53" s="215"/>
      <c r="Y53" s="198"/>
      <c r="Z53" s="198"/>
      <c r="AA53" s="198"/>
      <c r="AB53" s="198"/>
      <c r="AC53" s="263"/>
      <c r="AE53" s="217"/>
      <c r="AF53" s="264" t="s">
        <v>158</v>
      </c>
      <c r="AG53" s="215"/>
      <c r="AH53" s="198"/>
      <c r="AI53" s="265"/>
      <c r="AJ53" s="265"/>
      <c r="AK53" s="198"/>
      <c r="AL53" s="247"/>
      <c r="AM53" s="247"/>
      <c r="AN53" s="247"/>
      <c r="AO53" s="202">
        <f>+AO24</f>
        <v>-266779.1747612413</v>
      </c>
    </row>
    <row r="54" spans="1:41" x14ac:dyDescent="0.2">
      <c r="A54" s="204"/>
      <c r="B54" s="205"/>
      <c r="E54" s="259"/>
      <c r="F54" s="260"/>
      <c r="W54" s="250"/>
      <c r="X54" s="215"/>
      <c r="Y54" s="198"/>
      <c r="Z54" s="198"/>
      <c r="AA54" s="198"/>
      <c r="AB54" s="198"/>
      <c r="AC54" s="263"/>
      <c r="AE54" s="217"/>
      <c r="AF54" s="264" t="s">
        <v>134</v>
      </c>
      <c r="AG54" s="215"/>
      <c r="AH54" s="198"/>
      <c r="AI54" s="265"/>
      <c r="AJ54" s="265"/>
      <c r="AK54" s="198"/>
      <c r="AL54" s="215"/>
      <c r="AM54" s="198"/>
      <c r="AN54" s="198"/>
      <c r="AO54" s="253">
        <f>+AO34</f>
        <v>-152851.78949673288</v>
      </c>
    </row>
    <row r="55" spans="1:41" x14ac:dyDescent="0.2">
      <c r="A55" s="204"/>
      <c r="E55" s="259"/>
      <c r="F55" s="260"/>
      <c r="W55" s="250"/>
      <c r="X55" s="215"/>
      <c r="Y55" s="198"/>
      <c r="Z55" s="198"/>
      <c r="AA55" s="198"/>
      <c r="AB55" s="198"/>
      <c r="AC55" s="263"/>
      <c r="AE55" s="217"/>
      <c r="AF55" s="264" t="s">
        <v>149</v>
      </c>
      <c r="AG55" s="215"/>
      <c r="AH55" s="264"/>
      <c r="AI55" s="265"/>
      <c r="AJ55" s="265"/>
      <c r="AK55" s="198"/>
      <c r="AL55" s="215"/>
      <c r="AM55" s="198"/>
      <c r="AN55" s="198"/>
      <c r="AO55" s="258">
        <f>+AO42</f>
        <v>-281821.42028866941</v>
      </c>
    </row>
    <row r="56" spans="1:41" ht="13.5" thickBot="1" x14ac:dyDescent="0.25">
      <c r="A56" s="204"/>
      <c r="E56" s="259"/>
      <c r="F56" s="260"/>
      <c r="W56" s="250"/>
      <c r="X56" s="215"/>
      <c r="Y56" s="198"/>
      <c r="Z56" s="198"/>
      <c r="AA56" s="198"/>
      <c r="AB56" s="198"/>
      <c r="AC56" s="263"/>
      <c r="AE56" s="234"/>
      <c r="AF56" s="266" t="s">
        <v>133</v>
      </c>
      <c r="AG56" s="235"/>
      <c r="AH56" s="267"/>
      <c r="AI56" s="268"/>
      <c r="AJ56" s="268"/>
      <c r="AK56" s="267"/>
      <c r="AL56" s="235"/>
      <c r="AM56" s="269"/>
      <c r="AN56" s="267"/>
      <c r="AO56" s="270">
        <f>SUM(AO53:AO55)</f>
        <v>-701452.38454664359</v>
      </c>
    </row>
    <row r="57" spans="1:41" x14ac:dyDescent="0.2">
      <c r="A57" s="204"/>
      <c r="E57" s="215"/>
      <c r="W57" s="250"/>
      <c r="X57" s="215"/>
      <c r="Y57" s="198"/>
      <c r="Z57" s="198"/>
      <c r="AA57" s="198"/>
      <c r="AB57" s="198"/>
      <c r="AC57" s="263"/>
    </row>
    <row r="58" spans="1:41" x14ac:dyDescent="0.2">
      <c r="A58" s="204"/>
      <c r="E58" s="215"/>
      <c r="X58" s="215"/>
      <c r="Y58" s="187"/>
      <c r="Z58" s="215"/>
      <c r="AA58" s="215"/>
      <c r="AB58" s="215"/>
      <c r="AC58" s="215"/>
    </row>
    <row r="59" spans="1:41" x14ac:dyDescent="0.2">
      <c r="A59" s="204"/>
      <c r="X59" s="215"/>
      <c r="Y59" s="198"/>
      <c r="Z59" s="215"/>
      <c r="AA59" s="215"/>
      <c r="AB59" s="215"/>
      <c r="AC59" s="215"/>
    </row>
    <row r="60" spans="1:41" x14ac:dyDescent="0.2">
      <c r="A60" s="204"/>
      <c r="X60" s="215"/>
      <c r="Y60" s="198"/>
      <c r="Z60" s="215"/>
      <c r="AA60" s="215"/>
      <c r="AB60" s="215"/>
      <c r="AC60" s="215"/>
    </row>
    <row r="61" spans="1:41" x14ac:dyDescent="0.2">
      <c r="A61" s="204"/>
      <c r="X61" s="215"/>
      <c r="Y61" s="198"/>
      <c r="Z61" s="215"/>
      <c r="AA61" s="215"/>
      <c r="AB61" s="215"/>
      <c r="AC61" s="215"/>
    </row>
    <row r="62" spans="1:41" x14ac:dyDescent="0.2">
      <c r="A62" s="204"/>
      <c r="T62" s="210"/>
      <c r="X62" s="215"/>
      <c r="Y62" s="198"/>
      <c r="Z62" s="215"/>
      <c r="AA62" s="215"/>
      <c r="AB62" s="215"/>
      <c r="AC62" s="215"/>
    </row>
    <row r="63" spans="1:41" x14ac:dyDescent="0.2">
      <c r="A63" s="204"/>
      <c r="X63" s="215"/>
      <c r="Y63" s="198"/>
      <c r="Z63" s="215"/>
      <c r="AA63" s="215"/>
      <c r="AB63" s="215"/>
      <c r="AC63" s="215"/>
    </row>
    <row r="64" spans="1:41" x14ac:dyDescent="0.2">
      <c r="A64" s="204"/>
      <c r="X64" s="215"/>
      <c r="Y64" s="215"/>
      <c r="Z64" s="215"/>
      <c r="AA64" s="215"/>
      <c r="AB64" s="215"/>
      <c r="AC64" s="215"/>
    </row>
    <row r="65" spans="1:1" x14ac:dyDescent="0.2">
      <c r="A65" s="204"/>
    </row>
  </sheetData>
  <phoneticPr fontId="6" type="noConversion"/>
  <printOptions horizontalCentered="1"/>
  <pageMargins left="0.25" right="0.25" top="0.75" bottom="0.5" header="0.5" footer="0.5"/>
  <pageSetup scale="65" orientation="landscape" r:id="rId1"/>
  <headerFooter alignWithMargins="0"/>
  <colBreaks count="3" manualBreakCount="3">
    <brk id="10" max="53" man="1"/>
    <brk id="20" max="53" man="1"/>
    <brk id="30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09"/>
  <sheetViews>
    <sheetView view="pageBreakPreview" topLeftCell="A70" zoomScaleNormal="80" zoomScaleSheetLayoutView="100" workbookViewId="0">
      <selection activeCell="K45" sqref="K45"/>
    </sheetView>
  </sheetViews>
  <sheetFormatPr defaultRowHeight="12.75" x14ac:dyDescent="0.2"/>
  <cols>
    <col min="1" max="1" width="5.5" style="4" customWidth="1"/>
    <col min="2" max="2" width="11.5" style="4" customWidth="1"/>
    <col min="3" max="3" width="13.33203125" style="4" customWidth="1"/>
    <col min="4" max="4" width="15.1640625" style="4" customWidth="1"/>
    <col min="5" max="5" width="15" style="4" customWidth="1"/>
    <col min="6" max="6" width="14.33203125" style="4" customWidth="1"/>
    <col min="7" max="7" width="16.5" style="4" customWidth="1"/>
    <col min="8" max="8" width="15.33203125" style="4" customWidth="1"/>
    <col min="9" max="9" width="14.33203125" style="4" customWidth="1"/>
    <col min="10" max="10" width="14.83203125" style="4" customWidth="1"/>
    <col min="11" max="11" width="15.1640625" style="4" bestFit="1" customWidth="1"/>
    <col min="12" max="12" width="15.1640625" style="4" customWidth="1"/>
    <col min="13" max="13" width="11" style="4" customWidth="1"/>
    <col min="14" max="14" width="14.33203125" style="4" customWidth="1"/>
    <col min="15" max="15" width="21.6640625" style="4" customWidth="1"/>
    <col min="16" max="16" width="18.83203125" style="4" customWidth="1"/>
    <col min="17" max="17" width="19.33203125" style="4" customWidth="1"/>
    <col min="18" max="18" width="17.33203125" style="4" bestFit="1" customWidth="1"/>
    <col min="19" max="19" width="13.5" style="4" bestFit="1" customWidth="1"/>
    <col min="20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4" ht="12.75" customHeight="1" x14ac:dyDescent="0.3">
      <c r="A1" s="125" t="s">
        <v>47</v>
      </c>
      <c r="B1" s="3"/>
      <c r="J1" s="1" t="s">
        <v>49</v>
      </c>
    </row>
    <row r="2" spans="1:24" ht="12.75" customHeight="1" x14ac:dyDescent="0.3">
      <c r="A2" s="125" t="s">
        <v>69</v>
      </c>
      <c r="B2" s="3"/>
      <c r="J2" s="1" t="s">
        <v>141</v>
      </c>
    </row>
    <row r="3" spans="1:24" ht="12.75" customHeight="1" x14ac:dyDescent="0.3">
      <c r="A3" s="126" t="s">
        <v>67</v>
      </c>
      <c r="B3" s="3"/>
      <c r="J3" s="2" t="s">
        <v>35</v>
      </c>
    </row>
    <row r="5" spans="1:24" s="5" customFormat="1" x14ac:dyDescent="0.2">
      <c r="B5" s="6">
        <v>-1</v>
      </c>
      <c r="C5" s="6">
        <f t="shared" ref="C5:J5" si="0">+B5-1</f>
        <v>-2</v>
      </c>
      <c r="D5" s="6">
        <f t="shared" si="0"/>
        <v>-3</v>
      </c>
      <c r="E5" s="6">
        <f t="shared" si="0"/>
        <v>-4</v>
      </c>
      <c r="F5" s="6">
        <f t="shared" si="0"/>
        <v>-5</v>
      </c>
      <c r="G5" s="6">
        <f t="shared" si="0"/>
        <v>-6</v>
      </c>
      <c r="H5" s="6">
        <f t="shared" si="0"/>
        <v>-7</v>
      </c>
      <c r="I5" s="6">
        <f t="shared" si="0"/>
        <v>-8</v>
      </c>
      <c r="J5" s="6">
        <f t="shared" si="0"/>
        <v>-9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38.25" x14ac:dyDescent="0.2">
      <c r="B6" s="8" t="s">
        <v>0</v>
      </c>
      <c r="C6" s="8" t="s">
        <v>1</v>
      </c>
      <c r="D6" s="8" t="s">
        <v>2</v>
      </c>
      <c r="E6" s="8" t="s">
        <v>19</v>
      </c>
      <c r="F6" s="8" t="s">
        <v>20</v>
      </c>
      <c r="G6" s="8" t="s">
        <v>28</v>
      </c>
      <c r="H6" s="8" t="s">
        <v>70</v>
      </c>
      <c r="I6" s="9" t="s">
        <v>71</v>
      </c>
      <c r="J6" s="9" t="s">
        <v>72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">
      <c r="B7" s="10"/>
      <c r="C7" s="10"/>
      <c r="D7" s="11"/>
      <c r="E7" s="5"/>
      <c r="F7" s="12" t="s">
        <v>21</v>
      </c>
      <c r="G7" s="10"/>
      <c r="H7" s="5" t="s">
        <v>22</v>
      </c>
      <c r="I7" s="10"/>
      <c r="J7" s="5" t="s">
        <v>16</v>
      </c>
      <c r="R7" s="7"/>
      <c r="S7" s="7"/>
      <c r="T7" s="7"/>
      <c r="U7" s="7"/>
      <c r="V7" s="7"/>
      <c r="W7" s="7"/>
      <c r="X7" s="7"/>
    </row>
    <row r="8" spans="1:24" x14ac:dyDescent="0.2">
      <c r="B8" s="10"/>
      <c r="C8" s="10"/>
      <c r="D8" s="11"/>
      <c r="E8" s="5"/>
      <c r="F8" s="12"/>
      <c r="G8" s="10"/>
      <c r="H8" s="5"/>
      <c r="I8" s="10"/>
      <c r="J8" s="5"/>
      <c r="R8" s="7"/>
      <c r="S8" s="7"/>
      <c r="T8" s="7"/>
      <c r="U8" s="7"/>
      <c r="V8" s="7"/>
      <c r="W8" s="7"/>
      <c r="X8" s="7"/>
    </row>
    <row r="9" spans="1:24" x14ac:dyDescent="0.2">
      <c r="B9" s="13">
        <f>'Q1-Q2 KU Over-Under Calc'!A8</f>
        <v>41395</v>
      </c>
      <c r="C9" s="13">
        <f>'Q1-Q2 KU Over-Under Calc'!B8</f>
        <v>41334</v>
      </c>
      <c r="D9" s="14">
        <f>'Q1-Q2 KU Over-Under Calc'!C8</f>
        <v>0.1026</v>
      </c>
      <c r="E9" s="15">
        <f>'Q1-Q2 KU Over-Under Calc'!N8</f>
        <v>0.10249999999999999</v>
      </c>
      <c r="F9" s="16">
        <f t="shared" ref="F9" si="1">E9-D9</f>
        <v>-1.0000000000000286E-4</v>
      </c>
      <c r="G9" s="132">
        <f>'Q1-Q2 KU Over-Under Calc'!E8</f>
        <v>466605240</v>
      </c>
      <c r="H9" s="132">
        <f t="shared" ref="H9" si="2">(F9*G9)/12</f>
        <v>-3888.3770000001114</v>
      </c>
      <c r="I9" s="14">
        <f>'Q1-Q2 KU Over-Under Calc'!H8</f>
        <v>0.87290000000000001</v>
      </c>
      <c r="J9" s="132">
        <f t="shared" ref="J9" si="3">+H9*I9</f>
        <v>-3394.1642833000974</v>
      </c>
      <c r="R9" s="7"/>
      <c r="S9" s="7"/>
      <c r="T9" s="7"/>
      <c r="U9" s="7"/>
      <c r="V9" s="7"/>
      <c r="W9" s="7"/>
      <c r="X9" s="7"/>
    </row>
    <row r="10" spans="1:24" x14ac:dyDescent="0.2">
      <c r="B10" s="13">
        <f>'Q1-Q2 KU Over-Under Calc'!A9</f>
        <v>41426</v>
      </c>
      <c r="C10" s="13">
        <f>'Q1-Q2 KU Over-Under Calc'!B9</f>
        <v>41365</v>
      </c>
      <c r="D10" s="14">
        <f>'Q1-Q2 KU Over-Under Calc'!C9</f>
        <v>0.10299999999999999</v>
      </c>
      <c r="E10" s="15">
        <f>'Q1-Q2 KU Over-Under Calc'!N9</f>
        <v>0.10249999999999999</v>
      </c>
      <c r="F10" s="16">
        <f t="shared" ref="F10:F14" si="4">E10-D10</f>
        <v>-5.0000000000000044E-4</v>
      </c>
      <c r="G10" s="133">
        <f>'Q1-Q2 KU Over-Under Calc'!E9</f>
        <v>488353534</v>
      </c>
      <c r="H10" s="133">
        <f t="shared" ref="H10:H14" si="5">(F10*G10)/12</f>
        <v>-20348.063916666684</v>
      </c>
      <c r="I10" s="14">
        <f>'Q1-Q2 KU Over-Under Calc'!H9</f>
        <v>0.8861</v>
      </c>
      <c r="J10" s="133">
        <f t="shared" ref="J10:J14" si="6">+H10*I10</f>
        <v>-18030.41943655835</v>
      </c>
      <c r="R10" s="7"/>
      <c r="S10" s="7"/>
      <c r="T10" s="7"/>
      <c r="U10" s="7"/>
      <c r="V10" s="7"/>
      <c r="W10" s="7"/>
      <c r="X10" s="7"/>
    </row>
    <row r="11" spans="1:24" x14ac:dyDescent="0.2">
      <c r="B11" s="13">
        <f>'Q1-Q2 KU Over-Under Calc'!A10</f>
        <v>41456</v>
      </c>
      <c r="C11" s="13">
        <f>'Q1-Q2 KU Over-Under Calc'!B10</f>
        <v>41395</v>
      </c>
      <c r="D11" s="14">
        <f>'Q1-Q2 KU Over-Under Calc'!C10</f>
        <v>0.10299999999999999</v>
      </c>
      <c r="E11" s="15">
        <f>'Q1-Q2 KU Over-Under Calc'!N10</f>
        <v>0.10249999999999999</v>
      </c>
      <c r="F11" s="16">
        <f t="shared" si="4"/>
        <v>-5.0000000000000044E-4</v>
      </c>
      <c r="G11" s="133">
        <f>'Q1-Q2 KU Over-Under Calc'!E10</f>
        <v>500727214</v>
      </c>
      <c r="H11" s="133">
        <f t="shared" si="5"/>
        <v>-20863.633916666684</v>
      </c>
      <c r="I11" s="14">
        <f>'Q1-Q2 KU Over-Under Calc'!H10</f>
        <v>0.86280000000000001</v>
      </c>
      <c r="J11" s="133">
        <f t="shared" si="6"/>
        <v>-18001.143343300017</v>
      </c>
      <c r="R11" s="7"/>
      <c r="S11" s="7"/>
      <c r="T11" s="7"/>
      <c r="U11" s="7"/>
      <c r="V11" s="7"/>
      <c r="W11" s="7"/>
      <c r="X11" s="7"/>
    </row>
    <row r="12" spans="1:24" x14ac:dyDescent="0.2">
      <c r="B12" s="13">
        <f>'Q1-Q2 KU Over-Under Calc'!A11</f>
        <v>41487</v>
      </c>
      <c r="C12" s="13">
        <f>'Q1-Q2 KU Over-Under Calc'!B11</f>
        <v>41426</v>
      </c>
      <c r="D12" s="14">
        <f>'Q1-Q2 KU Over-Under Calc'!C11</f>
        <v>0.10299999999999999</v>
      </c>
      <c r="E12" s="15">
        <f>'Q1-Q2 KU Over-Under Calc'!N11</f>
        <v>0.10249999999999999</v>
      </c>
      <c r="F12" s="16">
        <f t="shared" si="4"/>
        <v>-5.0000000000000044E-4</v>
      </c>
      <c r="G12" s="133">
        <f>'Q1-Q2 KU Over-Under Calc'!E11</f>
        <v>522490759</v>
      </c>
      <c r="H12" s="133">
        <f t="shared" si="5"/>
        <v>-21770.448291666686</v>
      </c>
      <c r="I12" s="14">
        <f>'Q1-Q2 KU Over-Under Calc'!H11</f>
        <v>0.87290000000000001</v>
      </c>
      <c r="J12" s="133">
        <f t="shared" si="6"/>
        <v>-19003.424313795851</v>
      </c>
      <c r="R12" s="7"/>
      <c r="S12" s="7"/>
      <c r="T12" s="7"/>
      <c r="U12" s="7"/>
      <c r="V12" s="7"/>
      <c r="W12" s="7"/>
      <c r="X12" s="7"/>
    </row>
    <row r="13" spans="1:24" x14ac:dyDescent="0.2">
      <c r="B13" s="13">
        <f>'Q1-Q2 KU Over-Under Calc'!A12</f>
        <v>41518</v>
      </c>
      <c r="C13" s="13">
        <f>'Q1-Q2 KU Over-Under Calc'!B12</f>
        <v>41456</v>
      </c>
      <c r="D13" s="14">
        <f>'Q1-Q2 KU Over-Under Calc'!C12</f>
        <v>0.10299999999999999</v>
      </c>
      <c r="E13" s="15">
        <f>'Q1-Q2 KU Over-Under Calc'!N12</f>
        <v>0.10249999999999999</v>
      </c>
      <c r="F13" s="16">
        <f t="shared" si="4"/>
        <v>-5.0000000000000044E-4</v>
      </c>
      <c r="G13" s="133">
        <f>'Q1-Q2 KU Over-Under Calc'!E12</f>
        <v>545861106</v>
      </c>
      <c r="H13" s="133">
        <f t="shared" si="5"/>
        <v>-22744.212750000021</v>
      </c>
      <c r="I13" s="14">
        <f>'Q1-Q2 KU Over-Under Calc'!H12</f>
        <v>0.88290000000000002</v>
      </c>
      <c r="J13" s="133">
        <f t="shared" si="6"/>
        <v>-20080.865436975018</v>
      </c>
      <c r="R13" s="7"/>
      <c r="S13" s="7"/>
      <c r="T13" s="7"/>
      <c r="U13" s="7"/>
      <c r="V13" s="7"/>
      <c r="W13" s="7"/>
      <c r="X13" s="7"/>
    </row>
    <row r="14" spans="1:24" x14ac:dyDescent="0.2">
      <c r="B14" s="13">
        <f>'Q1-Q2 KU Over-Under Calc'!A13</f>
        <v>41548</v>
      </c>
      <c r="C14" s="13">
        <f>'Q1-Q2 KU Over-Under Calc'!B13</f>
        <v>41487</v>
      </c>
      <c r="D14" s="14">
        <f>'Q1-Q2 KU Over-Under Calc'!C13</f>
        <v>0.10299999999999999</v>
      </c>
      <c r="E14" s="15">
        <f>'Q1-Q2 KU Over-Under Calc'!N13</f>
        <v>0.10249999999999999</v>
      </c>
      <c r="F14" s="16">
        <f t="shared" si="4"/>
        <v>-5.0000000000000044E-4</v>
      </c>
      <c r="G14" s="133">
        <f>'Q1-Q2 KU Over-Under Calc'!E13</f>
        <v>565466957</v>
      </c>
      <c r="H14" s="138">
        <f t="shared" si="5"/>
        <v>-23561.123208333356</v>
      </c>
      <c r="I14" s="14">
        <f>'Q1-Q2 KU Over-Under Calc'!H13</f>
        <v>0.87529999999999997</v>
      </c>
      <c r="J14" s="138">
        <f t="shared" si="6"/>
        <v>-20623.051144254187</v>
      </c>
      <c r="R14" s="7"/>
      <c r="S14" s="7"/>
      <c r="T14" s="7"/>
      <c r="U14" s="7"/>
      <c r="V14" s="7"/>
      <c r="W14" s="7"/>
      <c r="X14" s="7"/>
    </row>
    <row r="15" spans="1:24" x14ac:dyDescent="0.2">
      <c r="B15" s="10"/>
      <c r="C15" s="10"/>
      <c r="D15" s="11"/>
      <c r="E15" s="127"/>
      <c r="F15" s="128"/>
      <c r="G15" s="10"/>
      <c r="H15" s="132">
        <f>SUM(H9:H14)</f>
        <v>-113175.85908333355</v>
      </c>
      <c r="J15" s="132">
        <f>SUM(J9:J14)</f>
        <v>-99133.067958183528</v>
      </c>
      <c r="R15" s="7"/>
      <c r="S15" s="7"/>
      <c r="T15" s="7"/>
      <c r="U15" s="7"/>
      <c r="V15" s="7"/>
      <c r="W15" s="7"/>
      <c r="X15" s="7"/>
    </row>
    <row r="16" spans="1:24" x14ac:dyDescent="0.2">
      <c r="B16" s="10"/>
      <c r="C16" s="10"/>
      <c r="D16" s="11"/>
      <c r="E16" s="127"/>
      <c r="F16" s="128"/>
      <c r="G16" s="10"/>
      <c r="H16" s="127"/>
      <c r="I16" s="10"/>
      <c r="J16" s="127"/>
      <c r="L16" s="151" t="s">
        <v>154</v>
      </c>
      <c r="M16" s="151"/>
      <c r="N16" s="151"/>
      <c r="R16" s="7"/>
      <c r="S16" s="7"/>
      <c r="T16" s="7"/>
      <c r="U16" s="7"/>
      <c r="V16" s="7"/>
      <c r="W16" s="7"/>
      <c r="X16" s="7"/>
    </row>
    <row r="17" spans="2:24" x14ac:dyDescent="0.2">
      <c r="B17" s="10"/>
      <c r="C17" s="10"/>
      <c r="D17" s="11"/>
      <c r="E17" s="127"/>
      <c r="F17" s="128"/>
      <c r="G17" s="10"/>
      <c r="H17" s="127"/>
      <c r="I17" s="10"/>
      <c r="J17" s="127"/>
      <c r="R17" s="7"/>
      <c r="S17" s="7"/>
      <c r="T17" s="7"/>
      <c r="U17" s="7"/>
      <c r="V17" s="7"/>
      <c r="W17" s="7"/>
      <c r="X17" s="7"/>
    </row>
    <row r="18" spans="2:24" x14ac:dyDescent="0.2">
      <c r="B18" s="13">
        <f>'Q1-Q2 KU Over-Under Calc'!A16</f>
        <v>41579</v>
      </c>
      <c r="C18" s="13">
        <f>'Q1-Q2 KU Over-Under Calc'!B16</f>
        <v>41518</v>
      </c>
      <c r="D18" s="14">
        <f>'Q1-Q2 KU Over-Under Calc'!C16</f>
        <v>0.10299999999999999</v>
      </c>
      <c r="E18" s="15">
        <f>'Q1-Q2 KU Over-Under Calc'!N16</f>
        <v>0.10299999999999999</v>
      </c>
      <c r="F18" s="16">
        <f t="shared" ref="F18:F23" si="7">E18-D18</f>
        <v>0</v>
      </c>
      <c r="G18" s="132">
        <f>'Q1-Q2 KU Over-Under Calc'!E16</f>
        <v>584887914</v>
      </c>
      <c r="H18" s="132">
        <f t="shared" ref="H18:H23" si="8">(F18*G18)/12</f>
        <v>0</v>
      </c>
      <c r="I18" s="14">
        <f>'Q1-Q2 KU Over-Under Calc'!H16</f>
        <v>0.88739999999999997</v>
      </c>
      <c r="J18" s="132">
        <f t="shared" ref="J18:J23" si="9">+H18*I18</f>
        <v>0</v>
      </c>
      <c r="L18" s="149">
        <v>-47577.707364329559</v>
      </c>
      <c r="M18" s="150">
        <v>0.1019</v>
      </c>
      <c r="N18" s="149">
        <f>+L18-J18</f>
        <v>-47577.707364329559</v>
      </c>
      <c r="O18" s="149"/>
      <c r="R18" s="7"/>
      <c r="S18" s="7"/>
      <c r="T18" s="7"/>
      <c r="U18" s="7"/>
      <c r="V18" s="7"/>
      <c r="W18" s="7"/>
      <c r="X18" s="7"/>
    </row>
    <row r="19" spans="2:24" x14ac:dyDescent="0.2">
      <c r="B19" s="13">
        <f>'Q1-Q2 KU Over-Under Calc'!A17</f>
        <v>41609</v>
      </c>
      <c r="C19" s="13">
        <f>'Q1-Q2 KU Over-Under Calc'!B17</f>
        <v>41548</v>
      </c>
      <c r="D19" s="14">
        <f>'Q1-Q2 KU Over-Under Calc'!C17</f>
        <v>0.10299999999999999</v>
      </c>
      <c r="E19" s="15">
        <f>'Q1-Q2 KU Over-Under Calc'!N17</f>
        <v>0.10299999999999999</v>
      </c>
      <c r="F19" s="16">
        <f t="shared" si="7"/>
        <v>0</v>
      </c>
      <c r="G19" s="133">
        <f>'Q1-Q2 KU Over-Under Calc'!E17</f>
        <v>622806349</v>
      </c>
      <c r="H19" s="133">
        <f t="shared" si="8"/>
        <v>0</v>
      </c>
      <c r="I19" s="14">
        <f>'Q1-Q2 KU Over-Under Calc'!H17</f>
        <v>0.86950000000000005</v>
      </c>
      <c r="J19" s="133">
        <f t="shared" si="9"/>
        <v>0</v>
      </c>
      <c r="L19" s="20">
        <v>-49640.261041753714</v>
      </c>
      <c r="M19" s="150">
        <v>0.1019</v>
      </c>
      <c r="N19" s="20">
        <f t="shared" ref="N19:N23" si="10">+L19-J19</f>
        <v>-49640.261041753714</v>
      </c>
      <c r="O19" s="149"/>
      <c r="R19" s="7"/>
      <c r="S19" s="7"/>
      <c r="T19" s="7"/>
      <c r="U19" s="7"/>
      <c r="V19" s="7"/>
      <c r="W19" s="7"/>
      <c r="X19" s="7"/>
    </row>
    <row r="20" spans="2:24" x14ac:dyDescent="0.2">
      <c r="B20" s="13">
        <f>'Q1-Q2 KU Over-Under Calc'!A18</f>
        <v>41640</v>
      </c>
      <c r="C20" s="13">
        <f>'Q1-Q2 KU Over-Under Calc'!B18</f>
        <v>41579</v>
      </c>
      <c r="D20" s="14">
        <f>'Q1-Q2 KU Over-Under Calc'!C18</f>
        <v>0.10100000000000001</v>
      </c>
      <c r="E20" s="15">
        <f>'Q1-Q2 KU Over-Under Calc'!N18</f>
        <v>0.10299999999999999</v>
      </c>
      <c r="F20" s="16">
        <f t="shared" si="7"/>
        <v>1.9999999999999879E-3</v>
      </c>
      <c r="G20" s="133">
        <f>'Q1-Q2 KU Over-Under Calc'!E18</f>
        <v>678217552</v>
      </c>
      <c r="H20" s="133">
        <f t="shared" si="8"/>
        <v>113036.25866666599</v>
      </c>
      <c r="I20" s="14">
        <f>'Q1-Q2 KU Over-Under Calc'!H18</f>
        <v>0.87109999999999999</v>
      </c>
      <c r="J20" s="133">
        <f t="shared" si="9"/>
        <v>98465.884924532744</v>
      </c>
      <c r="L20" s="20">
        <v>44309.648216039903</v>
      </c>
      <c r="M20" s="150">
        <v>0.1019</v>
      </c>
      <c r="N20" s="20">
        <f t="shared" si="10"/>
        <v>-54156.236708492841</v>
      </c>
      <c r="O20" s="149"/>
      <c r="R20" s="7"/>
      <c r="S20" s="7"/>
      <c r="T20" s="7"/>
      <c r="U20" s="7"/>
      <c r="V20" s="7"/>
      <c r="W20" s="7"/>
      <c r="X20" s="7"/>
    </row>
    <row r="21" spans="2:24" x14ac:dyDescent="0.2">
      <c r="B21" s="13">
        <f>'Q1-Q2 KU Over-Under Calc'!A19</f>
        <v>41671</v>
      </c>
      <c r="C21" s="13">
        <f>'Q1-Q2 KU Over-Under Calc'!B19</f>
        <v>41609</v>
      </c>
      <c r="D21" s="14">
        <f>'Q1-Q2 KU Over-Under Calc'!C19</f>
        <v>0.10100000000000001</v>
      </c>
      <c r="E21" s="15">
        <f>'Q1-Q2 KU Over-Under Calc'!N19</f>
        <v>0.10299999999999999</v>
      </c>
      <c r="F21" s="16">
        <f t="shared" si="7"/>
        <v>1.9999999999999879E-3</v>
      </c>
      <c r="G21" s="133">
        <f>'Q1-Q2 KU Over-Under Calc'!E19</f>
        <v>751970332</v>
      </c>
      <c r="H21" s="133">
        <f t="shared" si="8"/>
        <v>125328.38866666589</v>
      </c>
      <c r="I21" s="14">
        <f>'Q1-Q2 KU Over-Under Calc'!H19</f>
        <v>0.86550000000000005</v>
      </c>
      <c r="J21" s="133">
        <f t="shared" si="9"/>
        <v>108471.72039099934</v>
      </c>
      <c r="L21" s="20">
        <v>48812.274175949889</v>
      </c>
      <c r="M21" s="150">
        <v>0.1019</v>
      </c>
      <c r="N21" s="20">
        <f t="shared" si="10"/>
        <v>-59659.446215049451</v>
      </c>
      <c r="O21" s="149"/>
      <c r="R21" s="7"/>
      <c r="S21" s="7"/>
      <c r="T21" s="7"/>
      <c r="U21" s="7"/>
      <c r="V21" s="7"/>
      <c r="W21" s="7"/>
      <c r="X21" s="7"/>
    </row>
    <row r="22" spans="2:24" x14ac:dyDescent="0.2">
      <c r="B22" s="13">
        <f>'Q1-Q2 KU Over-Under Calc'!A20</f>
        <v>41699</v>
      </c>
      <c r="C22" s="13">
        <f>'Q1-Q2 KU Over-Under Calc'!B20</f>
        <v>41640</v>
      </c>
      <c r="D22" s="14">
        <f>'Q1-Q2 KU Over-Under Calc'!C20</f>
        <v>0.10100000000000001</v>
      </c>
      <c r="E22" s="15">
        <f>'Q1-Q2 KU Over-Under Calc'!N20</f>
        <v>0.1065</v>
      </c>
      <c r="F22" s="16">
        <f t="shared" si="7"/>
        <v>5.499999999999991E-3</v>
      </c>
      <c r="G22" s="133">
        <f>'Q1-Q2 KU Over-Under Calc'!E20</f>
        <v>770708068</v>
      </c>
      <c r="H22" s="133">
        <f t="shared" si="8"/>
        <v>353241.19783333276</v>
      </c>
      <c r="I22" s="14">
        <f>'Q1-Q2 KU Over-Under Calc'!H20</f>
        <v>0.85209999999999997</v>
      </c>
      <c r="J22" s="133">
        <f t="shared" si="9"/>
        <v>300996.82467378286</v>
      </c>
      <c r="L22" s="20">
        <v>273633.47697616613</v>
      </c>
      <c r="M22" s="150">
        <v>0.106</v>
      </c>
      <c r="N22" s="20">
        <f t="shared" si="10"/>
        <v>-27363.347697616729</v>
      </c>
      <c r="O22" s="149"/>
      <c r="R22" s="7"/>
      <c r="S22" s="7"/>
      <c r="T22" s="7"/>
      <c r="U22" s="7"/>
      <c r="V22" s="7"/>
      <c r="W22" s="7"/>
      <c r="X22" s="7"/>
    </row>
    <row r="23" spans="2:24" x14ac:dyDescent="0.2">
      <c r="B23" s="13">
        <f>'Q1-Q2 KU Over-Under Calc'!A21</f>
        <v>41730</v>
      </c>
      <c r="C23" s="13">
        <f>'Q1-Q2 KU Over-Under Calc'!B21</f>
        <v>41671</v>
      </c>
      <c r="D23" s="14">
        <f>'Q1-Q2 KU Over-Under Calc'!C21</f>
        <v>0.10100000000000001</v>
      </c>
      <c r="E23" s="15">
        <f>'Q1-Q2 KU Over-Under Calc'!N21</f>
        <v>0.1065</v>
      </c>
      <c r="F23" s="16">
        <f t="shared" si="7"/>
        <v>5.499999999999991E-3</v>
      </c>
      <c r="G23" s="133">
        <f>'Q1-Q2 KU Over-Under Calc'!E21</f>
        <v>784851040</v>
      </c>
      <c r="H23" s="138">
        <f t="shared" si="8"/>
        <v>359723.39333333279</v>
      </c>
      <c r="I23" s="14">
        <f>'Q1-Q2 KU Over-Under Calc'!H21</f>
        <v>0.8679</v>
      </c>
      <c r="J23" s="138">
        <f t="shared" si="9"/>
        <v>312203.93307399953</v>
      </c>
      <c r="L23" s="20">
        <v>283821.75733999949</v>
      </c>
      <c r="M23" s="150">
        <v>0.106</v>
      </c>
      <c r="N23" s="20">
        <f t="shared" si="10"/>
        <v>-28382.175734000048</v>
      </c>
      <c r="O23" s="149"/>
      <c r="R23" s="7"/>
      <c r="S23" s="7"/>
      <c r="T23" s="7"/>
      <c r="U23" s="7"/>
      <c r="V23" s="7"/>
      <c r="W23" s="7"/>
      <c r="X23" s="7"/>
    </row>
    <row r="24" spans="2:24" x14ac:dyDescent="0.2">
      <c r="B24" s="10"/>
      <c r="C24" s="10"/>
      <c r="D24" s="11"/>
      <c r="E24" s="127"/>
      <c r="F24" s="128"/>
      <c r="G24" s="10"/>
      <c r="H24" s="132">
        <f>SUM(H18:H23)</f>
        <v>951329.23849999742</v>
      </c>
      <c r="J24" s="132">
        <f>SUM(J18:J23)</f>
        <v>820138.36306331446</v>
      </c>
      <c r="L24" s="132">
        <f>SUM(L18:L23)</f>
        <v>553359.18830207223</v>
      </c>
      <c r="N24" s="132">
        <f>SUM(N18:N23)</f>
        <v>-266779.17476124235</v>
      </c>
      <c r="O24" s="132"/>
      <c r="R24" s="7"/>
      <c r="S24" s="7"/>
      <c r="T24" s="7"/>
      <c r="U24" s="7"/>
      <c r="V24" s="7"/>
      <c r="W24" s="7"/>
      <c r="X24" s="7"/>
    </row>
    <row r="25" spans="2:24" x14ac:dyDescent="0.2">
      <c r="B25" s="10"/>
      <c r="C25" s="10"/>
      <c r="D25" s="11"/>
      <c r="E25" s="127"/>
      <c r="F25" s="128"/>
      <c r="G25" s="10"/>
      <c r="H25" s="127"/>
      <c r="I25" s="10"/>
      <c r="J25" s="127"/>
      <c r="O25" s="149"/>
      <c r="R25" s="7"/>
      <c r="S25" s="7"/>
      <c r="T25" s="7"/>
      <c r="U25" s="7"/>
      <c r="V25" s="7"/>
      <c r="W25" s="7"/>
      <c r="X25" s="7"/>
    </row>
    <row r="26" spans="2:24" x14ac:dyDescent="0.2">
      <c r="B26" s="10"/>
      <c r="C26" s="10"/>
      <c r="D26" s="11"/>
      <c r="E26" s="127"/>
      <c r="F26" s="128"/>
      <c r="G26" s="10"/>
      <c r="H26" s="127"/>
      <c r="I26" s="10"/>
      <c r="J26" s="127"/>
      <c r="L26" s="149"/>
      <c r="M26" s="150"/>
      <c r="N26" s="149"/>
      <c r="O26" s="149"/>
      <c r="R26" s="7"/>
      <c r="S26" s="7"/>
      <c r="T26" s="7"/>
      <c r="U26" s="7"/>
      <c r="V26" s="7"/>
      <c r="W26" s="7"/>
      <c r="X26" s="7"/>
    </row>
    <row r="27" spans="2:24" x14ac:dyDescent="0.2">
      <c r="B27" s="13">
        <f>'Q1-Q2 KU Over-Under Calc'!A24</f>
        <v>41760</v>
      </c>
      <c r="C27" s="13">
        <f>'Q1-Q2 KU Over-Under Calc'!B24</f>
        <v>41699</v>
      </c>
      <c r="D27" s="14">
        <f>'Q1-Q2 KU Over-Under Calc'!C24</f>
        <v>0.10100000000000001</v>
      </c>
      <c r="E27" s="15">
        <f>'Q1-Q2 KU Over-Under Calc'!N24</f>
        <v>0.1056</v>
      </c>
      <c r="F27" s="16">
        <f t="shared" ref="F27:F32" si="11">E27-D27</f>
        <v>4.599999999999993E-3</v>
      </c>
      <c r="G27" s="132">
        <f>'Q1-Q2 KU Over-Under Calc'!E24</f>
        <v>807289854</v>
      </c>
      <c r="H27" s="132">
        <f t="shared" ref="H27:H32" si="12">(F27*G27)/12</f>
        <v>309461.11069999955</v>
      </c>
      <c r="I27" s="14">
        <f>'Q1-Q2 KU Over-Under Calc'!H24</f>
        <v>0.87860000000000005</v>
      </c>
      <c r="J27" s="132">
        <f t="shared" ref="J27:J32" si="13">+H27*I27</f>
        <v>271892.53186101961</v>
      </c>
      <c r="L27" s="149">
        <v>248249.70300353973</v>
      </c>
      <c r="M27" s="150">
        <v>0.1052</v>
      </c>
      <c r="N27" s="149">
        <f>+L27-J27</f>
        <v>-23642.828857479879</v>
      </c>
      <c r="O27" s="149"/>
      <c r="R27" s="7"/>
      <c r="S27" s="7"/>
      <c r="T27" s="7"/>
      <c r="U27" s="7"/>
      <c r="V27" s="7"/>
      <c r="W27" s="7"/>
      <c r="X27" s="7"/>
    </row>
    <row r="28" spans="2:24" x14ac:dyDescent="0.2">
      <c r="B28" s="13">
        <f>'Q1-Q2 KU Over-Under Calc'!A25</f>
        <v>41791</v>
      </c>
      <c r="C28" s="13">
        <f>'Q1-Q2 KU Over-Under Calc'!B25</f>
        <v>41730</v>
      </c>
      <c r="D28" s="14">
        <f>'Q1-Q2 KU Over-Under Calc'!C25</f>
        <v>0.10100000000000001</v>
      </c>
      <c r="E28" s="15">
        <f>'Q1-Q2 KU Over-Under Calc'!N25</f>
        <v>0.1056</v>
      </c>
      <c r="F28" s="16">
        <f t="shared" si="11"/>
        <v>4.599999999999993E-3</v>
      </c>
      <c r="G28" s="133">
        <f>'Q1-Q2 KU Over-Under Calc'!E25</f>
        <v>835560012</v>
      </c>
      <c r="H28" s="133">
        <f t="shared" si="12"/>
        <v>320298.00459999952</v>
      </c>
      <c r="I28" s="14">
        <f>'Q1-Q2 KU Over-Under Calc'!H25</f>
        <v>0.88570000000000004</v>
      </c>
      <c r="J28" s="133">
        <f t="shared" si="13"/>
        <v>283687.94267421961</v>
      </c>
      <c r="L28" s="20">
        <v>259019.42591993973</v>
      </c>
      <c r="M28" s="150">
        <v>0.1052</v>
      </c>
      <c r="N28" s="20">
        <f t="shared" ref="N28:N32" si="14">+L28-J28</f>
        <v>-24668.516754279874</v>
      </c>
      <c r="O28" s="149"/>
      <c r="R28" s="7"/>
      <c r="S28" s="7"/>
      <c r="T28" s="7"/>
      <c r="U28" s="7"/>
      <c r="V28" s="7"/>
      <c r="W28" s="7"/>
      <c r="X28" s="7"/>
    </row>
    <row r="29" spans="2:24" x14ac:dyDescent="0.2">
      <c r="B29" s="13">
        <f>'Q1-Q2 KU Over-Under Calc'!A26</f>
        <v>41821</v>
      </c>
      <c r="C29" s="13">
        <f>'Q1-Q2 KU Over-Under Calc'!B26</f>
        <v>41760</v>
      </c>
      <c r="D29" s="14">
        <f>'Q1-Q2 KU Over-Under Calc'!C26</f>
        <v>0.10100000000000001</v>
      </c>
      <c r="E29" s="15">
        <f>'Q1-Q2 KU Over-Under Calc'!N26</f>
        <v>0.1056</v>
      </c>
      <c r="F29" s="16">
        <f t="shared" si="11"/>
        <v>4.599999999999993E-3</v>
      </c>
      <c r="G29" s="133">
        <f>'Q1-Q2 KU Over-Under Calc'!E26</f>
        <v>869643132</v>
      </c>
      <c r="H29" s="133">
        <f t="shared" si="12"/>
        <v>333363.20059999946</v>
      </c>
      <c r="I29" s="14">
        <f>'Q1-Q2 KU Over-Under Calc'!H26</f>
        <v>0.86829999999999996</v>
      </c>
      <c r="J29" s="133">
        <f t="shared" si="13"/>
        <v>289459.26708097954</v>
      </c>
      <c r="L29" s="20">
        <v>264288.89603045973</v>
      </c>
      <c r="M29" s="150">
        <v>0.1052</v>
      </c>
      <c r="N29" s="20">
        <f t="shared" si="14"/>
        <v>-25170.371050519811</v>
      </c>
      <c r="O29" s="149"/>
      <c r="R29" s="7"/>
      <c r="S29" s="7"/>
      <c r="T29" s="7"/>
      <c r="U29" s="7"/>
      <c r="V29" s="7"/>
      <c r="W29" s="7"/>
      <c r="X29" s="7"/>
    </row>
    <row r="30" spans="2:24" x14ac:dyDescent="0.2">
      <c r="B30" s="13">
        <f>'Q1-Q2 KU Over-Under Calc'!A27</f>
        <v>41852</v>
      </c>
      <c r="C30" s="13">
        <f>'Q1-Q2 KU Over-Under Calc'!B27</f>
        <v>41791</v>
      </c>
      <c r="D30" s="14">
        <f>'Q1-Q2 KU Over-Under Calc'!C27</f>
        <v>0.10100000000000001</v>
      </c>
      <c r="E30" s="15">
        <f>'Q1-Q2 KU Over-Under Calc'!N27</f>
        <v>0.1056</v>
      </c>
      <c r="F30" s="16">
        <f t="shared" si="11"/>
        <v>4.599999999999993E-3</v>
      </c>
      <c r="G30" s="133">
        <f>'Q1-Q2 KU Over-Under Calc'!E27</f>
        <v>882323119</v>
      </c>
      <c r="H30" s="133">
        <f t="shared" si="12"/>
        <v>338223.8622833328</v>
      </c>
      <c r="I30" s="14">
        <f>'Q1-Q2 KU Over-Under Calc'!H27</f>
        <v>0.88370000000000004</v>
      </c>
      <c r="J30" s="133">
        <f t="shared" si="13"/>
        <v>298888.42709978123</v>
      </c>
      <c r="L30" s="20">
        <v>272898.12909110473</v>
      </c>
      <c r="M30" s="150">
        <v>0.1052</v>
      </c>
      <c r="N30" s="20">
        <f t="shared" si="14"/>
        <v>-25990.298008676502</v>
      </c>
      <c r="O30" s="149"/>
      <c r="R30" s="7"/>
      <c r="S30" s="7"/>
      <c r="T30" s="7"/>
      <c r="U30" s="7"/>
      <c r="V30" s="7"/>
      <c r="W30" s="7"/>
      <c r="X30" s="7"/>
    </row>
    <row r="31" spans="2:24" x14ac:dyDescent="0.2">
      <c r="B31" s="13">
        <f>'Q1-Q2 KU Over-Under Calc'!A28</f>
        <v>41883</v>
      </c>
      <c r="C31" s="13">
        <f>'Q1-Q2 KU Over-Under Calc'!B28</f>
        <v>41821</v>
      </c>
      <c r="D31" s="14">
        <f>'Q1-Q2 KU Over-Under Calc'!C28</f>
        <v>0.1022</v>
      </c>
      <c r="E31" s="15">
        <f>'Q1-Q2 KU Over-Under Calc'!N28</f>
        <v>0.1056</v>
      </c>
      <c r="F31" s="16">
        <f t="shared" si="11"/>
        <v>3.4000000000000002E-3</v>
      </c>
      <c r="G31" s="133">
        <f>'Q1-Q2 KU Over-Under Calc'!E28</f>
        <v>899691626</v>
      </c>
      <c r="H31" s="133">
        <f t="shared" si="12"/>
        <v>254912.62736666668</v>
      </c>
      <c r="I31" s="14">
        <f>'Q1-Q2 KU Over-Under Calc'!H28</f>
        <v>0.89219999999999999</v>
      </c>
      <c r="J31" s="133">
        <f t="shared" si="13"/>
        <v>227433.04613654001</v>
      </c>
      <c r="L31" s="20">
        <v>200676.21717930018</v>
      </c>
      <c r="M31" s="150">
        <v>0.1052</v>
      </c>
      <c r="N31" s="20">
        <f t="shared" si="14"/>
        <v>-26756.828957239835</v>
      </c>
      <c r="O31" s="149"/>
      <c r="R31" s="7"/>
      <c r="S31" s="7"/>
      <c r="T31" s="7"/>
      <c r="U31" s="7"/>
      <c r="V31" s="7"/>
      <c r="W31" s="7"/>
      <c r="X31" s="7"/>
    </row>
    <row r="32" spans="2:24" x14ac:dyDescent="0.2">
      <c r="B32" s="13">
        <f>'Q1-Q2 KU Over-Under Calc'!A29</f>
        <v>41913</v>
      </c>
      <c r="C32" s="13">
        <f>'Q1-Q2 KU Over-Under Calc'!B29</f>
        <v>41852</v>
      </c>
      <c r="D32" s="14">
        <f>'Q1-Q2 KU Over-Under Calc'!C29</f>
        <v>0.1022</v>
      </c>
      <c r="E32" s="15">
        <f>'Q1-Q2 KU Over-Under Calc'!N29</f>
        <v>0.1056</v>
      </c>
      <c r="F32" s="16">
        <f t="shared" si="11"/>
        <v>3.4000000000000002E-3</v>
      </c>
      <c r="G32" s="133">
        <f>'Q1-Q2 KU Over-Under Calc'!E29</f>
        <v>916873351</v>
      </c>
      <c r="H32" s="138">
        <f t="shared" si="12"/>
        <v>259780.78278333336</v>
      </c>
      <c r="I32" s="14">
        <f>'Q1-Q2 KU Over-Under Calc'!H29</f>
        <v>0.87109999999999999</v>
      </c>
      <c r="J32" s="138">
        <f t="shared" si="13"/>
        <v>226295.03988256169</v>
      </c>
      <c r="L32" s="20">
        <v>199672.09401402518</v>
      </c>
      <c r="M32" s="150">
        <v>0.1052</v>
      </c>
      <c r="N32" s="20">
        <f t="shared" si="14"/>
        <v>-26622.94586853651</v>
      </c>
      <c r="O32" s="149"/>
      <c r="R32" s="7"/>
      <c r="S32" s="7"/>
      <c r="T32" s="7"/>
      <c r="U32" s="7"/>
      <c r="V32" s="7"/>
      <c r="W32" s="7"/>
      <c r="X32" s="7"/>
    </row>
    <row r="33" spans="2:28" x14ac:dyDescent="0.2">
      <c r="B33" s="10"/>
      <c r="C33" s="10"/>
      <c r="D33" s="11"/>
      <c r="E33" s="127"/>
      <c r="F33" s="128"/>
      <c r="G33" s="10"/>
      <c r="H33" s="132">
        <f>SUM(H27:H32)</f>
        <v>1816039.5883333313</v>
      </c>
      <c r="J33" s="132">
        <f>SUM(J27:J32)</f>
        <v>1597656.2547351015</v>
      </c>
      <c r="L33" s="132">
        <f>SUM(L27:L32)</f>
        <v>1444804.4652383695</v>
      </c>
      <c r="N33" s="132">
        <f>SUM(N27:N32)</f>
        <v>-152851.78949673241</v>
      </c>
      <c r="O33" s="149"/>
      <c r="R33" s="7"/>
      <c r="S33" s="7"/>
      <c r="T33" s="7"/>
      <c r="U33" s="7"/>
      <c r="V33" s="7"/>
      <c r="W33" s="7"/>
      <c r="X33" s="7"/>
    </row>
    <row r="34" spans="2:28" x14ac:dyDescent="0.2">
      <c r="B34" s="10"/>
      <c r="C34" s="10"/>
      <c r="D34" s="11"/>
      <c r="E34" s="127"/>
      <c r="F34" s="128"/>
      <c r="G34" s="10"/>
      <c r="H34" s="127"/>
      <c r="I34" s="10"/>
      <c r="J34" s="127"/>
      <c r="L34" s="149"/>
      <c r="N34" s="149"/>
      <c r="R34" s="7"/>
      <c r="S34" s="7"/>
      <c r="T34" s="7"/>
      <c r="U34" s="7"/>
      <c r="V34" s="7"/>
      <c r="W34" s="7"/>
      <c r="X34" s="7"/>
    </row>
    <row r="35" spans="2:28" x14ac:dyDescent="0.2">
      <c r="B35" s="10"/>
      <c r="C35" s="10"/>
      <c r="D35" s="11"/>
      <c r="E35" s="127"/>
      <c r="F35" s="128"/>
      <c r="G35" s="10"/>
      <c r="H35" s="127"/>
      <c r="I35" s="10"/>
      <c r="J35" s="127"/>
      <c r="L35" s="20"/>
      <c r="R35" s="7"/>
      <c r="S35" s="7"/>
      <c r="T35" s="7"/>
      <c r="U35" s="7"/>
      <c r="V35" s="7"/>
      <c r="W35" s="7"/>
      <c r="X35" s="7"/>
    </row>
    <row r="36" spans="2:28" x14ac:dyDescent="0.2">
      <c r="B36" s="13">
        <f>'Q1-Q2 KU Over-Under Calc'!A32</f>
        <v>41944</v>
      </c>
      <c r="C36" s="13">
        <f>'Q1-Q2 KU Over-Under Calc'!B32</f>
        <v>41883</v>
      </c>
      <c r="D36" s="14">
        <f>'Q1-Q2 KU Over-Under Calc'!C32</f>
        <v>0.1022</v>
      </c>
      <c r="E36" s="15">
        <f>'Q1-Q2 KU Over-Under Calc'!N32</f>
        <v>0.10539999999999999</v>
      </c>
      <c r="F36" s="16">
        <f t="shared" ref="F36:F41" si="15">E36-D36</f>
        <v>3.1999999999999945E-3</v>
      </c>
      <c r="G36" s="132">
        <f>'Q1-Q2 KU Over-Under Calc'!E32</f>
        <v>930776213</v>
      </c>
      <c r="H36" s="132">
        <f t="shared" ref="H36:H41" si="16">(F36*G36)/12</f>
        <v>248206.9901333329</v>
      </c>
      <c r="I36" s="14">
        <f>'Q1-Q2 KU Over-Under Calc'!H32</f>
        <v>0.89080000000000004</v>
      </c>
      <c r="J36" s="132">
        <f t="shared" ref="J36:J41" si="17">+H36*I36</f>
        <v>221102.78681077296</v>
      </c>
      <c r="R36" s="18"/>
      <c r="S36" s="18"/>
      <c r="T36" s="18"/>
      <c r="U36" s="18"/>
      <c r="V36" s="18"/>
      <c r="W36" s="18"/>
      <c r="X36" s="7"/>
    </row>
    <row r="37" spans="2:28" x14ac:dyDescent="0.2">
      <c r="B37" s="13">
        <f>'Q1-Q2 KU Over-Under Calc'!A33</f>
        <v>41974</v>
      </c>
      <c r="C37" s="13">
        <f>'Q1-Q2 KU Over-Under Calc'!B33</f>
        <v>41913</v>
      </c>
      <c r="D37" s="14">
        <f>'Q1-Q2 KU Over-Under Calc'!C33</f>
        <v>0.1022</v>
      </c>
      <c r="E37" s="15">
        <f>'Q1-Q2 KU Over-Under Calc'!N33</f>
        <v>0.10539999999999999</v>
      </c>
      <c r="F37" s="16">
        <f t="shared" si="15"/>
        <v>3.1999999999999945E-3</v>
      </c>
      <c r="G37" s="133">
        <f>'Q1-Q2 KU Over-Under Calc'!E33</f>
        <v>945540539</v>
      </c>
      <c r="H37" s="133">
        <f t="shared" si="16"/>
        <v>252144.14373333289</v>
      </c>
      <c r="I37" s="14">
        <f>'Q1-Q2 KU Over-Under Calc'!H33</f>
        <v>0.88090000000000002</v>
      </c>
      <c r="J37" s="133">
        <f t="shared" si="17"/>
        <v>222113.77621469295</v>
      </c>
      <c r="R37" s="18"/>
      <c r="S37" s="18"/>
      <c r="T37" s="18"/>
      <c r="U37" s="18"/>
      <c r="V37" s="18"/>
      <c r="W37" s="18"/>
      <c r="X37" s="7"/>
    </row>
    <row r="38" spans="2:28" x14ac:dyDescent="0.2">
      <c r="B38" s="13">
        <f>'Q1-Q2 KU Over-Under Calc'!A34</f>
        <v>42005</v>
      </c>
      <c r="C38" s="13">
        <f>'Q1-Q2 KU Over-Under Calc'!B34</f>
        <v>41944</v>
      </c>
      <c r="D38" s="14">
        <f>'Q1-Q2 KU Over-Under Calc'!C34</f>
        <v>0.1022</v>
      </c>
      <c r="E38" s="15">
        <f>'Q1-Q2 KU Over-Under Calc'!N34</f>
        <v>0.10539999999999999</v>
      </c>
      <c r="F38" s="16">
        <f t="shared" si="15"/>
        <v>3.1999999999999945E-3</v>
      </c>
      <c r="G38" s="133">
        <f>'Q1-Q2 KU Over-Under Calc'!E34</f>
        <v>955837140</v>
      </c>
      <c r="H38" s="133">
        <f t="shared" si="16"/>
        <v>254889.90399999954</v>
      </c>
      <c r="I38" s="14">
        <f>'Q1-Q2 KU Over-Under Calc'!H34</f>
        <v>0.87760000000000005</v>
      </c>
      <c r="J38" s="133">
        <f t="shared" si="17"/>
        <v>223691.37975039962</v>
      </c>
      <c r="R38" s="18"/>
      <c r="S38" s="18"/>
      <c r="T38" s="18"/>
      <c r="U38" s="18"/>
      <c r="V38" s="18"/>
      <c r="W38" s="18"/>
      <c r="X38" s="7"/>
    </row>
    <row r="39" spans="2:28" x14ac:dyDescent="0.2">
      <c r="B39" s="13">
        <f>'Q1-Q2 KU Over-Under Calc'!A35</f>
        <v>42036</v>
      </c>
      <c r="C39" s="13">
        <f>'Q1-Q2 KU Over-Under Calc'!B35</f>
        <v>41974</v>
      </c>
      <c r="D39" s="14">
        <f>'Q1-Q2 KU Over-Under Calc'!C35</f>
        <v>0.1022</v>
      </c>
      <c r="E39" s="15">
        <f>'Q1-Q2 KU Over-Under Calc'!N35</f>
        <v>0.10539999999999999</v>
      </c>
      <c r="F39" s="16">
        <f t="shared" si="15"/>
        <v>3.1999999999999945E-3</v>
      </c>
      <c r="G39" s="133">
        <f>'Q1-Q2 KU Over-Under Calc'!E35</f>
        <v>951842719</v>
      </c>
      <c r="H39" s="133">
        <f t="shared" si="16"/>
        <v>253824.72506666623</v>
      </c>
      <c r="I39" s="14">
        <f>'Q1-Q2 KU Over-Under Calc'!H35</f>
        <v>0.88070000000000004</v>
      </c>
      <c r="J39" s="133">
        <f t="shared" si="17"/>
        <v>223543.43536621297</v>
      </c>
      <c r="R39" s="18"/>
      <c r="S39" s="18"/>
      <c r="T39" s="18"/>
      <c r="U39" s="18"/>
      <c r="V39" s="18"/>
      <c r="W39" s="18"/>
      <c r="X39" s="7"/>
      <c r="Y39" s="20"/>
      <c r="Z39" s="21"/>
      <c r="AB39" s="22"/>
    </row>
    <row r="40" spans="2:28" x14ac:dyDescent="0.2">
      <c r="B40" s="13">
        <f>'Q1-Q2 KU Over-Under Calc'!A36</f>
        <v>42064</v>
      </c>
      <c r="C40" s="13">
        <f>'Q1-Q2 KU Over-Under Calc'!B36</f>
        <v>42005</v>
      </c>
      <c r="D40" s="14">
        <f>'Q1-Q2 KU Over-Under Calc'!C36</f>
        <v>0.1022</v>
      </c>
      <c r="E40" s="15">
        <f>'Q1-Q2 KU Over-Under Calc'!N36</f>
        <v>0.10539999999999999</v>
      </c>
      <c r="F40" s="16">
        <f t="shared" si="15"/>
        <v>3.1999999999999945E-3</v>
      </c>
      <c r="G40" s="133">
        <f>'Q1-Q2 KU Over-Under Calc'!E36</f>
        <v>969125037</v>
      </c>
      <c r="H40" s="133">
        <f t="shared" si="16"/>
        <v>258433.34319999957</v>
      </c>
      <c r="I40" s="14">
        <f>'Q1-Q2 KU Over-Under Calc'!H36</f>
        <v>0.87429999999999997</v>
      </c>
      <c r="J40" s="133">
        <f t="shared" si="17"/>
        <v>225948.27195975962</v>
      </c>
      <c r="R40" s="18"/>
      <c r="S40" s="18"/>
      <c r="T40" s="18"/>
      <c r="U40" s="18"/>
      <c r="V40" s="18"/>
      <c r="W40" s="18"/>
      <c r="X40" s="7"/>
      <c r="Y40" s="20"/>
      <c r="Z40" s="21"/>
      <c r="AB40" s="22"/>
    </row>
    <row r="41" spans="2:28" x14ac:dyDescent="0.2">
      <c r="B41" s="13">
        <f>'Q1-Q2 KU Over-Under Calc'!A37</f>
        <v>42095</v>
      </c>
      <c r="C41" s="13">
        <f>'Q1-Q2 KU Over-Under Calc'!B37</f>
        <v>42036</v>
      </c>
      <c r="D41" s="14">
        <f>'Q1-Q2 KU Over-Under Calc'!C37</f>
        <v>0.1022</v>
      </c>
      <c r="E41" s="15">
        <f>'Q1-Q2 KU Over-Under Calc'!N37</f>
        <v>0.10539999999999999</v>
      </c>
      <c r="F41" s="16">
        <f t="shared" si="15"/>
        <v>3.1999999999999945E-3</v>
      </c>
      <c r="G41" s="133">
        <f>'Q1-Q2 KU Over-Under Calc'!E37</f>
        <v>990499868</v>
      </c>
      <c r="H41" s="138">
        <f t="shared" si="16"/>
        <v>264133.29813333286</v>
      </c>
      <c r="I41" s="14">
        <f>'Q1-Q2 KU Over-Under Calc'!H37</f>
        <v>0.86329999999999996</v>
      </c>
      <c r="J41" s="138">
        <f t="shared" si="17"/>
        <v>228026.27627850624</v>
      </c>
      <c r="R41" s="7"/>
      <c r="S41" s="7"/>
      <c r="T41" s="7"/>
      <c r="U41" s="18"/>
      <c r="V41" s="18"/>
      <c r="W41" s="18"/>
      <c r="X41" s="7"/>
      <c r="Y41" s="20"/>
      <c r="AA41" s="22"/>
    </row>
    <row r="42" spans="2:28" x14ac:dyDescent="0.2">
      <c r="B42" s="13"/>
      <c r="C42" s="13"/>
      <c r="H42" s="132">
        <f>SUM(H36:H41)</f>
        <v>1531632.4042666638</v>
      </c>
      <c r="J42" s="132">
        <f>SUM(J36:J41)</f>
        <v>1344425.9263803444</v>
      </c>
      <c r="R42" s="7"/>
      <c r="S42" s="7"/>
      <c r="T42" s="7"/>
      <c r="U42" s="7"/>
      <c r="V42" s="7"/>
      <c r="W42" s="7"/>
      <c r="X42" s="7"/>
      <c r="AA42" s="22"/>
      <c r="AB42" s="22"/>
    </row>
    <row r="43" spans="2:28" x14ac:dyDescent="0.2">
      <c r="B43" s="13"/>
      <c r="C43" s="13"/>
      <c r="R43" s="7"/>
      <c r="S43" s="7"/>
      <c r="T43" s="7"/>
      <c r="U43" s="7"/>
      <c r="V43" s="7"/>
      <c r="W43" s="7"/>
      <c r="X43" s="7"/>
      <c r="AA43" s="22"/>
      <c r="AB43" s="22"/>
    </row>
    <row r="44" spans="2:28" x14ac:dyDescent="0.2">
      <c r="R44" s="7"/>
      <c r="S44" s="7"/>
      <c r="T44" s="7"/>
      <c r="U44" s="7"/>
      <c r="V44" s="7"/>
      <c r="W44" s="7"/>
      <c r="X44" s="7"/>
    </row>
    <row r="45" spans="2:28" s="5" customFormat="1" x14ac:dyDescent="0.2">
      <c r="B45" s="6">
        <v>-1</v>
      </c>
      <c r="C45" s="6">
        <f t="shared" ref="C45:G45" si="18">+B45-1</f>
        <v>-2</v>
      </c>
      <c r="D45" s="6">
        <f t="shared" si="18"/>
        <v>-3</v>
      </c>
      <c r="E45" s="6">
        <f t="shared" si="18"/>
        <v>-4</v>
      </c>
      <c r="F45" s="6">
        <f t="shared" si="18"/>
        <v>-5</v>
      </c>
      <c r="G45" s="6">
        <f t="shared" si="18"/>
        <v>-6</v>
      </c>
      <c r="H45" s="6"/>
      <c r="I45" s="6"/>
      <c r="J45" s="1" t="s">
        <v>49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1"/>
      <c r="X45" s="11"/>
    </row>
    <row r="46" spans="2:28" x14ac:dyDescent="0.2">
      <c r="C46" s="24"/>
      <c r="D46" s="274" t="s">
        <v>73</v>
      </c>
      <c r="E46" s="274"/>
      <c r="F46" s="274"/>
      <c r="G46" s="274"/>
      <c r="H46" s="5"/>
      <c r="J46" s="1" t="s">
        <v>140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8" ht="51" x14ac:dyDescent="0.2">
      <c r="B47" s="9" t="s">
        <v>74</v>
      </c>
      <c r="C47" s="9" t="s">
        <v>75</v>
      </c>
      <c r="D47" s="25" t="s">
        <v>33</v>
      </c>
      <c r="E47" s="9" t="s">
        <v>151</v>
      </c>
      <c r="F47" s="9" t="s">
        <v>150</v>
      </c>
      <c r="G47" s="8" t="s">
        <v>76</v>
      </c>
      <c r="H47" s="5"/>
      <c r="I47" s="5"/>
      <c r="J47" s="147" t="s">
        <v>35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8" x14ac:dyDescent="0.2">
      <c r="B48" s="5"/>
      <c r="C48" s="5"/>
      <c r="D48" s="12" t="s">
        <v>77</v>
      </c>
      <c r="E48" s="5"/>
      <c r="G48" s="5"/>
      <c r="H48" s="5"/>
      <c r="I48" s="5"/>
      <c r="J48" s="7"/>
      <c r="K48" s="7"/>
      <c r="L48" s="7"/>
      <c r="M48" s="7"/>
      <c r="N48" s="23"/>
      <c r="O48" s="7"/>
      <c r="P48" s="7"/>
      <c r="Q48" s="7"/>
      <c r="R48" s="7"/>
      <c r="S48" s="7"/>
      <c r="T48" s="7"/>
      <c r="U48" s="7"/>
      <c r="V48" s="7"/>
    </row>
    <row r="49" spans="2:22" x14ac:dyDescent="0.2">
      <c r="B49" s="26"/>
      <c r="C49" s="5"/>
      <c r="D49" s="5"/>
      <c r="H49" s="5"/>
      <c r="I49" s="5"/>
      <c r="J49" s="27"/>
      <c r="K49" s="23"/>
      <c r="L49" s="23"/>
      <c r="M49" s="23"/>
      <c r="N49" s="23"/>
      <c r="O49" s="7"/>
      <c r="P49" s="7"/>
      <c r="Q49" s="7"/>
      <c r="R49" s="7"/>
      <c r="S49" s="7"/>
      <c r="T49" s="7"/>
      <c r="U49" s="7"/>
      <c r="V49" s="7"/>
    </row>
    <row r="50" spans="2:22" x14ac:dyDescent="0.2">
      <c r="B50" s="26">
        <f>B9</f>
        <v>41395</v>
      </c>
      <c r="C50" s="26">
        <f>+C9</f>
        <v>41334</v>
      </c>
      <c r="D50" s="139">
        <f>'Q1-Q2 KU Over-Under Calc'!AO8</f>
        <v>-408840.53818250168</v>
      </c>
      <c r="E50" s="132">
        <f>-J9</f>
        <v>3394.1642833000974</v>
      </c>
      <c r="G50" s="132">
        <f t="shared" ref="G50:G55" si="19">D50-E50</f>
        <v>-412234.70246580179</v>
      </c>
      <c r="H50" s="127"/>
      <c r="I50" s="127"/>
      <c r="J50" s="27"/>
      <c r="K50" s="23"/>
      <c r="L50" s="23"/>
      <c r="M50" s="23"/>
      <c r="N50" s="23"/>
      <c r="O50" s="7"/>
      <c r="P50" s="7"/>
      <c r="Q50" s="7"/>
      <c r="R50" s="7"/>
      <c r="S50" s="7"/>
      <c r="T50" s="7"/>
      <c r="U50" s="7"/>
      <c r="V50" s="7"/>
    </row>
    <row r="51" spans="2:22" x14ac:dyDescent="0.2">
      <c r="B51" s="26">
        <f t="shared" ref="B51:B55" si="20">B10</f>
        <v>41426</v>
      </c>
      <c r="C51" s="26">
        <f t="shared" ref="C51:C55" si="21">+C10</f>
        <v>41365</v>
      </c>
      <c r="D51" s="140">
        <f>'Q1-Q2 KU Over-Under Calc'!AO9</f>
        <v>-12091.103306459263</v>
      </c>
      <c r="E51" s="133">
        <f t="shared" ref="E51:E55" si="22">-J10</f>
        <v>18030.41943655835</v>
      </c>
      <c r="G51" s="133">
        <f t="shared" si="19"/>
        <v>-30121.522743017613</v>
      </c>
      <c r="H51" s="127"/>
      <c r="I51" s="127"/>
      <c r="J51" s="27"/>
      <c r="K51" s="23"/>
      <c r="L51" s="23"/>
      <c r="M51" s="23"/>
      <c r="N51" s="23"/>
      <c r="O51" s="7"/>
      <c r="P51" s="7"/>
      <c r="Q51" s="7"/>
      <c r="R51" s="7"/>
      <c r="S51" s="7"/>
      <c r="T51" s="7"/>
      <c r="U51" s="7"/>
      <c r="V51" s="7"/>
    </row>
    <row r="52" spans="2:22" x14ac:dyDescent="0.2">
      <c r="B52" s="26">
        <f t="shared" si="20"/>
        <v>41456</v>
      </c>
      <c r="C52" s="26">
        <f t="shared" si="21"/>
        <v>41395</v>
      </c>
      <c r="D52" s="140">
        <f>'Q1-Q2 KU Over-Under Calc'!AO10</f>
        <v>408153.64510349836</v>
      </c>
      <c r="E52" s="133">
        <f t="shared" si="22"/>
        <v>18001.143343300017</v>
      </c>
      <c r="G52" s="133">
        <f t="shared" si="19"/>
        <v>390152.50176019833</v>
      </c>
      <c r="H52" s="127"/>
      <c r="I52" s="127"/>
      <c r="J52" s="27"/>
      <c r="K52" s="23"/>
      <c r="L52" s="23"/>
      <c r="M52" s="23"/>
      <c r="N52" s="23"/>
      <c r="O52" s="7"/>
      <c r="P52" s="7"/>
      <c r="Q52" s="7"/>
      <c r="R52" s="7"/>
      <c r="S52" s="7"/>
      <c r="T52" s="7"/>
      <c r="U52" s="7"/>
      <c r="V52" s="7"/>
    </row>
    <row r="53" spans="2:22" x14ac:dyDescent="0.2">
      <c r="B53" s="26">
        <f t="shared" si="20"/>
        <v>41487</v>
      </c>
      <c r="C53" s="26">
        <f t="shared" si="21"/>
        <v>41426</v>
      </c>
      <c r="D53" s="140">
        <f>'Q1-Q2 KU Over-Under Calc'!AO11</f>
        <v>352906.67239785474</v>
      </c>
      <c r="E53" s="133">
        <f t="shared" si="22"/>
        <v>19003.424313795851</v>
      </c>
      <c r="G53" s="133">
        <f t="shared" si="19"/>
        <v>333903.24808405887</v>
      </c>
      <c r="H53" s="127"/>
      <c r="I53" s="127"/>
      <c r="J53" s="27"/>
      <c r="K53" s="23"/>
      <c r="L53" s="23"/>
      <c r="M53" s="23"/>
      <c r="N53" s="23"/>
      <c r="O53" s="7"/>
      <c r="P53" s="7"/>
      <c r="Q53" s="7"/>
      <c r="R53" s="7"/>
      <c r="S53" s="7"/>
      <c r="T53" s="7"/>
      <c r="U53" s="7"/>
      <c r="V53" s="7"/>
    </row>
    <row r="54" spans="2:22" x14ac:dyDescent="0.2">
      <c r="B54" s="26">
        <f t="shared" si="20"/>
        <v>41518</v>
      </c>
      <c r="C54" s="26">
        <f t="shared" si="21"/>
        <v>41456</v>
      </c>
      <c r="D54" s="140">
        <f>'Q1-Q2 KU Over-Under Calc'!AO12</f>
        <v>353437.9742761245</v>
      </c>
      <c r="E54" s="133">
        <f t="shared" si="22"/>
        <v>20080.865436975018</v>
      </c>
      <c r="G54" s="133">
        <f t="shared" si="19"/>
        <v>333357.10883914947</v>
      </c>
      <c r="H54" s="127"/>
      <c r="I54" s="127"/>
      <c r="J54" s="27"/>
      <c r="K54" s="23"/>
      <c r="L54" s="23"/>
      <c r="M54" s="23"/>
      <c r="N54" s="23"/>
      <c r="O54" s="7"/>
      <c r="P54" s="7"/>
      <c r="Q54" s="7"/>
      <c r="R54" s="7"/>
      <c r="S54" s="7"/>
      <c r="T54" s="7"/>
      <c r="U54" s="7"/>
      <c r="V54" s="7"/>
    </row>
    <row r="55" spans="2:22" x14ac:dyDescent="0.2">
      <c r="B55" s="51">
        <f t="shared" si="20"/>
        <v>41548</v>
      </c>
      <c r="C55" s="51">
        <f t="shared" si="21"/>
        <v>41487</v>
      </c>
      <c r="D55" s="141">
        <f>'Q1-Q2 KU Over-Under Calc'!AO13</f>
        <v>-346538.47847210243</v>
      </c>
      <c r="E55" s="138">
        <f t="shared" si="22"/>
        <v>20623.051144254187</v>
      </c>
      <c r="F55" s="138"/>
      <c r="G55" s="138">
        <f t="shared" si="19"/>
        <v>-367161.52961635659</v>
      </c>
      <c r="H55" s="127"/>
      <c r="I55" s="127"/>
      <c r="J55" s="27"/>
      <c r="K55" s="23"/>
      <c r="L55" s="23"/>
      <c r="M55" s="23"/>
      <c r="N55" s="23"/>
      <c r="O55" s="7"/>
      <c r="P55" s="7"/>
      <c r="Q55" s="7"/>
      <c r="R55" s="7"/>
      <c r="S55" s="7"/>
      <c r="T55" s="7"/>
      <c r="U55" s="7"/>
      <c r="V55" s="7"/>
    </row>
    <row r="56" spans="2:22" x14ac:dyDescent="0.2">
      <c r="B56" s="4" t="s">
        <v>136</v>
      </c>
      <c r="D56" s="132">
        <f>SUM(D50:D55)</f>
        <v>347028.17181641422</v>
      </c>
      <c r="E56" s="132">
        <f>SUM(E50:E55)</f>
        <v>99133.067958183528</v>
      </c>
      <c r="F56" s="132">
        <f>SUM(F50:F55)</f>
        <v>0</v>
      </c>
      <c r="G56" s="132">
        <f>SUM(G50:G55)</f>
        <v>247895.10385823064</v>
      </c>
      <c r="H56" s="127"/>
      <c r="I56" s="127"/>
      <c r="J56" s="27"/>
      <c r="K56" s="23"/>
      <c r="L56" s="23"/>
      <c r="M56" s="23"/>
      <c r="N56" s="23"/>
      <c r="O56" s="7"/>
      <c r="P56" s="7"/>
      <c r="Q56" s="7"/>
      <c r="R56" s="7"/>
      <c r="S56" s="7"/>
      <c r="T56" s="7"/>
      <c r="U56" s="7"/>
      <c r="V56" s="7"/>
    </row>
    <row r="57" spans="2:22" x14ac:dyDescent="0.2">
      <c r="B57" s="26"/>
      <c r="C57" s="127"/>
      <c r="D57" s="127"/>
      <c r="H57" s="127"/>
      <c r="I57" s="127"/>
      <c r="J57" s="27"/>
      <c r="K57" s="23"/>
      <c r="L57" s="23"/>
      <c r="M57" s="23"/>
      <c r="N57" s="23"/>
      <c r="O57" s="7"/>
      <c r="P57" s="7"/>
      <c r="Q57" s="7"/>
      <c r="R57" s="7"/>
      <c r="S57" s="7"/>
      <c r="T57" s="7"/>
      <c r="U57" s="7"/>
      <c r="V57" s="7"/>
    </row>
    <row r="58" spans="2:22" x14ac:dyDescent="0.2">
      <c r="B58" s="26"/>
      <c r="C58" s="127"/>
      <c r="D58" s="127"/>
      <c r="H58" s="127"/>
      <c r="I58" s="127"/>
      <c r="J58" s="27"/>
      <c r="K58" s="23"/>
      <c r="L58" s="23"/>
      <c r="M58" s="23"/>
      <c r="N58" s="23"/>
      <c r="O58" s="7"/>
      <c r="P58" s="7"/>
      <c r="Q58" s="7"/>
      <c r="R58" s="7"/>
      <c r="S58" s="7"/>
      <c r="T58" s="7"/>
      <c r="U58" s="7"/>
      <c r="V58" s="7"/>
    </row>
    <row r="59" spans="2:22" x14ac:dyDescent="0.2">
      <c r="B59" s="26">
        <f t="shared" ref="B59:B64" si="23">B18</f>
        <v>41579</v>
      </c>
      <c r="C59" s="26">
        <f>+C18</f>
        <v>41518</v>
      </c>
      <c r="D59" s="139">
        <f>'Q1-Q2 KU Over-Under Calc'!AO16</f>
        <v>-679090.68446689937</v>
      </c>
      <c r="E59" s="132">
        <f>+L18</f>
        <v>-47577.707364329559</v>
      </c>
      <c r="F59" s="132">
        <f>-N18</f>
        <v>47577.707364329559</v>
      </c>
      <c r="G59" s="132">
        <f>D59-E59-F59</f>
        <v>-679090.68446689937</v>
      </c>
      <c r="H59" s="127"/>
      <c r="I59" s="127"/>
      <c r="J59" s="27"/>
      <c r="K59" s="23"/>
      <c r="L59" s="23"/>
      <c r="M59" s="23"/>
      <c r="N59" s="23"/>
      <c r="O59" s="7"/>
      <c r="P59" s="7"/>
      <c r="Q59" s="7"/>
      <c r="R59" s="7"/>
      <c r="S59" s="7"/>
      <c r="T59" s="7"/>
      <c r="U59" s="7"/>
      <c r="V59" s="7"/>
    </row>
    <row r="60" spans="2:22" x14ac:dyDescent="0.2">
      <c r="B60" s="26">
        <f t="shared" si="23"/>
        <v>41609</v>
      </c>
      <c r="C60" s="26">
        <f t="shared" ref="C60:C64" si="24">+C19</f>
        <v>41548</v>
      </c>
      <c r="D60" s="140">
        <f>'Q1-Q2 KU Over-Under Calc'!AO17</f>
        <v>472055.09149529226</v>
      </c>
      <c r="E60" s="133">
        <f>+L19</f>
        <v>-49640.261041753714</v>
      </c>
      <c r="F60" s="133">
        <f t="shared" ref="F60:F64" si="25">-N19</f>
        <v>49640.261041753714</v>
      </c>
      <c r="G60" s="133">
        <f t="shared" ref="G60:G64" si="26">D60-E60-F60</f>
        <v>472055.09149529226</v>
      </c>
      <c r="H60" s="127"/>
      <c r="I60" s="127"/>
      <c r="J60" s="27"/>
      <c r="K60" s="23"/>
      <c r="L60" s="23"/>
      <c r="M60" s="23"/>
      <c r="N60" s="23"/>
      <c r="O60" s="7"/>
      <c r="P60" s="7"/>
      <c r="Q60" s="7"/>
      <c r="R60" s="7"/>
      <c r="S60" s="7"/>
      <c r="T60" s="7"/>
      <c r="U60" s="7"/>
      <c r="V60" s="7"/>
    </row>
    <row r="61" spans="2:22" x14ac:dyDescent="0.2">
      <c r="B61" s="26">
        <f t="shared" si="23"/>
        <v>41640</v>
      </c>
      <c r="C61" s="26">
        <f t="shared" si="24"/>
        <v>41579</v>
      </c>
      <c r="D61" s="140">
        <f>'Q1-Q2 KU Over-Under Calc'!AO18</f>
        <v>1435446.9925765321</v>
      </c>
      <c r="E61" s="133">
        <f t="shared" ref="E61:E64" si="27">+L20</f>
        <v>44309.648216039903</v>
      </c>
      <c r="F61" s="133">
        <f t="shared" si="25"/>
        <v>54156.236708492841</v>
      </c>
      <c r="G61" s="133">
        <f t="shared" si="26"/>
        <v>1336981.1076519995</v>
      </c>
      <c r="H61" s="127"/>
      <c r="I61" s="127"/>
      <c r="J61" s="27"/>
      <c r="K61" s="23"/>
      <c r="L61" s="23"/>
      <c r="M61" s="23"/>
      <c r="N61" s="23"/>
      <c r="O61" s="7"/>
      <c r="P61" s="7"/>
      <c r="Q61" s="7"/>
      <c r="R61" s="7"/>
      <c r="S61" s="7"/>
      <c r="T61" s="7"/>
      <c r="U61" s="7"/>
      <c r="V61" s="7"/>
    </row>
    <row r="62" spans="2:22" x14ac:dyDescent="0.2">
      <c r="B62" s="26">
        <f t="shared" si="23"/>
        <v>41671</v>
      </c>
      <c r="C62" s="26">
        <f t="shared" si="24"/>
        <v>41609</v>
      </c>
      <c r="D62" s="140">
        <f>'Q1-Q2 KU Over-Under Calc'!AO19</f>
        <v>1895437.2057735007</v>
      </c>
      <c r="E62" s="133">
        <f t="shared" si="27"/>
        <v>48812.274175949889</v>
      </c>
      <c r="F62" s="133">
        <f t="shared" si="25"/>
        <v>59659.446215049451</v>
      </c>
      <c r="G62" s="133">
        <f t="shared" si="26"/>
        <v>1786965.4853825015</v>
      </c>
      <c r="H62" s="127"/>
      <c r="I62" s="127"/>
      <c r="J62" s="27"/>
      <c r="K62" s="23"/>
      <c r="L62" s="23"/>
      <c r="M62" s="23"/>
      <c r="N62" s="23"/>
      <c r="O62" s="7"/>
      <c r="P62" s="7"/>
      <c r="Q62" s="7"/>
      <c r="R62" s="7"/>
      <c r="S62" s="7"/>
      <c r="T62" s="7"/>
      <c r="U62" s="7"/>
      <c r="V62" s="7"/>
    </row>
    <row r="63" spans="2:22" x14ac:dyDescent="0.2">
      <c r="B63" s="26">
        <f t="shared" si="23"/>
        <v>41699</v>
      </c>
      <c r="C63" s="26">
        <f t="shared" si="24"/>
        <v>41640</v>
      </c>
      <c r="D63" s="140">
        <f>'Q1-Q2 KU Over-Under Calc'!AO20</f>
        <v>304658.39829165023</v>
      </c>
      <c r="E63" s="133">
        <f t="shared" si="27"/>
        <v>273633.47697616613</v>
      </c>
      <c r="F63" s="133">
        <f t="shared" si="25"/>
        <v>27363.347697616729</v>
      </c>
      <c r="G63" s="133">
        <f t="shared" si="26"/>
        <v>3661.5736178673687</v>
      </c>
      <c r="H63" s="127"/>
      <c r="I63" s="127"/>
      <c r="J63" s="27"/>
      <c r="K63" s="23"/>
      <c r="L63" s="23"/>
      <c r="M63" s="23"/>
      <c r="N63" s="23"/>
      <c r="O63" s="7"/>
      <c r="P63" s="7"/>
      <c r="Q63" s="7"/>
      <c r="R63" s="7"/>
      <c r="S63" s="7"/>
      <c r="T63" s="7"/>
      <c r="U63" s="7"/>
      <c r="V63" s="7"/>
    </row>
    <row r="64" spans="2:22" x14ac:dyDescent="0.2">
      <c r="B64" s="51">
        <f t="shared" si="23"/>
        <v>41730</v>
      </c>
      <c r="C64" s="51">
        <f t="shared" si="24"/>
        <v>41671</v>
      </c>
      <c r="D64" s="141">
        <f>'Q1-Q2 KU Over-Under Calc'!AO21</f>
        <v>-373676.72465000022</v>
      </c>
      <c r="E64" s="138">
        <f t="shared" si="27"/>
        <v>283821.75733999949</v>
      </c>
      <c r="F64" s="138">
        <f t="shared" si="25"/>
        <v>28382.175734000048</v>
      </c>
      <c r="G64" s="138">
        <f t="shared" si="26"/>
        <v>-685880.65772399982</v>
      </c>
      <c r="H64" s="127"/>
      <c r="I64" s="127"/>
      <c r="J64" s="27"/>
      <c r="K64" s="23"/>
      <c r="L64" s="23"/>
      <c r="M64" s="23"/>
      <c r="N64" s="23"/>
      <c r="O64" s="7"/>
      <c r="P64" s="7"/>
      <c r="Q64" s="7"/>
      <c r="R64" s="7"/>
      <c r="S64" s="7"/>
      <c r="T64" s="7"/>
      <c r="U64" s="7"/>
      <c r="V64" s="7"/>
    </row>
    <row r="65" spans="2:22" x14ac:dyDescent="0.2">
      <c r="B65" s="4" t="s">
        <v>136</v>
      </c>
      <c r="D65" s="132">
        <f>SUM(D59:D64)</f>
        <v>3054830.2790200757</v>
      </c>
      <c r="E65" s="132">
        <f>SUM(E59:E64)</f>
        <v>553359.18830207223</v>
      </c>
      <c r="F65" s="132">
        <f>SUM(F59:F64)</f>
        <v>266779.17476124235</v>
      </c>
      <c r="G65" s="132">
        <f>SUM(G59:G64)</f>
        <v>2234691.9159567617</v>
      </c>
      <c r="H65" s="127"/>
      <c r="I65" s="127"/>
      <c r="J65" s="27"/>
      <c r="K65" s="23"/>
      <c r="L65" s="23"/>
      <c r="M65" s="23"/>
      <c r="N65" s="23"/>
      <c r="O65" s="7"/>
      <c r="P65" s="7"/>
      <c r="Q65" s="7"/>
      <c r="R65" s="7"/>
      <c r="S65" s="7"/>
      <c r="T65" s="7"/>
      <c r="U65" s="7"/>
      <c r="V65" s="7"/>
    </row>
    <row r="66" spans="2:22" x14ac:dyDescent="0.2">
      <c r="B66" s="26"/>
      <c r="C66" s="127"/>
      <c r="D66" s="127"/>
      <c r="H66" s="127"/>
      <c r="I66" s="127"/>
      <c r="J66" s="27"/>
      <c r="K66" s="23"/>
      <c r="L66" s="23"/>
      <c r="M66" s="23"/>
      <c r="N66" s="23"/>
      <c r="O66" s="7"/>
      <c r="P66" s="7"/>
      <c r="Q66" s="7"/>
      <c r="R66" s="7"/>
      <c r="S66" s="7"/>
      <c r="T66" s="7"/>
      <c r="U66" s="7"/>
      <c r="V66" s="7"/>
    </row>
    <row r="67" spans="2:22" x14ac:dyDescent="0.2">
      <c r="B67" s="26"/>
      <c r="C67" s="127"/>
      <c r="D67" s="127"/>
      <c r="H67" s="127"/>
      <c r="I67" s="127"/>
      <c r="J67" s="27"/>
      <c r="K67" s="23"/>
      <c r="L67" s="23"/>
      <c r="M67" s="23"/>
      <c r="N67" s="23"/>
      <c r="O67" s="7"/>
      <c r="P67" s="7"/>
      <c r="Q67" s="7"/>
      <c r="R67" s="7"/>
      <c r="S67" s="7"/>
      <c r="T67" s="7"/>
      <c r="U67" s="7"/>
      <c r="V67" s="7"/>
    </row>
    <row r="68" spans="2:22" x14ac:dyDescent="0.2">
      <c r="B68" s="26">
        <f t="shared" ref="B68:B73" si="28">B27</f>
        <v>41760</v>
      </c>
      <c r="C68" s="26">
        <f>+C27</f>
        <v>41699</v>
      </c>
      <c r="D68" s="139">
        <f>'Q1-Q2 KU Over-Under Calc'!AO26</f>
        <v>-590711.11877872143</v>
      </c>
      <c r="E68" s="132">
        <f>+L27</f>
        <v>248249.70300353973</v>
      </c>
      <c r="F68" s="132">
        <f>-N27</f>
        <v>23642.828857479879</v>
      </c>
      <c r="G68" s="132">
        <f>D68-E68-F68</f>
        <v>-862603.65063974098</v>
      </c>
      <c r="H68" s="127"/>
      <c r="I68" s="127"/>
      <c r="J68" s="27"/>
      <c r="K68" s="23"/>
      <c r="L68" s="23"/>
      <c r="M68" s="23"/>
      <c r="N68" s="23"/>
      <c r="O68" s="7"/>
      <c r="P68" s="7"/>
      <c r="Q68" s="7"/>
      <c r="R68" s="7"/>
      <c r="S68" s="7"/>
      <c r="T68" s="7"/>
      <c r="U68" s="7"/>
      <c r="V68" s="7"/>
    </row>
    <row r="69" spans="2:22" x14ac:dyDescent="0.2">
      <c r="B69" s="26">
        <f t="shared" si="28"/>
        <v>41791</v>
      </c>
      <c r="C69" s="26">
        <f t="shared" ref="C69:C73" si="29">+C28</f>
        <v>41730</v>
      </c>
      <c r="D69" s="140">
        <f>'Q1-Q2 KU Over-Under Calc'!AO27</f>
        <v>-303347.16929192189</v>
      </c>
      <c r="E69" s="133">
        <f>+L28</f>
        <v>259019.42591993973</v>
      </c>
      <c r="F69" s="133">
        <f t="shared" ref="F69:F73" si="30">-N28</f>
        <v>24668.516754279874</v>
      </c>
      <c r="G69" s="133">
        <f t="shared" ref="G69:G73" si="31">D69-E69-F69</f>
        <v>-587035.1119661415</v>
      </c>
      <c r="H69" s="127"/>
      <c r="I69" s="127"/>
      <c r="J69" s="27"/>
      <c r="K69" s="23"/>
      <c r="L69" s="23"/>
      <c r="M69" s="23"/>
      <c r="N69" s="23"/>
      <c r="O69" s="7"/>
      <c r="P69" s="7"/>
      <c r="Q69" s="7"/>
      <c r="R69" s="7"/>
      <c r="S69" s="7"/>
      <c r="T69" s="7"/>
      <c r="U69" s="7"/>
      <c r="V69" s="7"/>
    </row>
    <row r="70" spans="2:22" x14ac:dyDescent="0.2">
      <c r="B70" s="26">
        <f t="shared" si="28"/>
        <v>41821</v>
      </c>
      <c r="C70" s="26">
        <f t="shared" si="29"/>
        <v>41760</v>
      </c>
      <c r="D70" s="140">
        <f>'Q1-Q2 KU Over-Under Calc'!AO28</f>
        <v>48515.210531721823</v>
      </c>
      <c r="E70" s="133">
        <f t="shared" ref="E70:E73" si="32">+L29</f>
        <v>264288.89603045973</v>
      </c>
      <c r="F70" s="133">
        <f t="shared" si="30"/>
        <v>25170.371050519811</v>
      </c>
      <c r="G70" s="133">
        <f t="shared" si="31"/>
        <v>-240944.05654925772</v>
      </c>
      <c r="H70" s="127"/>
      <c r="I70" s="127"/>
      <c r="J70" s="27"/>
      <c r="K70" s="23"/>
      <c r="L70" s="23"/>
      <c r="M70" s="23"/>
      <c r="N70" s="23"/>
      <c r="O70" s="7"/>
      <c r="P70" s="7"/>
      <c r="Q70" s="7"/>
      <c r="R70" s="7"/>
      <c r="S70" s="7"/>
      <c r="T70" s="7"/>
      <c r="U70" s="7"/>
      <c r="V70" s="7"/>
    </row>
    <row r="71" spans="2:22" x14ac:dyDescent="0.2">
      <c r="B71" s="26">
        <f t="shared" si="28"/>
        <v>41852</v>
      </c>
      <c r="C71" s="26">
        <f t="shared" si="29"/>
        <v>41791</v>
      </c>
      <c r="D71" s="140">
        <f>'Q1-Q2 KU Over-Under Calc'!AO29</f>
        <v>-401380.47559864074</v>
      </c>
      <c r="E71" s="133">
        <f t="shared" si="32"/>
        <v>272898.12909110473</v>
      </c>
      <c r="F71" s="133">
        <f t="shared" si="30"/>
        <v>25990.298008676502</v>
      </c>
      <c r="G71" s="133">
        <f t="shared" si="31"/>
        <v>-700268.90269842197</v>
      </c>
      <c r="H71" s="127"/>
      <c r="I71" s="127"/>
      <c r="J71" s="27"/>
      <c r="K71" s="23"/>
      <c r="L71" s="23"/>
      <c r="M71" s="23"/>
      <c r="N71" s="23"/>
      <c r="O71" s="7"/>
      <c r="P71" s="7"/>
      <c r="Q71" s="7"/>
      <c r="R71" s="7"/>
      <c r="S71" s="7"/>
      <c r="T71" s="7"/>
      <c r="U71" s="7"/>
      <c r="V71" s="7"/>
    </row>
    <row r="72" spans="2:22" x14ac:dyDescent="0.2">
      <c r="B72" s="26">
        <f t="shared" si="28"/>
        <v>41883</v>
      </c>
      <c r="C72" s="26">
        <f t="shared" si="29"/>
        <v>41821</v>
      </c>
      <c r="D72" s="140">
        <f>'Q1-Q2 KU Over-Under Calc'!AO30</f>
        <v>-51852.896983360872</v>
      </c>
      <c r="E72" s="133">
        <f t="shared" si="32"/>
        <v>200676.21717930018</v>
      </c>
      <c r="F72" s="133">
        <f t="shared" si="30"/>
        <v>26756.828957239835</v>
      </c>
      <c r="G72" s="133">
        <f t="shared" si="31"/>
        <v>-279285.94311990088</v>
      </c>
      <c r="H72" s="127"/>
      <c r="I72" s="127"/>
      <c r="J72" s="27"/>
      <c r="K72" s="23"/>
      <c r="L72" s="23"/>
      <c r="M72" s="23"/>
      <c r="N72" s="23"/>
      <c r="O72" s="7"/>
      <c r="P72" s="7"/>
      <c r="Q72" s="7"/>
      <c r="R72" s="7"/>
      <c r="S72" s="7"/>
      <c r="T72" s="7"/>
      <c r="U72" s="7"/>
      <c r="V72" s="7"/>
    </row>
    <row r="73" spans="2:22" x14ac:dyDescent="0.2">
      <c r="B73" s="51">
        <f t="shared" si="28"/>
        <v>41913</v>
      </c>
      <c r="C73" s="51">
        <f t="shared" si="29"/>
        <v>41852</v>
      </c>
      <c r="D73" s="141">
        <f>'Q1-Q2 KU Over-Under Calc'!AO31</f>
        <v>-697574.50439167954</v>
      </c>
      <c r="E73" s="138">
        <f t="shared" si="32"/>
        <v>199672.09401402518</v>
      </c>
      <c r="F73" s="138">
        <f t="shared" si="30"/>
        <v>26622.94586853651</v>
      </c>
      <c r="G73" s="138">
        <f t="shared" si="31"/>
        <v>-923869.5442742412</v>
      </c>
      <c r="H73" s="127"/>
      <c r="I73" s="127"/>
      <c r="J73" s="27"/>
      <c r="K73" s="23"/>
      <c r="L73" s="23"/>
      <c r="M73" s="23"/>
      <c r="N73" s="23"/>
      <c r="O73" s="7"/>
      <c r="P73" s="7"/>
      <c r="Q73" s="7"/>
      <c r="R73" s="7"/>
      <c r="S73" s="7"/>
      <c r="T73" s="7"/>
      <c r="U73" s="7"/>
      <c r="V73" s="7"/>
    </row>
    <row r="74" spans="2:22" x14ac:dyDescent="0.2">
      <c r="B74" s="4" t="s">
        <v>136</v>
      </c>
      <c r="D74" s="132">
        <f>SUM(D68:D73)</f>
        <v>-1996350.9545126026</v>
      </c>
      <c r="E74" s="132">
        <f>SUM(E68:E73)</f>
        <v>1444804.4652383695</v>
      </c>
      <c r="F74" s="132">
        <f>SUM(F68:F73)</f>
        <v>152851.78949673241</v>
      </c>
      <c r="G74" s="132">
        <f>SUM(G68:G73)</f>
        <v>-3594007.2092477041</v>
      </c>
      <c r="H74" s="127"/>
      <c r="I74" s="127"/>
      <c r="J74" s="27"/>
      <c r="K74" s="23"/>
      <c r="L74" s="23"/>
      <c r="M74" s="23"/>
      <c r="N74" s="23"/>
      <c r="O74" s="7"/>
      <c r="P74" s="7"/>
      <c r="Q74" s="7"/>
      <c r="R74" s="7"/>
      <c r="S74" s="7"/>
      <c r="T74" s="7"/>
      <c r="U74" s="7"/>
      <c r="V74" s="7"/>
    </row>
    <row r="75" spans="2:22" x14ac:dyDescent="0.2">
      <c r="B75" s="26"/>
      <c r="C75" s="127"/>
      <c r="D75" s="127"/>
      <c r="H75" s="127"/>
      <c r="I75" s="127"/>
      <c r="J75" s="27"/>
      <c r="K75" s="23"/>
      <c r="L75" s="23"/>
      <c r="M75" s="23"/>
      <c r="N75" s="23"/>
      <c r="O75" s="7"/>
      <c r="P75" s="7"/>
      <c r="Q75" s="7"/>
      <c r="R75" s="7"/>
      <c r="S75" s="7"/>
      <c r="T75" s="7"/>
      <c r="U75" s="7"/>
      <c r="V75" s="7"/>
    </row>
    <row r="76" spans="2:22" x14ac:dyDescent="0.2">
      <c r="B76" s="26"/>
      <c r="C76" s="127"/>
      <c r="D76" s="127"/>
      <c r="H76" s="127"/>
      <c r="I76" s="127"/>
      <c r="J76" s="27"/>
      <c r="K76" s="23"/>
      <c r="L76" s="23"/>
      <c r="M76" s="23"/>
      <c r="N76" s="23"/>
      <c r="O76" s="7"/>
      <c r="P76" s="7"/>
      <c r="Q76" s="7"/>
      <c r="R76" s="7"/>
      <c r="S76" s="7"/>
      <c r="T76" s="7"/>
      <c r="U76" s="7"/>
      <c r="V76" s="7"/>
    </row>
    <row r="77" spans="2:22" x14ac:dyDescent="0.2">
      <c r="B77" s="26">
        <f t="shared" ref="B77:C82" si="33">+B36</f>
        <v>41944</v>
      </c>
      <c r="C77" s="26">
        <f t="shared" si="33"/>
        <v>41883</v>
      </c>
      <c r="D77" s="132">
        <f>'Q1-Q2 KU Over-Under Calc'!AO36</f>
        <v>-1150317.5155718476</v>
      </c>
      <c r="E77" s="132">
        <f t="shared" ref="E77:E82" si="34">-J36</f>
        <v>-221102.78681077296</v>
      </c>
      <c r="G77" s="132">
        <f t="shared" ref="G77:G82" si="35">D77-E77</f>
        <v>-929214.7287610746</v>
      </c>
      <c r="H77" s="5"/>
      <c r="I77" s="5"/>
      <c r="J77" s="17"/>
      <c r="K77" s="23"/>
      <c r="L77" s="28"/>
      <c r="M77" s="28"/>
      <c r="N77" s="28"/>
      <c r="O77" s="7"/>
      <c r="P77" s="7"/>
      <c r="Q77" s="7"/>
      <c r="R77" s="7"/>
      <c r="S77" s="7"/>
      <c r="T77" s="7"/>
      <c r="U77" s="7"/>
      <c r="V77" s="7"/>
    </row>
    <row r="78" spans="2:22" x14ac:dyDescent="0.2">
      <c r="B78" s="26">
        <f t="shared" si="33"/>
        <v>41974</v>
      </c>
      <c r="C78" s="26">
        <f t="shared" si="33"/>
        <v>41913</v>
      </c>
      <c r="D78" s="134">
        <f>'Q1-Q2 KU Over-Under Calc'!AO37</f>
        <v>86029.126984538132</v>
      </c>
      <c r="E78" s="136">
        <f t="shared" si="34"/>
        <v>-222113.77621469295</v>
      </c>
      <c r="G78" s="136">
        <f t="shared" si="35"/>
        <v>308142.90319923108</v>
      </c>
      <c r="H78" s="5"/>
      <c r="I78" s="5"/>
      <c r="J78" s="17"/>
      <c r="K78" s="23"/>
      <c r="L78" s="28"/>
      <c r="M78" s="28"/>
      <c r="N78" s="28"/>
      <c r="O78" s="7"/>
      <c r="P78" s="7"/>
      <c r="Q78" s="7"/>
      <c r="R78" s="7"/>
      <c r="S78" s="7"/>
      <c r="T78" s="7"/>
      <c r="U78" s="7"/>
      <c r="V78" s="7"/>
    </row>
    <row r="79" spans="2:22" x14ac:dyDescent="0.2">
      <c r="B79" s="26">
        <f t="shared" si="33"/>
        <v>42005</v>
      </c>
      <c r="C79" s="26">
        <f t="shared" si="33"/>
        <v>41944</v>
      </c>
      <c r="D79" s="134">
        <f>'Q1-Q2 KU Over-Under Calc'!AO38</f>
        <v>698462.6845591981</v>
      </c>
      <c r="E79" s="136">
        <f t="shared" si="34"/>
        <v>-223691.37975039962</v>
      </c>
      <c r="G79" s="136">
        <f t="shared" si="35"/>
        <v>922154.06430959771</v>
      </c>
      <c r="H79" s="5"/>
      <c r="I79" s="5"/>
      <c r="J79" s="17"/>
      <c r="K79" s="23"/>
      <c r="L79" s="28"/>
      <c r="M79" s="28"/>
      <c r="N79" s="28"/>
      <c r="O79" s="7"/>
      <c r="P79" s="7"/>
      <c r="Q79" s="7"/>
      <c r="R79" s="7"/>
      <c r="S79" s="7"/>
      <c r="T79" s="7"/>
      <c r="U79" s="7"/>
      <c r="V79" s="7"/>
    </row>
    <row r="80" spans="2:22" x14ac:dyDescent="0.2">
      <c r="B80" s="26">
        <f t="shared" si="33"/>
        <v>42036</v>
      </c>
      <c r="C80" s="26">
        <f t="shared" si="33"/>
        <v>41974</v>
      </c>
      <c r="D80" s="134">
        <f>'Q1-Q2 KU Over-Under Calc'!AO39</f>
        <v>356424.77974834852</v>
      </c>
      <c r="E80" s="136">
        <f t="shared" si="34"/>
        <v>-223543.43536621297</v>
      </c>
      <c r="G80" s="136">
        <f t="shared" si="35"/>
        <v>579968.21511456149</v>
      </c>
      <c r="H80" s="5"/>
      <c r="I80" s="5"/>
      <c r="J80" s="17"/>
      <c r="K80" s="23"/>
      <c r="L80" s="28"/>
      <c r="M80" s="28"/>
      <c r="N80" s="28"/>
      <c r="O80" s="7"/>
      <c r="P80" s="7"/>
      <c r="Q80" s="7"/>
      <c r="R80" s="7"/>
      <c r="S80" s="7"/>
      <c r="T80" s="7"/>
      <c r="U80" s="7"/>
      <c r="V80" s="7"/>
    </row>
    <row r="81" spans="2:31" x14ac:dyDescent="0.2">
      <c r="B81" s="26">
        <f t="shared" si="33"/>
        <v>42064</v>
      </c>
      <c r="C81" s="26">
        <f t="shared" si="33"/>
        <v>42005</v>
      </c>
      <c r="D81" s="134">
        <f>'Q1-Q2 KU Over-Under Calc'!AO40</f>
        <v>603132.40208940767</v>
      </c>
      <c r="E81" s="136">
        <f t="shared" si="34"/>
        <v>-225948.27195975962</v>
      </c>
      <c r="G81" s="136">
        <f t="shared" si="35"/>
        <v>829080.67404916731</v>
      </c>
      <c r="H81" s="5"/>
      <c r="I81" s="5"/>
      <c r="J81" s="17"/>
      <c r="K81" s="23"/>
      <c r="L81" s="28"/>
      <c r="M81" s="28"/>
      <c r="N81" s="28"/>
      <c r="O81" s="7"/>
      <c r="P81" s="7"/>
      <c r="Q81" s="7"/>
      <c r="R81" s="7"/>
      <c r="S81" s="7"/>
      <c r="T81" s="7"/>
      <c r="U81" s="7"/>
      <c r="V81" s="7"/>
    </row>
    <row r="82" spans="2:31" x14ac:dyDescent="0.2">
      <c r="B82" s="51">
        <f t="shared" si="33"/>
        <v>42095</v>
      </c>
      <c r="C82" s="51">
        <f t="shared" si="33"/>
        <v>42036</v>
      </c>
      <c r="D82" s="135">
        <f>'Q1-Q2 KU Over-Under Calc'!AO41</f>
        <v>-875552.89809831418</v>
      </c>
      <c r="E82" s="137">
        <f t="shared" si="34"/>
        <v>-228026.27627850624</v>
      </c>
      <c r="F82" s="138"/>
      <c r="G82" s="137">
        <f t="shared" si="35"/>
        <v>-647526.62181980792</v>
      </c>
      <c r="H82" s="5"/>
      <c r="I82" s="5"/>
      <c r="J82" s="17"/>
      <c r="K82" s="23"/>
      <c r="L82" s="28"/>
      <c r="M82" s="28"/>
      <c r="N82" s="28"/>
      <c r="O82" s="7"/>
      <c r="P82" s="7"/>
      <c r="Q82" s="7"/>
      <c r="R82" s="7"/>
      <c r="S82" s="7"/>
      <c r="T82" s="7"/>
      <c r="U82" s="7"/>
      <c r="V82" s="7"/>
    </row>
    <row r="83" spans="2:31" x14ac:dyDescent="0.2">
      <c r="B83" s="4" t="s">
        <v>136</v>
      </c>
      <c r="D83" s="132">
        <f>SUM(D77:D82)</f>
        <v>-281821.42028866941</v>
      </c>
      <c r="E83" s="132">
        <f>SUM(E77:E82)</f>
        <v>-1344425.9263803444</v>
      </c>
      <c r="F83" s="132">
        <f>SUM(F77:F82)</f>
        <v>0</v>
      </c>
      <c r="G83" s="132">
        <f>SUM(G77:G82)</f>
        <v>1062604.506091675</v>
      </c>
      <c r="H83" s="20"/>
      <c r="I83" s="20"/>
      <c r="J83" s="7"/>
      <c r="K83" s="19"/>
      <c r="L83" s="19"/>
      <c r="M83" s="19"/>
      <c r="N83" s="19"/>
      <c r="O83" s="31"/>
      <c r="X83" s="22"/>
      <c r="Y83" s="22"/>
      <c r="Z83" s="22"/>
      <c r="AB83" s="32"/>
      <c r="AC83" s="22"/>
      <c r="AD83" s="33"/>
      <c r="AE83" s="20"/>
    </row>
    <row r="84" spans="2:31" x14ac:dyDescent="0.2">
      <c r="G84" s="10"/>
      <c r="H84" s="20"/>
      <c r="I84" s="20"/>
      <c r="J84" s="7"/>
      <c r="K84" s="19"/>
      <c r="L84" s="19"/>
      <c r="M84" s="19"/>
      <c r="N84" s="19"/>
      <c r="O84" s="31"/>
      <c r="X84" s="22"/>
      <c r="Y84" s="22"/>
      <c r="Z84" s="22"/>
      <c r="AB84" s="32"/>
      <c r="AC84" s="22"/>
      <c r="AD84" s="33"/>
      <c r="AE84" s="20"/>
    </row>
    <row r="85" spans="2:31" x14ac:dyDescent="0.2">
      <c r="F85" s="10"/>
      <c r="G85" s="10"/>
      <c r="H85" s="20"/>
      <c r="I85" s="20"/>
      <c r="J85" s="7"/>
      <c r="K85" s="19"/>
      <c r="L85" s="19"/>
      <c r="M85" s="19"/>
      <c r="N85" s="19"/>
      <c r="O85" s="31"/>
      <c r="X85" s="22"/>
      <c r="Y85" s="22"/>
      <c r="Z85" s="22"/>
      <c r="AB85" s="32"/>
      <c r="AC85" s="22"/>
      <c r="AD85" s="33"/>
      <c r="AE85" s="20"/>
    </row>
    <row r="86" spans="2:31" ht="12.75" customHeight="1" x14ac:dyDescent="0.2">
      <c r="D86" s="34" t="s">
        <v>148</v>
      </c>
      <c r="E86" s="142">
        <f>D56+D65+D74+D83</f>
        <v>1123686.0760352178</v>
      </c>
      <c r="F86" s="142"/>
      <c r="G86" s="17"/>
      <c r="H86" s="34"/>
      <c r="I86" s="20"/>
      <c r="J86" s="20"/>
      <c r="K86" s="35"/>
      <c r="L86" s="17"/>
      <c r="M86" s="17"/>
      <c r="N86" s="28"/>
    </row>
    <row r="87" spans="2:31" ht="12.75" customHeight="1" x14ac:dyDescent="0.2">
      <c r="D87" s="34" t="s">
        <v>139</v>
      </c>
      <c r="E87" s="136">
        <f>'Q1-Q2 KU Over-Under Calc'!AO14</f>
        <v>347028.17181641422</v>
      </c>
      <c r="F87" s="20" t="s">
        <v>147</v>
      </c>
      <c r="G87" s="17"/>
      <c r="H87" s="34"/>
      <c r="I87" s="20"/>
      <c r="J87" s="20"/>
      <c r="K87" s="35"/>
      <c r="L87" s="17"/>
      <c r="M87" s="17"/>
      <c r="N87" s="28"/>
    </row>
    <row r="88" spans="2:31" x14ac:dyDescent="0.2">
      <c r="B88" s="143"/>
      <c r="D88" s="34" t="s">
        <v>137</v>
      </c>
      <c r="E88" s="20">
        <f>'Q1-Q2 KU Over-Under Calc'!AO23</f>
        <v>3321609.453781317</v>
      </c>
      <c r="F88" s="20" t="s">
        <v>145</v>
      </c>
      <c r="G88" s="29"/>
      <c r="H88" s="34"/>
      <c r="I88" s="20"/>
      <c r="J88" s="20"/>
      <c r="K88" s="35"/>
      <c r="L88" s="35"/>
      <c r="M88" s="35"/>
      <c r="N88" s="35"/>
    </row>
    <row r="89" spans="2:31" x14ac:dyDescent="0.2">
      <c r="C89" s="144"/>
      <c r="D89" s="145" t="s">
        <v>138</v>
      </c>
      <c r="E89" s="30">
        <f>'Q1-Q2 KU Over-Under Calc'!AO33</f>
        <v>-1843499.1650158698</v>
      </c>
      <c r="F89" s="20" t="s">
        <v>146</v>
      </c>
      <c r="G89" s="29"/>
      <c r="H89" s="34"/>
      <c r="I89" s="20"/>
      <c r="J89" s="20"/>
      <c r="K89" s="35"/>
      <c r="L89" s="35"/>
      <c r="M89" s="35"/>
      <c r="N89" s="35"/>
    </row>
    <row r="90" spans="2:31" x14ac:dyDescent="0.2">
      <c r="D90" s="34" t="s">
        <v>155</v>
      </c>
      <c r="E90" s="132">
        <f>E86-E87-E88-E89</f>
        <v>-701452.38454664359</v>
      </c>
      <c r="F90" s="132" t="s">
        <v>144</v>
      </c>
      <c r="G90" s="29"/>
      <c r="H90" s="34"/>
      <c r="I90" s="20"/>
      <c r="J90" s="20"/>
      <c r="K90" s="35"/>
      <c r="L90" s="35"/>
      <c r="M90" s="35"/>
      <c r="N90" s="35"/>
    </row>
    <row r="91" spans="2:31" x14ac:dyDescent="0.2">
      <c r="D91" s="146"/>
    </row>
    <row r="92" spans="2:31" ht="13.5" thickBot="1" x14ac:dyDescent="0.25"/>
    <row r="93" spans="2:31" x14ac:dyDescent="0.2">
      <c r="D93" s="36"/>
      <c r="E93" s="37"/>
      <c r="F93" s="37"/>
      <c r="G93" s="37"/>
      <c r="H93" s="38"/>
    </row>
    <row r="94" spans="2:31" x14ac:dyDescent="0.2">
      <c r="D94" s="271" t="s">
        <v>78</v>
      </c>
      <c r="E94" s="272"/>
      <c r="F94" s="272"/>
      <c r="G94" s="272"/>
      <c r="H94" s="273"/>
      <c r="J94" s="10"/>
    </row>
    <row r="95" spans="2:31" x14ac:dyDescent="0.2">
      <c r="D95" s="39"/>
      <c r="E95" s="40"/>
      <c r="F95" s="10"/>
      <c r="G95" s="10"/>
      <c r="H95" s="41"/>
      <c r="J95" s="10"/>
    </row>
    <row r="96" spans="2:31" x14ac:dyDescent="0.2">
      <c r="D96" s="39"/>
      <c r="E96" s="10"/>
      <c r="F96" s="42" t="s">
        <v>79</v>
      </c>
      <c r="G96" s="10"/>
      <c r="H96" s="131">
        <f>E90</f>
        <v>-701452.38454664359</v>
      </c>
      <c r="J96" s="29"/>
    </row>
    <row r="97" spans="4:19" x14ac:dyDescent="0.2">
      <c r="D97" s="39"/>
      <c r="E97" s="10"/>
      <c r="F97" s="10"/>
      <c r="G97" s="10"/>
      <c r="H97" s="41"/>
      <c r="J97" s="10"/>
    </row>
    <row r="98" spans="4:19" x14ac:dyDescent="0.2">
      <c r="D98" s="43"/>
      <c r="E98" s="10"/>
      <c r="F98" s="42" t="s">
        <v>153</v>
      </c>
      <c r="G98" s="132">
        <f>E83</f>
        <v>-1344425.9263803444</v>
      </c>
      <c r="H98" s="41"/>
      <c r="J98" s="10"/>
      <c r="N98" s="29"/>
      <c r="O98" s="5"/>
      <c r="P98" s="29"/>
      <c r="Q98" s="20"/>
      <c r="S98" s="29"/>
    </row>
    <row r="99" spans="4:19" x14ac:dyDescent="0.2">
      <c r="D99" s="43"/>
      <c r="E99" s="10"/>
      <c r="F99" s="44" t="s">
        <v>76</v>
      </c>
      <c r="G99" s="132">
        <f>G83</f>
        <v>1062604.506091675</v>
      </c>
      <c r="H99" s="41"/>
      <c r="J99" s="10"/>
      <c r="N99" s="29"/>
      <c r="O99" s="5"/>
      <c r="P99" s="29"/>
      <c r="Q99" s="20"/>
      <c r="S99" s="29"/>
    </row>
    <row r="100" spans="4:19" x14ac:dyDescent="0.2">
      <c r="D100" s="43"/>
      <c r="E100" s="10"/>
      <c r="F100" s="44" t="s">
        <v>152</v>
      </c>
      <c r="G100" s="148">
        <f>'Q1-Q2 KU Over-Under Calc'!AO24+'Q1-Q2 KU Over-Under Calc'!AO34</f>
        <v>-419630.96425797418</v>
      </c>
      <c r="H100" s="41"/>
      <c r="J100" s="10"/>
      <c r="N100" s="29"/>
      <c r="O100" s="127"/>
      <c r="P100" s="29"/>
      <c r="Q100" s="20"/>
      <c r="S100" s="29"/>
    </row>
    <row r="101" spans="4:19" x14ac:dyDescent="0.2">
      <c r="D101" s="39"/>
      <c r="E101" s="10"/>
      <c r="F101" s="44"/>
      <c r="G101" s="29"/>
      <c r="H101" s="45"/>
      <c r="J101" s="10"/>
      <c r="N101" s="29"/>
      <c r="O101" s="5"/>
      <c r="P101" s="29"/>
      <c r="Q101" s="20"/>
      <c r="S101" s="29"/>
    </row>
    <row r="102" spans="4:19" x14ac:dyDescent="0.2">
      <c r="D102" s="39"/>
      <c r="E102" s="11"/>
      <c r="F102" s="44" t="s">
        <v>80</v>
      </c>
      <c r="G102" s="10"/>
      <c r="H102" s="131">
        <f>SUM(G98:G100)</f>
        <v>-701452.38454664359</v>
      </c>
      <c r="N102" s="29"/>
      <c r="O102" s="5"/>
      <c r="S102" s="29"/>
    </row>
    <row r="103" spans="4:19" x14ac:dyDescent="0.2">
      <c r="D103" s="39"/>
      <c r="E103" s="10"/>
      <c r="F103" s="44"/>
      <c r="G103" s="29"/>
      <c r="H103" s="41"/>
      <c r="N103" s="29"/>
      <c r="O103" s="5"/>
      <c r="S103" s="29"/>
    </row>
    <row r="104" spans="4:19" x14ac:dyDescent="0.2">
      <c r="D104" s="39"/>
      <c r="E104" s="10"/>
      <c r="F104" s="44" t="s">
        <v>81</v>
      </c>
      <c r="G104" s="10"/>
      <c r="H104" s="131">
        <f>+H96-H102</f>
        <v>0</v>
      </c>
      <c r="N104" s="29"/>
      <c r="O104" s="5"/>
    </row>
    <row r="105" spans="4:19" ht="13.5" thickBot="1" x14ac:dyDescent="0.25">
      <c r="D105" s="46"/>
      <c r="E105" s="47"/>
      <c r="F105" s="48"/>
      <c r="G105" s="47"/>
      <c r="H105" s="49"/>
      <c r="O105" s="5"/>
    </row>
    <row r="106" spans="4:19" x14ac:dyDescent="0.2">
      <c r="D106" s="10"/>
      <c r="E106" s="10"/>
      <c r="F106" s="50"/>
      <c r="G106" s="10"/>
      <c r="H106" s="10"/>
      <c r="O106" s="5"/>
    </row>
    <row r="107" spans="4:19" x14ac:dyDescent="0.2">
      <c r="D107" s="10"/>
      <c r="E107" s="10"/>
      <c r="F107" s="50"/>
      <c r="G107" s="10"/>
      <c r="H107" s="10"/>
      <c r="O107" s="5"/>
    </row>
    <row r="108" spans="4:19" x14ac:dyDescent="0.2">
      <c r="D108" s="10"/>
      <c r="E108" s="10"/>
      <c r="F108" s="50"/>
      <c r="G108" s="10"/>
      <c r="H108" s="10"/>
      <c r="O108" s="5"/>
    </row>
    <row r="109" spans="4:19" x14ac:dyDescent="0.2">
      <c r="D109" s="10"/>
      <c r="E109" s="10"/>
      <c r="F109" s="50"/>
      <c r="G109" s="10"/>
      <c r="H109" s="10"/>
      <c r="O109" s="5"/>
    </row>
  </sheetData>
  <mergeCells count="2">
    <mergeCell ref="D94:H94"/>
    <mergeCell ref="D46:G46"/>
  </mergeCells>
  <pageMargins left="1" right="0.75" top="1" bottom="0.55000000000000004" header="0.5" footer="0.5"/>
  <pageSetup scale="70" fitToHeight="2" orientation="portrait" horizontalDpi="300" verticalDpi="300" r:id="rId1"/>
  <headerFooter alignWithMargins="0"/>
  <rowBreaks count="1" manualBreakCount="1">
    <brk id="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C53"/>
  <sheetViews>
    <sheetView showGridLines="0" zoomScale="70" zoomScaleNormal="70" workbookViewId="0">
      <selection activeCell="G44" sqref="G44"/>
    </sheetView>
  </sheetViews>
  <sheetFormatPr defaultColWidth="20.83203125" defaultRowHeight="15.75" x14ac:dyDescent="0.25"/>
  <cols>
    <col min="1" max="1" width="6.33203125" style="55" customWidth="1"/>
    <col min="2" max="2" width="38.83203125" style="55" customWidth="1"/>
    <col min="3" max="3" width="22.1640625" style="55" customWidth="1"/>
    <col min="4" max="4" width="4.6640625" style="55" bestFit="1" customWidth="1"/>
    <col min="5" max="5" width="2" style="55" customWidth="1"/>
    <col min="6" max="6" width="18.6640625" style="55" bestFit="1" customWidth="1"/>
    <col min="7" max="7" width="2.33203125" style="55" customWidth="1"/>
    <col min="8" max="8" width="29.83203125" style="55" bestFit="1" customWidth="1"/>
    <col min="9" max="9" width="2.33203125" style="55" customWidth="1"/>
    <col min="10" max="10" width="22.1640625" style="55" customWidth="1"/>
    <col min="11" max="11" width="2.33203125" style="55" customWidth="1"/>
    <col min="12" max="12" width="22.1640625" style="55" customWidth="1"/>
    <col min="13" max="13" width="2.6640625" style="55" customWidth="1"/>
    <col min="14" max="14" width="22.1640625" style="55" customWidth="1"/>
    <col min="15" max="15" width="2.6640625" style="55" customWidth="1"/>
    <col min="16" max="16" width="22.1640625" style="55" customWidth="1"/>
    <col min="17" max="17" width="2.1640625" style="55" customWidth="1"/>
    <col min="18" max="18" width="22.1640625" style="55" customWidth="1"/>
    <col min="19" max="20" width="2.1640625" style="55" customWidth="1"/>
    <col min="21" max="21" width="22.1640625" style="55" customWidth="1"/>
    <col min="22" max="22" width="2.6640625" style="55" customWidth="1"/>
    <col min="23" max="23" width="21.33203125" style="55" customWidth="1"/>
    <col min="24" max="24" width="2.83203125" style="55" customWidth="1"/>
    <col min="25" max="25" width="19.1640625" style="55" customWidth="1"/>
    <col min="26" max="26" width="3.33203125" style="55" customWidth="1"/>
    <col min="27" max="27" width="21.1640625" style="55" customWidth="1"/>
    <col min="28" max="16384" width="20.83203125" style="55"/>
  </cols>
  <sheetData>
    <row r="1" spans="1:27" x14ac:dyDescent="0.25">
      <c r="A1" s="52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V1" s="54"/>
      <c r="X1" s="54"/>
      <c r="Y1" s="54"/>
      <c r="Z1" s="54"/>
    </row>
    <row r="2" spans="1:27" x14ac:dyDescent="0.25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V2" s="54"/>
      <c r="X2" s="54"/>
      <c r="Y2" s="54"/>
      <c r="Z2" s="54"/>
    </row>
    <row r="3" spans="1:27" x14ac:dyDescent="0.2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X3" s="54"/>
      <c r="Y3" s="54"/>
    </row>
    <row r="4" spans="1:27" x14ac:dyDescent="0.25">
      <c r="A4" s="56" t="s">
        <v>82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  <c r="U4" s="57"/>
      <c r="V4" s="57"/>
      <c r="W4" s="58"/>
      <c r="X4" s="59"/>
      <c r="Y4" s="59"/>
      <c r="Z4" s="59"/>
      <c r="AA4" s="59"/>
    </row>
    <row r="5" spans="1:27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54"/>
      <c r="Y5" s="54"/>
      <c r="Z5" s="54"/>
      <c r="AA5" s="54"/>
    </row>
    <row r="6" spans="1:27" x14ac:dyDescent="0.25">
      <c r="A6" s="56" t="s">
        <v>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8"/>
      <c r="U6" s="58"/>
      <c r="V6" s="58"/>
      <c r="W6" s="58"/>
      <c r="X6" s="59"/>
      <c r="Y6" s="59"/>
      <c r="Z6" s="59"/>
      <c r="AA6" s="59"/>
    </row>
    <row r="7" spans="1:27" x14ac:dyDescent="0.25">
      <c r="A7" s="61" t="s">
        <v>84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8"/>
      <c r="U7" s="58"/>
      <c r="V7" s="58"/>
      <c r="W7" s="60"/>
    </row>
    <row r="8" spans="1:27" x14ac:dyDescent="0.25">
      <c r="A8" s="62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63"/>
      <c r="S8" s="58"/>
      <c r="T8" s="58"/>
      <c r="U8" s="58"/>
      <c r="V8" s="58"/>
      <c r="W8" s="60"/>
    </row>
    <row r="9" spans="1:27" ht="18" x14ac:dyDescent="0.4">
      <c r="A9" s="5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27" x14ac:dyDescent="0.25">
      <c r="A10" s="53"/>
      <c r="B10" s="53"/>
      <c r="C10" s="54"/>
      <c r="D10" s="54"/>
      <c r="E10" s="54"/>
      <c r="H10" s="54"/>
      <c r="I10" s="54"/>
      <c r="J10" s="54"/>
      <c r="K10" s="54"/>
      <c r="L10" s="65" t="s">
        <v>85</v>
      </c>
      <c r="O10" s="54"/>
      <c r="P10" s="54"/>
      <c r="Q10" s="54"/>
      <c r="R10" s="54"/>
      <c r="T10" s="65"/>
    </row>
    <row r="11" spans="1:27" x14ac:dyDescent="0.25">
      <c r="A11" s="53"/>
      <c r="B11" s="53"/>
      <c r="C11" s="65"/>
      <c r="D11" s="65"/>
      <c r="E11" s="65"/>
      <c r="H11" s="65"/>
      <c r="I11" s="65"/>
      <c r="J11" s="65"/>
      <c r="K11" s="65"/>
      <c r="L11" s="65" t="s">
        <v>86</v>
      </c>
      <c r="M11" s="65"/>
      <c r="N11" s="65" t="s">
        <v>87</v>
      </c>
      <c r="Q11" s="65"/>
      <c r="R11" s="66" t="s">
        <v>88</v>
      </c>
      <c r="T11" s="66"/>
      <c r="V11" s="65"/>
      <c r="W11" s="65"/>
    </row>
    <row r="12" spans="1:27" x14ac:dyDescent="0.25">
      <c r="A12" s="53"/>
      <c r="B12" s="53"/>
      <c r="C12" s="65"/>
      <c r="D12" s="65"/>
      <c r="E12" s="65"/>
      <c r="F12" s="65"/>
      <c r="H12" s="65"/>
      <c r="I12" s="65"/>
      <c r="J12" s="65" t="s">
        <v>89</v>
      </c>
      <c r="K12" s="65"/>
      <c r="L12" s="65" t="s">
        <v>90</v>
      </c>
      <c r="M12" s="65"/>
      <c r="N12" s="65" t="s">
        <v>91</v>
      </c>
      <c r="O12" s="66"/>
      <c r="P12" s="65" t="s">
        <v>92</v>
      </c>
      <c r="Q12" s="65"/>
      <c r="R12" s="65" t="s">
        <v>92</v>
      </c>
    </row>
    <row r="13" spans="1:27" x14ac:dyDescent="0.25">
      <c r="A13" s="53"/>
      <c r="B13" s="54"/>
      <c r="C13" s="65" t="s">
        <v>93</v>
      </c>
      <c r="D13" s="65"/>
      <c r="E13" s="65"/>
      <c r="F13" s="66" t="s">
        <v>94</v>
      </c>
      <c r="H13" s="65"/>
      <c r="I13" s="65"/>
      <c r="J13" s="65" t="s">
        <v>95</v>
      </c>
      <c r="K13" s="65"/>
      <c r="L13" s="65" t="s">
        <v>96</v>
      </c>
      <c r="M13" s="65"/>
      <c r="N13" s="65" t="s">
        <v>96</v>
      </c>
      <c r="O13" s="66"/>
      <c r="P13" s="65" t="s">
        <v>97</v>
      </c>
      <c r="Q13" s="65"/>
      <c r="R13" s="66" t="s">
        <v>96</v>
      </c>
    </row>
    <row r="14" spans="1:27" x14ac:dyDescent="0.25">
      <c r="A14" s="54"/>
      <c r="B14" s="54"/>
      <c r="C14" s="67" t="s">
        <v>98</v>
      </c>
      <c r="D14" s="65"/>
      <c r="E14" s="65"/>
      <c r="F14" s="66" t="s">
        <v>99</v>
      </c>
      <c r="H14" s="65" t="s">
        <v>100</v>
      </c>
      <c r="I14" s="65"/>
      <c r="J14" s="68" t="s">
        <v>101</v>
      </c>
      <c r="K14" s="65"/>
      <c r="L14" s="68" t="s">
        <v>102</v>
      </c>
      <c r="M14" s="65"/>
      <c r="N14" s="69" t="s">
        <v>103</v>
      </c>
      <c r="O14" s="66"/>
      <c r="P14" s="65" t="s">
        <v>104</v>
      </c>
      <c r="Q14" s="65"/>
      <c r="R14" s="68" t="s">
        <v>105</v>
      </c>
    </row>
    <row r="15" spans="1:27" x14ac:dyDescent="0.25">
      <c r="A15" s="54"/>
      <c r="B15" s="54"/>
      <c r="C15" s="70">
        <v>-1</v>
      </c>
      <c r="D15" s="65"/>
      <c r="E15" s="66"/>
      <c r="F15" s="70">
        <v>-2</v>
      </c>
      <c r="H15" s="70">
        <v>-3</v>
      </c>
      <c r="I15" s="65"/>
      <c r="J15" s="71">
        <v>-4</v>
      </c>
      <c r="K15" s="65"/>
      <c r="L15" s="71">
        <v>-5</v>
      </c>
      <c r="M15" s="65"/>
      <c r="N15" s="70">
        <v>-6</v>
      </c>
      <c r="O15" s="65"/>
      <c r="P15" s="70">
        <v>-7</v>
      </c>
      <c r="Q15" s="65"/>
      <c r="R15" s="70">
        <v>-8</v>
      </c>
    </row>
    <row r="16" spans="1:27" x14ac:dyDescent="0.25">
      <c r="A16" s="72"/>
      <c r="B16" s="54"/>
      <c r="C16" s="73"/>
      <c r="D16" s="54"/>
      <c r="E16" s="73"/>
      <c r="F16" s="65"/>
      <c r="H16" s="74"/>
      <c r="I16" s="65"/>
      <c r="J16" s="74"/>
      <c r="K16" s="65"/>
      <c r="L16" s="65"/>
      <c r="M16" s="65"/>
      <c r="N16" s="66"/>
      <c r="O16" s="66"/>
      <c r="P16" s="65"/>
      <c r="Q16" s="65"/>
    </row>
    <row r="17" spans="1:28" x14ac:dyDescent="0.25">
      <c r="A17" s="54"/>
      <c r="B17" s="54"/>
      <c r="C17" s="54"/>
      <c r="D17" s="54"/>
      <c r="E17" s="54"/>
      <c r="F17" s="54"/>
      <c r="H17" s="75"/>
      <c r="I17" s="54"/>
      <c r="J17" s="75"/>
      <c r="K17" s="54"/>
      <c r="L17" s="54"/>
      <c r="M17" s="54"/>
      <c r="P17" s="54"/>
      <c r="Q17" s="54"/>
    </row>
    <row r="18" spans="1:28" x14ac:dyDescent="0.25">
      <c r="A18" s="76" t="s">
        <v>106</v>
      </c>
      <c r="B18" s="54" t="s">
        <v>107</v>
      </c>
      <c r="C18" s="80">
        <v>186653152</v>
      </c>
      <c r="D18" s="78" t="s">
        <v>108</v>
      </c>
      <c r="E18" s="54"/>
      <c r="F18" s="87">
        <f>ROUND(+C18/$C$24,4)</f>
        <v>3.8100000000000002E-2</v>
      </c>
      <c r="H18" s="80">
        <v>0</v>
      </c>
      <c r="I18" s="54"/>
      <c r="J18" s="80">
        <f>ROUND(+F18*$J$24,0)</f>
        <v>-46532</v>
      </c>
      <c r="K18" s="54"/>
      <c r="L18" s="80">
        <f>SUM(H18:K18)</f>
        <v>-46532</v>
      </c>
      <c r="M18" s="54"/>
      <c r="N18" s="81">
        <f>+C18+L18</f>
        <v>186606620</v>
      </c>
      <c r="P18" s="82">
        <v>0.88819999999999999</v>
      </c>
      <c r="Q18" s="54"/>
      <c r="R18" s="81">
        <f>ROUND(+N18*P18,0)</f>
        <v>165744000</v>
      </c>
    </row>
    <row r="19" spans="1:28" x14ac:dyDescent="0.25">
      <c r="A19" s="76"/>
      <c r="B19" s="54"/>
      <c r="C19" s="129"/>
      <c r="D19" s="54"/>
      <c r="E19" s="54"/>
      <c r="F19" s="87"/>
      <c r="H19" s="75"/>
      <c r="I19" s="54"/>
      <c r="J19" s="75"/>
      <c r="K19" s="54"/>
      <c r="L19" s="75"/>
      <c r="M19" s="54"/>
      <c r="N19" s="84"/>
      <c r="P19" s="85"/>
      <c r="Q19" s="54"/>
      <c r="R19" s="84"/>
    </row>
    <row r="20" spans="1:28" x14ac:dyDescent="0.25">
      <c r="A20" s="76" t="s">
        <v>109</v>
      </c>
      <c r="B20" s="54" t="s">
        <v>110</v>
      </c>
      <c r="C20" s="75">
        <v>2090736822</v>
      </c>
      <c r="D20" s="78" t="s">
        <v>108</v>
      </c>
      <c r="E20" s="54"/>
      <c r="F20" s="87">
        <f>ROUND(+C20/$C$24,4)</f>
        <v>0.42630000000000001</v>
      </c>
      <c r="H20" s="86">
        <v>0</v>
      </c>
      <c r="I20" s="54"/>
      <c r="J20" s="75">
        <f>ROUND(+F20*$J$24,0)</f>
        <v>-520646</v>
      </c>
      <c r="K20" s="54"/>
      <c r="L20" s="75">
        <f>SUM(H20:K20)</f>
        <v>-520646</v>
      </c>
      <c r="M20" s="54"/>
      <c r="N20" s="84">
        <f>+C20+L20</f>
        <v>2090216176</v>
      </c>
      <c r="P20" s="85">
        <f>+P18</f>
        <v>0.88819999999999999</v>
      </c>
      <c r="Q20" s="54"/>
      <c r="R20" s="84">
        <f>ROUND(+N20*P20,0)</f>
        <v>1856530008</v>
      </c>
    </row>
    <row r="21" spans="1:28" x14ac:dyDescent="0.25">
      <c r="A21" s="54"/>
      <c r="B21" s="54"/>
      <c r="C21" s="83"/>
      <c r="D21" s="54"/>
      <c r="E21" s="54"/>
      <c r="F21" s="87"/>
      <c r="H21" s="87"/>
      <c r="I21" s="54"/>
      <c r="J21" s="75"/>
      <c r="K21" s="54"/>
      <c r="L21" s="75"/>
      <c r="M21" s="54"/>
      <c r="N21" s="84"/>
      <c r="P21" s="85"/>
      <c r="Q21" s="54"/>
      <c r="R21" s="84"/>
    </row>
    <row r="22" spans="1:28" x14ac:dyDescent="0.25">
      <c r="A22" s="76" t="s">
        <v>111</v>
      </c>
      <c r="B22" s="54" t="s">
        <v>112</v>
      </c>
      <c r="C22" s="54">
        <v>2627305883</v>
      </c>
      <c r="D22" s="54"/>
      <c r="E22" s="54"/>
      <c r="F22" s="87">
        <f>ROUND(1-F18-F20,4)</f>
        <v>0.53559999999999997</v>
      </c>
      <c r="H22" s="86">
        <f>H24</f>
        <v>-504066</v>
      </c>
      <c r="I22" s="54"/>
      <c r="J22" s="86">
        <f>+J24-J18-J20</f>
        <v>-654135</v>
      </c>
      <c r="K22" s="54"/>
      <c r="L22" s="86">
        <f>SUM(H22:K22)</f>
        <v>-1158201</v>
      </c>
      <c r="M22" s="54"/>
      <c r="N22" s="84">
        <f>+C22+L22</f>
        <v>2626147682</v>
      </c>
      <c r="P22" s="85">
        <f>+P18</f>
        <v>0.88819999999999999</v>
      </c>
      <c r="Q22" s="54"/>
      <c r="R22" s="84">
        <f>ROUND(+N22*P22,0)</f>
        <v>2332544371</v>
      </c>
    </row>
    <row r="23" spans="1:28" x14ac:dyDescent="0.25">
      <c r="A23" s="54"/>
      <c r="B23" s="54"/>
      <c r="C23" s="54"/>
      <c r="D23" s="54"/>
      <c r="E23" s="54"/>
      <c r="F23" s="79"/>
      <c r="H23" s="54"/>
      <c r="I23" s="54"/>
      <c r="J23" s="54"/>
      <c r="K23" s="54"/>
      <c r="L23" s="75"/>
      <c r="M23" s="54"/>
      <c r="N23" s="84"/>
      <c r="P23" s="88"/>
      <c r="Q23" s="54"/>
      <c r="R23" s="84"/>
    </row>
    <row r="24" spans="1:28" ht="16.5" thickBot="1" x14ac:dyDescent="0.3">
      <c r="A24" s="76" t="s">
        <v>113</v>
      </c>
      <c r="B24" s="54" t="s">
        <v>114</v>
      </c>
      <c r="C24" s="89">
        <f>SUM(C18:C22)</f>
        <v>4904695857</v>
      </c>
      <c r="D24" s="54"/>
      <c r="E24" s="54"/>
      <c r="F24" s="90">
        <f>SUM(F18:F22)</f>
        <v>1</v>
      </c>
      <c r="H24" s="91">
        <v>-504066</v>
      </c>
      <c r="I24" s="54"/>
      <c r="J24" s="91">
        <v>-1221313</v>
      </c>
      <c r="K24" s="54"/>
      <c r="L24" s="91">
        <f>SUM(L18:L22)</f>
        <v>-1725379</v>
      </c>
      <c r="M24" s="54"/>
      <c r="N24" s="91">
        <f>SUM(N18:N22)</f>
        <v>4902970478</v>
      </c>
      <c r="Q24" s="54"/>
      <c r="R24" s="91">
        <f>SUM(R18:R22)</f>
        <v>4354818379</v>
      </c>
    </row>
    <row r="25" spans="1:28" ht="16.5" thickTop="1" x14ac:dyDescent="0.25">
      <c r="A25" s="54"/>
      <c r="B25" s="54"/>
      <c r="C25" s="54"/>
      <c r="D25" s="54"/>
      <c r="E25" s="54"/>
      <c r="F25" s="54"/>
      <c r="H25" s="54"/>
      <c r="I25" s="54"/>
      <c r="J25" s="54"/>
      <c r="K25" s="54"/>
      <c r="L25" s="54"/>
      <c r="M25" s="54"/>
      <c r="N25" s="54"/>
      <c r="O25" s="54"/>
      <c r="Q25" s="54"/>
      <c r="S25" s="54"/>
    </row>
    <row r="26" spans="1:28" x14ac:dyDescent="0.25">
      <c r="A26" s="54"/>
      <c r="B26" s="54"/>
      <c r="C26" s="77"/>
      <c r="D26" s="54"/>
      <c r="E26" s="54"/>
      <c r="F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T26" s="54"/>
    </row>
    <row r="27" spans="1:28" ht="18" x14ac:dyDescent="0.4">
      <c r="A27" s="54"/>
      <c r="B27" s="5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54"/>
    </row>
    <row r="28" spans="1:28" ht="18" x14ac:dyDescent="0.4">
      <c r="A28" s="54"/>
      <c r="B28" s="5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54"/>
    </row>
    <row r="29" spans="1:28" ht="18" x14ac:dyDescent="0.4">
      <c r="A29" s="54"/>
      <c r="B29" s="54"/>
      <c r="C29" s="64"/>
      <c r="D29" s="64"/>
      <c r="E29" s="64"/>
      <c r="F29" s="64"/>
      <c r="G29" s="64"/>
      <c r="H29" s="92"/>
      <c r="I29" s="64"/>
      <c r="J29" s="92"/>
      <c r="K29" s="64"/>
      <c r="L29" s="92" t="s">
        <v>115</v>
      </c>
      <c r="M29" s="64"/>
      <c r="N29" s="64"/>
      <c r="O29" s="64"/>
      <c r="R29" s="54"/>
      <c r="S29" s="54"/>
      <c r="X29" s="54"/>
      <c r="AB29" s="66"/>
    </row>
    <row r="30" spans="1:28" ht="18" x14ac:dyDescent="0.4">
      <c r="A30" s="54"/>
      <c r="B30" s="54"/>
      <c r="C30" s="64"/>
      <c r="D30" s="64"/>
      <c r="E30" s="64"/>
      <c r="F30" s="64"/>
      <c r="G30" s="64"/>
      <c r="H30" s="92"/>
      <c r="I30" s="64"/>
      <c r="J30" s="92"/>
      <c r="K30" s="64"/>
      <c r="L30" s="66" t="s">
        <v>88</v>
      </c>
      <c r="M30" s="64"/>
      <c r="P30" s="65"/>
      <c r="Q30" s="65"/>
      <c r="R30" s="65" t="s">
        <v>116</v>
      </c>
      <c r="X30" s="54"/>
      <c r="AB30" s="66"/>
    </row>
    <row r="31" spans="1:28" x14ac:dyDescent="0.25">
      <c r="A31" s="54"/>
      <c r="B31" s="54"/>
      <c r="C31" s="66" t="s">
        <v>88</v>
      </c>
      <c r="D31" s="54"/>
      <c r="E31" s="54"/>
      <c r="F31" s="54"/>
      <c r="H31" s="92" t="s">
        <v>117</v>
      </c>
      <c r="J31" s="74" t="s">
        <v>118</v>
      </c>
      <c r="L31" s="65" t="s">
        <v>92</v>
      </c>
      <c r="M31" s="54"/>
      <c r="N31" s="66" t="s">
        <v>115</v>
      </c>
      <c r="P31" s="65" t="s">
        <v>119</v>
      </c>
      <c r="Q31" s="65"/>
      <c r="R31" s="65" t="s">
        <v>120</v>
      </c>
      <c r="X31" s="54"/>
      <c r="AA31" s="66"/>
      <c r="AB31" s="66"/>
    </row>
    <row r="32" spans="1:28" ht="18" x14ac:dyDescent="0.4">
      <c r="C32" s="65" t="s">
        <v>92</v>
      </c>
      <c r="D32" s="93"/>
      <c r="E32" s="93"/>
      <c r="F32" s="66" t="s">
        <v>94</v>
      </c>
      <c r="H32" s="65" t="s">
        <v>121</v>
      </c>
      <c r="J32" s="74" t="s">
        <v>97</v>
      </c>
      <c r="L32" s="66" t="s">
        <v>96</v>
      </c>
      <c r="M32" s="93"/>
      <c r="N32" s="66" t="s">
        <v>94</v>
      </c>
      <c r="P32" s="65" t="s">
        <v>116</v>
      </c>
      <c r="Q32" s="65"/>
      <c r="R32" s="65" t="s">
        <v>122</v>
      </c>
      <c r="X32" s="93"/>
      <c r="AA32" s="66"/>
      <c r="AB32" s="94"/>
    </row>
    <row r="33" spans="1:29" x14ac:dyDescent="0.25">
      <c r="A33" s="72"/>
      <c r="B33" s="95"/>
      <c r="C33" s="66" t="s">
        <v>96</v>
      </c>
      <c r="F33" s="66" t="s">
        <v>99</v>
      </c>
      <c r="H33" s="68" t="s">
        <v>123</v>
      </c>
      <c r="J33" s="68" t="s">
        <v>124</v>
      </c>
      <c r="L33" s="68" t="s">
        <v>125</v>
      </c>
      <c r="N33" s="66" t="s">
        <v>99</v>
      </c>
      <c r="P33" s="65" t="s">
        <v>126</v>
      </c>
      <c r="Q33" s="65"/>
      <c r="R33" s="69" t="s">
        <v>127</v>
      </c>
      <c r="X33" s="66"/>
      <c r="AA33" s="66"/>
      <c r="AB33" s="94"/>
    </row>
    <row r="34" spans="1:29" x14ac:dyDescent="0.25">
      <c r="A34" s="95"/>
      <c r="B34" s="95"/>
      <c r="C34" s="70">
        <v>-8</v>
      </c>
      <c r="D34" s="66"/>
      <c r="E34" s="66"/>
      <c r="F34" s="70">
        <v>-9</v>
      </c>
      <c r="H34" s="70">
        <v>-10</v>
      </c>
      <c r="J34" s="71">
        <v>-11</v>
      </c>
      <c r="L34" s="70">
        <v>-12</v>
      </c>
      <c r="M34" s="66"/>
      <c r="N34" s="70">
        <v>-13</v>
      </c>
      <c r="P34" s="70">
        <v>-14</v>
      </c>
      <c r="Q34" s="65"/>
      <c r="R34" s="70">
        <v>-15</v>
      </c>
      <c r="X34" s="66"/>
      <c r="AA34" s="66"/>
      <c r="AB34" s="66"/>
    </row>
    <row r="35" spans="1:29" x14ac:dyDescent="0.25">
      <c r="A35" s="95"/>
      <c r="B35" s="95"/>
      <c r="C35" s="66"/>
      <c r="D35" s="66"/>
      <c r="E35" s="66"/>
      <c r="F35" s="66"/>
      <c r="H35" s="66"/>
      <c r="J35" s="96"/>
      <c r="L35" s="66"/>
      <c r="M35" s="66"/>
      <c r="P35" s="65"/>
      <c r="Q35" s="54"/>
      <c r="R35" s="65"/>
      <c r="X35" s="66"/>
      <c r="AA35" s="66"/>
      <c r="AB35" s="66"/>
    </row>
    <row r="36" spans="1:29" x14ac:dyDescent="0.25">
      <c r="A36" s="95"/>
      <c r="B36" s="95"/>
      <c r="C36" s="66"/>
      <c r="D36" s="66"/>
      <c r="E36" s="66"/>
      <c r="F36" s="66"/>
      <c r="H36" s="66"/>
      <c r="J36" s="96"/>
      <c r="L36" s="66"/>
      <c r="M36" s="66"/>
      <c r="P36" s="54"/>
      <c r="Q36" s="54"/>
      <c r="R36" s="54"/>
      <c r="X36" s="66"/>
    </row>
    <row r="37" spans="1:29" x14ac:dyDescent="0.25">
      <c r="A37" s="76" t="s">
        <v>106</v>
      </c>
      <c r="B37" s="54" t="s">
        <v>107</v>
      </c>
      <c r="C37" s="80">
        <f>+R18</f>
        <v>165744000</v>
      </c>
      <c r="D37" s="75"/>
      <c r="E37" s="54"/>
      <c r="F37" s="87">
        <f>ROUND(+C37/$C$43,4)</f>
        <v>3.8100000000000002E-2</v>
      </c>
      <c r="H37" s="80">
        <f>ROUND(+F37*$H$43,0)</f>
        <v>-33518932</v>
      </c>
      <c r="J37" s="80">
        <f>ROUND(+F37*$J$43,0)</f>
        <v>-92843</v>
      </c>
      <c r="L37" s="97">
        <f>+C37+H37+J37</f>
        <v>132132225</v>
      </c>
      <c r="M37" s="66"/>
      <c r="N37" s="98">
        <f>ROUND(+L37/$L$43,4)</f>
        <v>3.7999999999999999E-2</v>
      </c>
      <c r="O37" s="99"/>
      <c r="P37" s="100">
        <v>4.1000000000000003E-3</v>
      </c>
      <c r="Q37" s="88"/>
      <c r="R37" s="100">
        <f>ROUND(+$N$37*$P$37,4)</f>
        <v>2.0000000000000001E-4</v>
      </c>
      <c r="X37" s="66"/>
      <c r="AA37" s="101"/>
      <c r="AB37" s="102"/>
    </row>
    <row r="38" spans="1:29" x14ac:dyDescent="0.25">
      <c r="A38" s="76"/>
      <c r="B38" s="54"/>
      <c r="C38" s="75"/>
      <c r="D38" s="75"/>
      <c r="E38" s="54"/>
      <c r="F38" s="87"/>
      <c r="H38" s="75"/>
      <c r="J38" s="75"/>
      <c r="L38" s="103"/>
      <c r="M38" s="66"/>
      <c r="N38" s="104"/>
      <c r="O38" s="99"/>
      <c r="P38" s="100"/>
      <c r="Q38" s="88"/>
      <c r="R38" s="105"/>
      <c r="U38" s="106"/>
      <c r="V38" s="106"/>
      <c r="W38" s="106"/>
      <c r="X38" s="106"/>
      <c r="Z38" s="106"/>
      <c r="AA38" s="101"/>
    </row>
    <row r="39" spans="1:29" x14ac:dyDescent="0.25">
      <c r="A39" s="76" t="s">
        <v>109</v>
      </c>
      <c r="B39" s="54" t="s">
        <v>110</v>
      </c>
      <c r="C39" s="75">
        <f>+R20</f>
        <v>1856530008</v>
      </c>
      <c r="D39" s="75"/>
      <c r="E39" s="54"/>
      <c r="F39" s="87">
        <f>ROUND(+C39/$C$43,4)</f>
        <v>0.42630000000000001</v>
      </c>
      <c r="H39" s="75">
        <f>ROUND(+F39*$H$43,0)</f>
        <v>-375042533</v>
      </c>
      <c r="J39" s="75">
        <f>ROUND(+F39*$J$43,0)</f>
        <v>-1038821</v>
      </c>
      <c r="L39" s="107">
        <f>+C39+H39+J39</f>
        <v>1480448654</v>
      </c>
      <c r="M39" s="66"/>
      <c r="N39" s="98">
        <f>ROUND(+L39/$L$43,4)</f>
        <v>0.42630000000000001</v>
      </c>
      <c r="O39" s="99"/>
      <c r="P39" s="100">
        <v>3.6799999999999999E-2</v>
      </c>
      <c r="Q39" s="88"/>
      <c r="R39" s="100">
        <f>ROUND(+$N$39*$P$39,4)</f>
        <v>1.5699999999999999E-2</v>
      </c>
      <c r="U39" s="106"/>
      <c r="V39" s="106"/>
      <c r="W39" s="106"/>
      <c r="X39" s="106"/>
      <c r="Z39" s="106"/>
      <c r="AA39" s="101"/>
      <c r="AB39" s="102"/>
    </row>
    <row r="40" spans="1:29" x14ac:dyDescent="0.25">
      <c r="A40" s="54"/>
      <c r="B40" s="54"/>
      <c r="C40" s="75"/>
      <c r="D40" s="75"/>
      <c r="E40" s="54"/>
      <c r="F40" s="87"/>
      <c r="H40" s="75"/>
      <c r="J40" s="75"/>
      <c r="L40" s="108"/>
      <c r="N40" s="104"/>
      <c r="O40" s="99"/>
      <c r="P40" s="100"/>
      <c r="Q40" s="88"/>
      <c r="R40" s="105"/>
      <c r="Y40" s="109"/>
      <c r="Z40" s="98"/>
      <c r="AA40" s="110"/>
      <c r="AB40" s="98"/>
      <c r="AC40" s="98"/>
    </row>
    <row r="41" spans="1:29" x14ac:dyDescent="0.25">
      <c r="A41" s="76" t="s">
        <v>111</v>
      </c>
      <c r="B41" s="54" t="s">
        <v>112</v>
      </c>
      <c r="C41" s="75">
        <f>+R22</f>
        <v>2332544371</v>
      </c>
      <c r="D41" s="75"/>
      <c r="E41" s="54"/>
      <c r="F41" s="87">
        <f>ROUND(1-F37-F39,4)</f>
        <v>0.53559999999999997</v>
      </c>
      <c r="H41" s="75">
        <f>+H43-H37-H39</f>
        <v>-471200518</v>
      </c>
      <c r="J41" s="75">
        <f>+J43-J37-J39</f>
        <v>-1305168</v>
      </c>
      <c r="L41" s="107">
        <f>+C41+H41+J41</f>
        <v>1860038685</v>
      </c>
      <c r="N41" s="87">
        <f>ROUND(1-N37-N39,4)</f>
        <v>0.53569999999999995</v>
      </c>
      <c r="O41" s="99"/>
      <c r="P41" s="100">
        <v>0.10249999999999999</v>
      </c>
      <c r="Q41" s="88"/>
      <c r="R41" s="100">
        <f>ROUND(+$N$41*$P$41,4)</f>
        <v>5.4899999999999997E-2</v>
      </c>
      <c r="AA41" s="111"/>
      <c r="AB41" s="102"/>
    </row>
    <row r="42" spans="1:29" x14ac:dyDescent="0.25">
      <c r="A42" s="54"/>
      <c r="B42" s="54"/>
      <c r="C42" s="75"/>
      <c r="D42" s="75"/>
      <c r="E42" s="54"/>
      <c r="F42" s="112"/>
      <c r="H42" s="54"/>
      <c r="J42" s="54"/>
      <c r="L42" s="108"/>
      <c r="N42" s="113"/>
      <c r="P42" s="87"/>
      <c r="Q42" s="54"/>
      <c r="R42" s="114"/>
    </row>
    <row r="43" spans="1:29" ht="16.5" thickBot="1" x14ac:dyDescent="0.3">
      <c r="A43" s="76" t="s">
        <v>113</v>
      </c>
      <c r="B43" s="54" t="s">
        <v>114</v>
      </c>
      <c r="C43" s="91">
        <f>SUM(C37:C41)</f>
        <v>4354818379</v>
      </c>
      <c r="D43" s="75"/>
      <c r="E43" s="54"/>
      <c r="F43" s="115">
        <f>SUM(F37:F41)</f>
        <v>1</v>
      </c>
      <c r="H43" s="91">
        <v>-879761983</v>
      </c>
      <c r="J43" s="91">
        <v>-2436832</v>
      </c>
      <c r="L43" s="91">
        <f>SUM(L37:L41)</f>
        <v>3472619564</v>
      </c>
      <c r="N43" s="115">
        <f>SUM(N37:N41)</f>
        <v>1</v>
      </c>
      <c r="P43" s="102"/>
      <c r="Q43" s="54"/>
      <c r="R43" s="116">
        <f>ROUND(SUM(R37:R41),4)</f>
        <v>7.0800000000000002E-2</v>
      </c>
      <c r="AB43" s="102"/>
    </row>
    <row r="44" spans="1:29" ht="16.5" thickTop="1" x14ac:dyDescent="0.25">
      <c r="J44" s="84"/>
      <c r="K44" s="84"/>
      <c r="L44" s="117"/>
      <c r="M44" s="84"/>
      <c r="N44" s="84"/>
      <c r="O44" s="84"/>
      <c r="R44" s="99"/>
    </row>
    <row r="45" spans="1:29" x14ac:dyDescent="0.25">
      <c r="H45" s="118"/>
      <c r="J45" s="119"/>
      <c r="R45" s="99"/>
    </row>
    <row r="46" spans="1:29" ht="16.5" thickBot="1" x14ac:dyDescent="0.3">
      <c r="A46" s="76" t="s">
        <v>128</v>
      </c>
      <c r="B46" s="54" t="s">
        <v>129</v>
      </c>
      <c r="R46" s="120">
        <f>ROUND(R43+(R43-R39-R37)*(38.666%/(1-38.666%)),4)</f>
        <v>0.10539999999999999</v>
      </c>
    </row>
    <row r="47" spans="1:29" ht="16.5" thickTop="1" x14ac:dyDescent="0.25"/>
    <row r="49" spans="1:16" x14ac:dyDescent="0.25">
      <c r="A49" s="55" t="s">
        <v>108</v>
      </c>
      <c r="B49" s="121" t="s">
        <v>130</v>
      </c>
    </row>
    <row r="52" spans="1:16" x14ac:dyDescent="0.25">
      <c r="L52" s="122"/>
      <c r="N52" s="123"/>
      <c r="P52" s="124"/>
    </row>
    <row r="53" spans="1:16" x14ac:dyDescent="0.25">
      <c r="L53" s="122"/>
      <c r="N53" s="123"/>
    </row>
  </sheetData>
  <printOptions horizontalCentered="1" gridLinesSet="0"/>
  <pageMargins left="0.32" right="0.33" top="0.75" bottom="0.5" header="0.5" footer="0.5"/>
  <pageSetup scale="59" orientation="landscape" horizontalDpi="300" verticalDpi="300" r:id="rId1"/>
  <headerFooter scaleWithDoc="0">
    <oddFooter>&amp;R&amp;"Times New Roman,Bold"&amp;12Attachment to Response to Question No. 1
Page 3 of 6
Garrett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view="pageBreakPreview" topLeftCell="A8" zoomScale="80" zoomScaleNormal="70" zoomScaleSheetLayoutView="80" workbookViewId="0">
      <selection activeCell="G44" sqref="G44"/>
    </sheetView>
  </sheetViews>
  <sheetFormatPr defaultRowHeight="15.75" x14ac:dyDescent="0.25"/>
  <cols>
    <col min="1" max="1" width="6.33203125" style="55" customWidth="1"/>
    <col min="2" max="2" width="38.83203125" style="55" customWidth="1"/>
    <col min="3" max="3" width="22.1640625" style="55" customWidth="1"/>
    <col min="4" max="4" width="4.6640625" style="55" bestFit="1" customWidth="1"/>
    <col min="5" max="5" width="2" style="55" customWidth="1"/>
    <col min="6" max="6" width="18.6640625" style="55" bestFit="1" customWidth="1"/>
    <col min="7" max="7" width="2.33203125" style="55" customWidth="1"/>
    <col min="8" max="8" width="29.83203125" style="55" bestFit="1" customWidth="1"/>
    <col min="9" max="9" width="2.33203125" style="55" customWidth="1"/>
    <col min="10" max="10" width="22.1640625" style="55" customWidth="1"/>
    <col min="11" max="11" width="2.33203125" style="55" customWidth="1"/>
    <col min="12" max="12" width="22.1640625" style="55" customWidth="1"/>
    <col min="13" max="13" width="2.6640625" style="55" customWidth="1"/>
    <col min="14" max="14" width="22.1640625" style="55" customWidth="1"/>
    <col min="15" max="15" width="2.6640625" style="55" customWidth="1"/>
    <col min="16" max="16" width="22.1640625" style="55" customWidth="1"/>
    <col min="17" max="17" width="2.1640625" style="55" customWidth="1"/>
    <col min="18" max="18" width="22.1640625" style="55" customWidth="1"/>
    <col min="19" max="20" width="2.1640625" style="55" customWidth="1"/>
    <col min="21" max="21" width="22.1640625" style="55" customWidth="1"/>
    <col min="22" max="22" width="2.6640625" style="55" customWidth="1"/>
    <col min="23" max="16384" width="9.33203125" style="152"/>
  </cols>
  <sheetData>
    <row r="1" spans="1:22" x14ac:dyDescent="0.25">
      <c r="A1" s="52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V1" s="54"/>
    </row>
    <row r="2" spans="1:22" x14ac:dyDescent="0.25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V2" s="54"/>
    </row>
    <row r="3" spans="1:22" x14ac:dyDescent="0.2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2" x14ac:dyDescent="0.25">
      <c r="A4" s="56" t="s">
        <v>82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  <c r="U4" s="57"/>
      <c r="V4" s="57"/>
    </row>
    <row r="5" spans="1:22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x14ac:dyDescent="0.25">
      <c r="A6" s="56" t="s">
        <v>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8"/>
      <c r="U6" s="58"/>
      <c r="V6" s="58"/>
    </row>
    <row r="7" spans="1:22" x14ac:dyDescent="0.25">
      <c r="A7" s="61" t="s">
        <v>159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8"/>
      <c r="U7" s="58"/>
      <c r="V7" s="58"/>
    </row>
    <row r="8" spans="1:22" x14ac:dyDescent="0.25">
      <c r="A8" s="62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63"/>
      <c r="S8" s="58"/>
      <c r="T8" s="58"/>
      <c r="U8" s="58"/>
      <c r="V8" s="58"/>
    </row>
    <row r="9" spans="1:22" ht="18" x14ac:dyDescent="0.4">
      <c r="A9" s="5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22" x14ac:dyDescent="0.25">
      <c r="A10" s="53"/>
      <c r="B10" s="53"/>
      <c r="C10" s="54"/>
      <c r="D10" s="54"/>
      <c r="E10" s="54"/>
      <c r="H10" s="54"/>
      <c r="I10" s="54"/>
      <c r="J10" s="54"/>
      <c r="K10" s="54"/>
      <c r="L10" s="65" t="s">
        <v>85</v>
      </c>
      <c r="O10" s="54"/>
      <c r="P10" s="54"/>
      <c r="Q10" s="54"/>
      <c r="R10" s="54"/>
      <c r="T10" s="65"/>
    </row>
    <row r="11" spans="1:22" x14ac:dyDescent="0.25">
      <c r="A11" s="53"/>
      <c r="B11" s="53"/>
      <c r="C11" s="65"/>
      <c r="D11" s="65"/>
      <c r="E11" s="65"/>
      <c r="H11" s="65"/>
      <c r="I11" s="65"/>
      <c r="J11" s="65"/>
      <c r="K11" s="65"/>
      <c r="L11" s="65" t="s">
        <v>86</v>
      </c>
      <c r="M11" s="65"/>
      <c r="N11" s="65" t="s">
        <v>87</v>
      </c>
      <c r="Q11" s="65"/>
      <c r="R11" s="66" t="s">
        <v>88</v>
      </c>
      <c r="T11" s="66"/>
      <c r="V11" s="65"/>
    </row>
    <row r="12" spans="1:22" x14ac:dyDescent="0.25">
      <c r="A12" s="53"/>
      <c r="B12" s="53"/>
      <c r="C12" s="65"/>
      <c r="D12" s="65"/>
      <c r="E12" s="65"/>
      <c r="F12" s="65"/>
      <c r="H12" s="65"/>
      <c r="I12" s="65"/>
      <c r="J12" s="65" t="s">
        <v>89</v>
      </c>
      <c r="K12" s="65"/>
      <c r="L12" s="65" t="s">
        <v>90</v>
      </c>
      <c r="M12" s="65"/>
      <c r="N12" s="65" t="s">
        <v>91</v>
      </c>
      <c r="O12" s="66"/>
      <c r="P12" s="65" t="s">
        <v>92</v>
      </c>
      <c r="Q12" s="65"/>
      <c r="R12" s="65" t="s">
        <v>92</v>
      </c>
    </row>
    <row r="13" spans="1:22" x14ac:dyDescent="0.25">
      <c r="A13" s="53"/>
      <c r="B13" s="54"/>
      <c r="C13" s="65" t="s">
        <v>93</v>
      </c>
      <c r="D13" s="65"/>
      <c r="E13" s="65"/>
      <c r="F13" s="66" t="s">
        <v>94</v>
      </c>
      <c r="H13" s="65"/>
      <c r="I13" s="65"/>
      <c r="J13" s="65" t="s">
        <v>95</v>
      </c>
      <c r="K13" s="65"/>
      <c r="L13" s="65" t="s">
        <v>96</v>
      </c>
      <c r="M13" s="65"/>
      <c r="N13" s="65" t="s">
        <v>96</v>
      </c>
      <c r="O13" s="66"/>
      <c r="P13" s="65" t="s">
        <v>97</v>
      </c>
      <c r="Q13" s="65"/>
      <c r="R13" s="66" t="s">
        <v>96</v>
      </c>
    </row>
    <row r="14" spans="1:22" x14ac:dyDescent="0.25">
      <c r="A14" s="54"/>
      <c r="B14" s="54"/>
      <c r="C14" s="67" t="s">
        <v>160</v>
      </c>
      <c r="D14" s="65"/>
      <c r="E14" s="65"/>
      <c r="F14" s="66" t="s">
        <v>99</v>
      </c>
      <c r="H14" s="65" t="s">
        <v>100</v>
      </c>
      <c r="I14" s="65"/>
      <c r="J14" s="68" t="s">
        <v>101</v>
      </c>
      <c r="K14" s="65"/>
      <c r="L14" s="68" t="s">
        <v>102</v>
      </c>
      <c r="M14" s="65"/>
      <c r="N14" s="69" t="s">
        <v>103</v>
      </c>
      <c r="O14" s="66"/>
      <c r="P14" s="65" t="s">
        <v>104</v>
      </c>
      <c r="Q14" s="65"/>
      <c r="R14" s="68" t="s">
        <v>105</v>
      </c>
    </row>
    <row r="15" spans="1:22" x14ac:dyDescent="0.25">
      <c r="A15" s="54"/>
      <c r="B15" s="54"/>
      <c r="C15" s="70">
        <v>-1</v>
      </c>
      <c r="D15" s="65"/>
      <c r="E15" s="66"/>
      <c r="F15" s="70">
        <v>-2</v>
      </c>
      <c r="H15" s="70">
        <v>-3</v>
      </c>
      <c r="I15" s="65"/>
      <c r="J15" s="71">
        <v>-4</v>
      </c>
      <c r="K15" s="65"/>
      <c r="L15" s="71">
        <v>-5</v>
      </c>
      <c r="M15" s="65"/>
      <c r="N15" s="70">
        <v>-6</v>
      </c>
      <c r="O15" s="65"/>
      <c r="P15" s="70">
        <v>-7</v>
      </c>
      <c r="Q15" s="65"/>
      <c r="R15" s="70">
        <v>-8</v>
      </c>
    </row>
    <row r="16" spans="1:22" x14ac:dyDescent="0.25">
      <c r="A16" s="72"/>
      <c r="B16" s="54"/>
      <c r="C16" s="73"/>
      <c r="D16" s="54"/>
      <c r="E16" s="73"/>
      <c r="F16" s="65"/>
      <c r="H16" s="74"/>
      <c r="I16" s="65"/>
      <c r="J16" s="74"/>
      <c r="K16" s="65"/>
      <c r="L16" s="65"/>
      <c r="M16" s="65"/>
      <c r="N16" s="66"/>
      <c r="O16" s="66"/>
      <c r="P16" s="65"/>
      <c r="Q16" s="65"/>
    </row>
    <row r="17" spans="1:22" x14ac:dyDescent="0.25">
      <c r="A17" s="54"/>
      <c r="B17" s="54"/>
      <c r="C17" s="54"/>
      <c r="D17" s="54"/>
      <c r="E17" s="54"/>
      <c r="F17" s="54"/>
      <c r="H17" s="75"/>
      <c r="I17" s="54"/>
      <c r="J17" s="75"/>
      <c r="K17" s="54"/>
      <c r="L17" s="54"/>
      <c r="M17" s="54"/>
      <c r="P17" s="54"/>
      <c r="Q17" s="54"/>
    </row>
    <row r="18" spans="1:22" x14ac:dyDescent="0.25">
      <c r="A18" s="76" t="s">
        <v>106</v>
      </c>
      <c r="B18" s="54" t="s">
        <v>107</v>
      </c>
      <c r="C18" s="80">
        <v>93015446</v>
      </c>
      <c r="D18" s="78" t="s">
        <v>108</v>
      </c>
      <c r="E18" s="54"/>
      <c r="F18" s="87">
        <f>ROUND(+C18/$C$24,4)</f>
        <v>2.0799999999999999E-2</v>
      </c>
      <c r="H18" s="80">
        <v>0</v>
      </c>
      <c r="I18" s="54"/>
      <c r="J18" s="80">
        <f>ROUND(+F18*$J$24,0)</f>
        <v>-25412</v>
      </c>
      <c r="K18" s="54"/>
      <c r="L18" s="80">
        <f>SUM(H18:K18)</f>
        <v>-25412</v>
      </c>
      <c r="M18" s="54"/>
      <c r="N18" s="81">
        <f>+C18+L18</f>
        <v>92990034</v>
      </c>
      <c r="P18" s="82">
        <v>0.87949999999999995</v>
      </c>
      <c r="Q18" s="54"/>
      <c r="R18" s="81">
        <f>ROUND(+N18*P18,0)</f>
        <v>81784735</v>
      </c>
    </row>
    <row r="19" spans="1:22" x14ac:dyDescent="0.25">
      <c r="A19" s="76"/>
      <c r="B19" s="54"/>
      <c r="C19" s="129"/>
      <c r="D19" s="54"/>
      <c r="E19" s="54"/>
      <c r="F19" s="87"/>
      <c r="H19" s="75"/>
      <c r="I19" s="54"/>
      <c r="J19" s="75"/>
      <c r="K19" s="54"/>
      <c r="L19" s="75"/>
      <c r="M19" s="54"/>
      <c r="N19" s="84"/>
      <c r="P19" s="85"/>
      <c r="Q19" s="54"/>
      <c r="R19" s="84"/>
    </row>
    <row r="20" spans="1:22" x14ac:dyDescent="0.25">
      <c r="A20" s="76" t="s">
        <v>109</v>
      </c>
      <c r="B20" s="54" t="s">
        <v>110</v>
      </c>
      <c r="C20" s="75">
        <v>1937197087</v>
      </c>
      <c r="D20" s="78" t="s">
        <v>108</v>
      </c>
      <c r="E20" s="54"/>
      <c r="F20" s="87">
        <f>ROUND(+C20/$C$24,4)</f>
        <v>0.43359999999999999</v>
      </c>
      <c r="H20" s="86">
        <v>0</v>
      </c>
      <c r="I20" s="54"/>
      <c r="J20" s="75">
        <f>ROUND(+F20*$J$24,0)</f>
        <v>-529738</v>
      </c>
      <c r="K20" s="54"/>
      <c r="L20" s="75">
        <f>SUM(H20:K20)</f>
        <v>-529738</v>
      </c>
      <c r="M20" s="54"/>
      <c r="N20" s="84">
        <f>+C20+L20</f>
        <v>1936667349</v>
      </c>
      <c r="P20" s="85">
        <v>0.87949999999999995</v>
      </c>
      <c r="Q20" s="54"/>
      <c r="R20" s="84">
        <f>ROUND(+N20*P20,0)</f>
        <v>1703298933</v>
      </c>
    </row>
    <row r="21" spans="1:22" x14ac:dyDescent="0.25">
      <c r="A21" s="54"/>
      <c r="B21" s="54"/>
      <c r="C21" s="83"/>
      <c r="D21" s="54"/>
      <c r="E21" s="54"/>
      <c r="F21" s="87"/>
      <c r="H21" s="87"/>
      <c r="I21" s="54"/>
      <c r="J21" s="75"/>
      <c r="K21" s="54"/>
      <c r="L21" s="75"/>
      <c r="M21" s="54"/>
      <c r="N21" s="84"/>
      <c r="P21" s="85"/>
      <c r="Q21" s="54"/>
      <c r="R21" s="84"/>
    </row>
    <row r="22" spans="1:22" x14ac:dyDescent="0.25">
      <c r="A22" s="76" t="s">
        <v>111</v>
      </c>
      <c r="B22" s="54" t="s">
        <v>112</v>
      </c>
      <c r="C22" s="54">
        <v>2437295661</v>
      </c>
      <c r="D22" s="54"/>
      <c r="E22" s="54"/>
      <c r="F22" s="87">
        <f>ROUND(1-F18-F20,4)</f>
        <v>0.54559999999999997</v>
      </c>
      <c r="H22" s="86">
        <f>H24</f>
        <v>-504066</v>
      </c>
      <c r="I22" s="54"/>
      <c r="J22" s="86">
        <f>+J24-J18-J20</f>
        <v>-666570</v>
      </c>
      <c r="K22" s="54"/>
      <c r="L22" s="86">
        <f>SUM(H22:K22)</f>
        <v>-1170636</v>
      </c>
      <c r="M22" s="54"/>
      <c r="N22" s="84">
        <f>+C22+L22</f>
        <v>2436125025</v>
      </c>
      <c r="P22" s="85">
        <v>0.87949999999999995</v>
      </c>
      <c r="Q22" s="54"/>
      <c r="R22" s="84">
        <f>ROUND(+N22*P22,0)</f>
        <v>2142571959</v>
      </c>
    </row>
    <row r="23" spans="1:22" x14ac:dyDescent="0.25">
      <c r="A23" s="54"/>
      <c r="B23" s="54"/>
      <c r="C23" s="54"/>
      <c r="D23" s="54"/>
      <c r="E23" s="54"/>
      <c r="F23" s="79"/>
      <c r="H23" s="54"/>
      <c r="I23" s="54"/>
      <c r="J23" s="54"/>
      <c r="K23" s="54"/>
      <c r="L23" s="75"/>
      <c r="M23" s="54"/>
      <c r="N23" s="84"/>
      <c r="P23" s="88"/>
      <c r="Q23" s="54"/>
      <c r="R23" s="84"/>
    </row>
    <row r="24" spans="1:22" ht="16.5" thickBot="1" x14ac:dyDescent="0.3">
      <c r="A24" s="76" t="s">
        <v>113</v>
      </c>
      <c r="B24" s="54" t="s">
        <v>114</v>
      </c>
      <c r="C24" s="89">
        <f>SUM(C18:C22)</f>
        <v>4467508194</v>
      </c>
      <c r="D24" s="54"/>
      <c r="E24" s="54"/>
      <c r="F24" s="90">
        <f>SUM(F18:F22)</f>
        <v>1</v>
      </c>
      <c r="H24" s="91">
        <v>-504066</v>
      </c>
      <c r="I24" s="54"/>
      <c r="J24" s="91">
        <v>-1221720</v>
      </c>
      <c r="K24" s="54"/>
      <c r="L24" s="91">
        <f>SUM(L18:L22)</f>
        <v>-1725786</v>
      </c>
      <c r="M24" s="54"/>
      <c r="N24" s="91">
        <f>SUM(N18:N22)</f>
        <v>4465782408</v>
      </c>
      <c r="Q24" s="54"/>
      <c r="R24" s="91">
        <f>SUM(R18:R22)</f>
        <v>3927655627</v>
      </c>
    </row>
    <row r="25" spans="1:22" ht="16.5" thickTop="1" x14ac:dyDescent="0.25">
      <c r="A25" s="54"/>
      <c r="B25" s="54"/>
      <c r="C25" s="54"/>
      <c r="D25" s="54"/>
      <c r="E25" s="54"/>
      <c r="F25" s="54"/>
      <c r="H25" s="54"/>
      <c r="I25" s="54"/>
      <c r="J25" s="54"/>
      <c r="K25" s="54"/>
      <c r="L25" s="54"/>
      <c r="M25" s="54"/>
      <c r="N25" s="54"/>
      <c r="O25" s="54"/>
      <c r="Q25" s="54"/>
      <c r="S25" s="54"/>
    </row>
    <row r="26" spans="1:22" x14ac:dyDescent="0.25">
      <c r="A26" s="54"/>
      <c r="B26" s="54"/>
      <c r="C26" s="77"/>
      <c r="D26" s="54"/>
      <c r="E26" s="54"/>
      <c r="F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T26" s="54"/>
    </row>
    <row r="27" spans="1:22" ht="18" x14ac:dyDescent="0.4">
      <c r="A27" s="54"/>
      <c r="B27" s="5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</row>
    <row r="28" spans="1:22" ht="18" x14ac:dyDescent="0.4">
      <c r="A28" s="54"/>
      <c r="B28" s="5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</row>
    <row r="29" spans="1:22" ht="18" x14ac:dyDescent="0.4">
      <c r="A29" s="54"/>
      <c r="B29" s="54"/>
      <c r="C29" s="64"/>
      <c r="D29" s="64"/>
      <c r="E29" s="64"/>
      <c r="F29" s="64"/>
      <c r="G29" s="64"/>
      <c r="H29" s="92"/>
      <c r="I29" s="64"/>
      <c r="J29" s="92"/>
      <c r="K29" s="64"/>
      <c r="L29" s="92" t="s">
        <v>115</v>
      </c>
      <c r="M29" s="64"/>
      <c r="N29" s="64"/>
      <c r="O29" s="64"/>
      <c r="R29" s="54"/>
      <c r="S29" s="54"/>
    </row>
    <row r="30" spans="1:22" ht="18" x14ac:dyDescent="0.4">
      <c r="A30" s="54"/>
      <c r="B30" s="54"/>
      <c r="C30" s="64"/>
      <c r="D30" s="64"/>
      <c r="E30" s="64"/>
      <c r="F30" s="64"/>
      <c r="G30" s="64"/>
      <c r="H30" s="92"/>
      <c r="I30" s="64"/>
      <c r="J30" s="92"/>
      <c r="K30" s="64"/>
      <c r="L30" s="66" t="s">
        <v>88</v>
      </c>
      <c r="M30" s="64"/>
      <c r="P30" s="65"/>
      <c r="Q30" s="65"/>
      <c r="R30" s="65" t="s">
        <v>116</v>
      </c>
    </row>
    <row r="31" spans="1:22" x14ac:dyDescent="0.25">
      <c r="A31" s="54"/>
      <c r="B31" s="54"/>
      <c r="C31" s="66" t="s">
        <v>88</v>
      </c>
      <c r="D31" s="54"/>
      <c r="E31" s="54"/>
      <c r="F31" s="54"/>
      <c r="H31" s="92" t="s">
        <v>117</v>
      </c>
      <c r="J31" s="74" t="s">
        <v>118</v>
      </c>
      <c r="L31" s="65" t="s">
        <v>92</v>
      </c>
      <c r="M31" s="54"/>
      <c r="N31" s="66" t="s">
        <v>115</v>
      </c>
      <c r="P31" s="65" t="s">
        <v>119</v>
      </c>
      <c r="Q31" s="65"/>
      <c r="R31" s="65" t="s">
        <v>120</v>
      </c>
    </row>
    <row r="32" spans="1:22" ht="18" x14ac:dyDescent="0.4">
      <c r="C32" s="65" t="s">
        <v>92</v>
      </c>
      <c r="D32" s="93"/>
      <c r="E32" s="93"/>
      <c r="F32" s="66" t="s">
        <v>94</v>
      </c>
      <c r="H32" s="65" t="s">
        <v>121</v>
      </c>
      <c r="J32" s="74" t="s">
        <v>97</v>
      </c>
      <c r="L32" s="66" t="s">
        <v>96</v>
      </c>
      <c r="M32" s="93"/>
      <c r="N32" s="66" t="s">
        <v>94</v>
      </c>
      <c r="P32" s="65" t="s">
        <v>116</v>
      </c>
      <c r="Q32" s="65"/>
      <c r="R32" s="65" t="s">
        <v>122</v>
      </c>
    </row>
    <row r="33" spans="1:22" x14ac:dyDescent="0.25">
      <c r="A33" s="72"/>
      <c r="B33" s="95"/>
      <c r="C33" s="66" t="s">
        <v>96</v>
      </c>
      <c r="F33" s="66" t="s">
        <v>99</v>
      </c>
      <c r="H33" s="68" t="s">
        <v>123</v>
      </c>
      <c r="J33" s="68" t="s">
        <v>124</v>
      </c>
      <c r="L33" s="68" t="s">
        <v>125</v>
      </c>
      <c r="N33" s="66" t="s">
        <v>99</v>
      </c>
      <c r="P33" s="65" t="s">
        <v>126</v>
      </c>
      <c r="Q33" s="65"/>
      <c r="R33" s="69" t="s">
        <v>127</v>
      </c>
    </row>
    <row r="34" spans="1:22" x14ac:dyDescent="0.25">
      <c r="A34" s="95"/>
      <c r="B34" s="95"/>
      <c r="C34" s="70">
        <v>-8</v>
      </c>
      <c r="D34" s="66"/>
      <c r="E34" s="66"/>
      <c r="F34" s="70">
        <v>-9</v>
      </c>
      <c r="H34" s="70">
        <v>-10</v>
      </c>
      <c r="J34" s="71">
        <v>-11</v>
      </c>
      <c r="L34" s="70">
        <v>-12</v>
      </c>
      <c r="M34" s="66"/>
      <c r="N34" s="70">
        <v>-13</v>
      </c>
      <c r="P34" s="70">
        <v>-14</v>
      </c>
      <c r="Q34" s="65"/>
      <c r="R34" s="70">
        <v>-15</v>
      </c>
    </row>
    <row r="35" spans="1:22" x14ac:dyDescent="0.25">
      <c r="A35" s="95"/>
      <c r="B35" s="95"/>
      <c r="C35" s="66"/>
      <c r="D35" s="66"/>
      <c r="E35" s="66"/>
      <c r="F35" s="66"/>
      <c r="H35" s="66"/>
      <c r="J35" s="96"/>
      <c r="L35" s="66"/>
      <c r="M35" s="66"/>
      <c r="P35" s="65"/>
      <c r="Q35" s="54"/>
      <c r="R35" s="65"/>
    </row>
    <row r="36" spans="1:22" x14ac:dyDescent="0.25">
      <c r="A36" s="95"/>
      <c r="B36" s="95"/>
      <c r="C36" s="66"/>
      <c r="D36" s="66"/>
      <c r="E36" s="66"/>
      <c r="F36" s="66"/>
      <c r="H36" s="66"/>
      <c r="J36" s="96"/>
      <c r="L36" s="66"/>
      <c r="M36" s="66"/>
      <c r="P36" s="54"/>
      <c r="Q36" s="54"/>
      <c r="R36" s="54"/>
    </row>
    <row r="37" spans="1:22" x14ac:dyDescent="0.25">
      <c r="A37" s="76" t="s">
        <v>106</v>
      </c>
      <c r="B37" s="54" t="s">
        <v>107</v>
      </c>
      <c r="C37" s="80">
        <f>+R18</f>
        <v>81784735</v>
      </c>
      <c r="D37" s="75"/>
      <c r="E37" s="54"/>
      <c r="F37" s="87">
        <f>ROUND(+C37/$C$43,4)</f>
        <v>2.0799999999999999E-2</v>
      </c>
      <c r="H37" s="80">
        <f>ROUND(+F37*$H$43,0)</f>
        <v>-13756244</v>
      </c>
      <c r="J37" s="80">
        <f>ROUND(+F37*$J$43,0)</f>
        <v>-42214</v>
      </c>
      <c r="L37" s="97">
        <f>+C37+H37+J37</f>
        <v>67986277</v>
      </c>
      <c r="M37" s="66"/>
      <c r="N37" s="98">
        <f>ROUND(+L37/$L$43,4)</f>
        <v>2.0799999999999999E-2</v>
      </c>
      <c r="O37" s="99"/>
      <c r="P37" s="100">
        <v>3.0000000000000001E-3</v>
      </c>
      <c r="Q37" s="88"/>
      <c r="R37" s="100">
        <f>ROUND(+$N$37*$P$37,4)</f>
        <v>1E-4</v>
      </c>
    </row>
    <row r="38" spans="1:22" x14ac:dyDescent="0.25">
      <c r="A38" s="76"/>
      <c r="B38" s="54"/>
      <c r="C38" s="75"/>
      <c r="D38" s="75"/>
      <c r="E38" s="54"/>
      <c r="F38" s="87"/>
      <c r="H38" s="75"/>
      <c r="J38" s="75"/>
      <c r="L38" s="103"/>
      <c r="M38" s="66"/>
      <c r="N38" s="104"/>
      <c r="O38" s="99"/>
      <c r="P38" s="100"/>
      <c r="Q38" s="88"/>
      <c r="R38" s="105"/>
      <c r="U38" s="106"/>
      <c r="V38" s="106"/>
    </row>
    <row r="39" spans="1:22" x14ac:dyDescent="0.25">
      <c r="A39" s="76" t="s">
        <v>109</v>
      </c>
      <c r="B39" s="54" t="s">
        <v>110</v>
      </c>
      <c r="C39" s="75">
        <f>+R20</f>
        <v>1703298933</v>
      </c>
      <c r="D39" s="75"/>
      <c r="E39" s="54"/>
      <c r="F39" s="87">
        <f>ROUND(+C39/$C$43,4)</f>
        <v>0.43369999999999997</v>
      </c>
      <c r="H39" s="75">
        <f>ROUND(+F39*$H$43,0)</f>
        <v>-286830924</v>
      </c>
      <c r="J39" s="75">
        <f>ROUND(+F39*$J$43,0)</f>
        <v>-880197</v>
      </c>
      <c r="L39" s="107">
        <f>+C39+H39+J39</f>
        <v>1415587812</v>
      </c>
      <c r="M39" s="66"/>
      <c r="N39" s="98">
        <f>ROUND(+L39/$L$43,4)</f>
        <v>0.43369999999999997</v>
      </c>
      <c r="O39" s="99"/>
      <c r="P39" s="100">
        <v>3.6799999999999999E-2</v>
      </c>
      <c r="Q39" s="88"/>
      <c r="R39" s="100">
        <f>ROUND(+$N$39*$P$39,4)</f>
        <v>1.6E-2</v>
      </c>
      <c r="U39" s="106"/>
      <c r="V39" s="106"/>
    </row>
    <row r="40" spans="1:22" x14ac:dyDescent="0.25">
      <c r="A40" s="54"/>
      <c r="B40" s="54"/>
      <c r="C40" s="75"/>
      <c r="D40" s="75"/>
      <c r="E40" s="54"/>
      <c r="F40" s="87"/>
      <c r="H40" s="75"/>
      <c r="J40" s="75"/>
      <c r="L40" s="108"/>
      <c r="N40" s="104"/>
      <c r="O40" s="99"/>
      <c r="P40" s="100"/>
      <c r="Q40" s="88"/>
      <c r="R40" s="105"/>
    </row>
    <row r="41" spans="1:22" x14ac:dyDescent="0.25">
      <c r="A41" s="76" t="s">
        <v>111</v>
      </c>
      <c r="B41" s="54" t="s">
        <v>112</v>
      </c>
      <c r="C41" s="75">
        <f>+R22</f>
        <v>2142571959</v>
      </c>
      <c r="D41" s="75"/>
      <c r="E41" s="54"/>
      <c r="F41" s="87">
        <f>ROUND(1-F37-F39,4)</f>
        <v>0.54549999999999998</v>
      </c>
      <c r="H41" s="75">
        <f>+H43-H37-H39</f>
        <v>-360770738.99000001</v>
      </c>
      <c r="J41" s="75">
        <f>+J43-J37-J39</f>
        <v>-1107095</v>
      </c>
      <c r="L41" s="107">
        <f>+C41+H41+J41</f>
        <v>1780694125.01</v>
      </c>
      <c r="N41" s="87">
        <f>ROUND(1-N37-N39,4)</f>
        <v>0.54549999999999998</v>
      </c>
      <c r="O41" s="99"/>
      <c r="P41" s="100">
        <v>0.10249999999999999</v>
      </c>
      <c r="Q41" s="88"/>
      <c r="R41" s="100">
        <f>ROUND(+$N$41*$P$41,4)</f>
        <v>5.5899999999999998E-2</v>
      </c>
    </row>
    <row r="42" spans="1:22" x14ac:dyDescent="0.25">
      <c r="A42" s="54"/>
      <c r="B42" s="54"/>
      <c r="C42" s="75"/>
      <c r="D42" s="75"/>
      <c r="E42" s="54"/>
      <c r="F42" s="112"/>
      <c r="H42" s="54"/>
      <c r="J42" s="54"/>
      <c r="L42" s="108"/>
      <c r="N42" s="113"/>
      <c r="P42" s="87"/>
      <c r="Q42" s="54"/>
      <c r="R42" s="114"/>
    </row>
    <row r="43" spans="1:22" ht="16.5" thickBot="1" x14ac:dyDescent="0.3">
      <c r="A43" s="76" t="s">
        <v>113</v>
      </c>
      <c r="B43" s="54" t="s">
        <v>114</v>
      </c>
      <c r="C43" s="91">
        <f>SUM(C37:C41)</f>
        <v>3927655627</v>
      </c>
      <c r="D43" s="75"/>
      <c r="E43" s="54"/>
      <c r="F43" s="115">
        <f>SUM(F37:F41)</f>
        <v>1</v>
      </c>
      <c r="H43" s="91">
        <v>-661357906.99000001</v>
      </c>
      <c r="J43" s="91">
        <v>-2029506</v>
      </c>
      <c r="L43" s="91">
        <f>SUM(L37:L41)</f>
        <v>3264268214.0100002</v>
      </c>
      <c r="N43" s="115">
        <f>SUM(N37:N41)</f>
        <v>1</v>
      </c>
      <c r="P43" s="102"/>
      <c r="Q43" s="54"/>
      <c r="R43" s="116">
        <f>ROUND(SUM(R37:R41),4)</f>
        <v>7.1999999999999995E-2</v>
      </c>
    </row>
    <row r="44" spans="1:22" ht="16.5" thickTop="1" x14ac:dyDescent="0.25">
      <c r="J44" s="84"/>
      <c r="K44" s="84"/>
      <c r="L44" s="117"/>
      <c r="M44" s="84"/>
      <c r="N44" s="84"/>
      <c r="O44" s="84"/>
      <c r="R44" s="99"/>
    </row>
    <row r="45" spans="1:22" x14ac:dyDescent="0.25">
      <c r="H45" s="118"/>
      <c r="J45" s="119"/>
      <c r="R45" s="99"/>
    </row>
    <row r="46" spans="1:22" ht="16.5" thickBot="1" x14ac:dyDescent="0.3">
      <c r="A46" s="76" t="s">
        <v>128</v>
      </c>
      <c r="B46" s="54" t="s">
        <v>129</v>
      </c>
      <c r="R46" s="120">
        <f>ROUND(R43+(R43-R39-R37)*(35.6937%/(1-35.6937%)),4)</f>
        <v>0.10299999999999999</v>
      </c>
    </row>
    <row r="47" spans="1:22" ht="16.5" thickTop="1" x14ac:dyDescent="0.25"/>
    <row r="49" spans="1:16" x14ac:dyDescent="0.25">
      <c r="A49" s="55" t="s">
        <v>108</v>
      </c>
      <c r="B49" s="121" t="s">
        <v>130</v>
      </c>
    </row>
    <row r="52" spans="1:16" x14ac:dyDescent="0.25">
      <c r="L52" s="122"/>
      <c r="N52" s="123"/>
      <c r="P52" s="124"/>
    </row>
    <row r="53" spans="1:16" x14ac:dyDescent="0.25">
      <c r="L53" s="122"/>
      <c r="N53" s="123"/>
    </row>
  </sheetData>
  <pageMargins left="0.7" right="0.7" top="0.75" bottom="0.75" header="0.3" footer="0.3"/>
  <pageSetup scale="54" orientation="landscape" horizontalDpi="300" verticalDpi="300" r:id="rId1"/>
  <headerFooter>
    <oddFooter>&amp;R&amp;"Times New Roman,Bold"&amp;16Attachment to Response to Question No. 1
Page 4 of 6
Garrett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view="pageBreakPreview" topLeftCell="A8" zoomScale="80" zoomScaleNormal="70" zoomScaleSheetLayoutView="80" workbookViewId="0">
      <selection activeCell="G44" sqref="G44"/>
    </sheetView>
  </sheetViews>
  <sheetFormatPr defaultRowHeight="15.75" x14ac:dyDescent="0.25"/>
  <cols>
    <col min="1" max="1" width="6.33203125" style="55" customWidth="1"/>
    <col min="2" max="2" width="38.83203125" style="55" customWidth="1"/>
    <col min="3" max="3" width="22.1640625" style="55" customWidth="1"/>
    <col min="4" max="4" width="4.6640625" style="55" bestFit="1" customWidth="1"/>
    <col min="5" max="5" width="2" style="55" customWidth="1"/>
    <col min="6" max="6" width="18.6640625" style="55" bestFit="1" customWidth="1"/>
    <col min="7" max="7" width="2.33203125" style="55" customWidth="1"/>
    <col min="8" max="8" width="29.83203125" style="55" bestFit="1" customWidth="1"/>
    <col min="9" max="9" width="2.33203125" style="55" customWidth="1"/>
    <col min="10" max="10" width="22.1640625" style="55" customWidth="1"/>
    <col min="11" max="11" width="2.33203125" style="55" customWidth="1"/>
    <col min="12" max="12" width="22.1640625" style="55" customWidth="1"/>
    <col min="13" max="13" width="2.6640625" style="55" customWidth="1"/>
    <col min="14" max="14" width="22.1640625" style="55" customWidth="1"/>
    <col min="15" max="15" width="2.6640625" style="55" customWidth="1"/>
    <col min="16" max="16" width="22.1640625" style="55" customWidth="1"/>
    <col min="17" max="17" width="2.1640625" style="55" customWidth="1"/>
    <col min="18" max="18" width="22.1640625" style="55" customWidth="1"/>
    <col min="19" max="20" width="2.1640625" style="55" customWidth="1"/>
    <col min="21" max="16384" width="9.33203125" style="152"/>
  </cols>
  <sheetData>
    <row r="1" spans="1:20" x14ac:dyDescent="0.25">
      <c r="A1" s="52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x14ac:dyDescent="0.25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x14ac:dyDescent="0.25">
      <c r="A4" s="56" t="s">
        <v>82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</row>
    <row r="5" spans="1:20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x14ac:dyDescent="0.25">
      <c r="A6" s="56" t="s">
        <v>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8"/>
    </row>
    <row r="7" spans="1:20" x14ac:dyDescent="0.25">
      <c r="A7" s="61" t="s">
        <v>161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8"/>
    </row>
    <row r="8" spans="1:20" x14ac:dyDescent="0.25">
      <c r="A8" s="62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63"/>
      <c r="S8" s="58"/>
      <c r="T8" s="58"/>
    </row>
    <row r="9" spans="1:20" ht="18" x14ac:dyDescent="0.4">
      <c r="A9" s="5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20" x14ac:dyDescent="0.25">
      <c r="A10" s="53"/>
      <c r="B10" s="53"/>
      <c r="C10" s="54"/>
      <c r="D10" s="54"/>
      <c r="E10" s="54"/>
      <c r="H10" s="54"/>
      <c r="I10" s="54"/>
      <c r="J10" s="54"/>
      <c r="K10" s="54"/>
      <c r="L10" s="65" t="s">
        <v>85</v>
      </c>
      <c r="O10" s="54"/>
      <c r="P10" s="54"/>
      <c r="Q10" s="54"/>
      <c r="R10" s="54"/>
      <c r="T10" s="65"/>
    </row>
    <row r="11" spans="1:20" x14ac:dyDescent="0.25">
      <c r="A11" s="53"/>
      <c r="B11" s="53"/>
      <c r="C11" s="65"/>
      <c r="D11" s="65"/>
      <c r="E11" s="65"/>
      <c r="H11" s="65"/>
      <c r="I11" s="65"/>
      <c r="J11" s="65"/>
      <c r="K11" s="65"/>
      <c r="L11" s="65" t="s">
        <v>86</v>
      </c>
      <c r="M11" s="65"/>
      <c r="N11" s="65" t="s">
        <v>87</v>
      </c>
      <c r="Q11" s="65"/>
      <c r="R11" s="66" t="s">
        <v>88</v>
      </c>
      <c r="T11" s="66"/>
    </row>
    <row r="12" spans="1:20" x14ac:dyDescent="0.25">
      <c r="A12" s="53"/>
      <c r="B12" s="53"/>
      <c r="C12" s="65"/>
      <c r="D12" s="65"/>
      <c r="E12" s="65"/>
      <c r="F12" s="65"/>
      <c r="H12" s="65"/>
      <c r="I12" s="65"/>
      <c r="J12" s="65" t="s">
        <v>89</v>
      </c>
      <c r="K12" s="65"/>
      <c r="L12" s="65" t="s">
        <v>90</v>
      </c>
      <c r="M12" s="65"/>
      <c r="N12" s="65" t="s">
        <v>91</v>
      </c>
      <c r="O12" s="66"/>
      <c r="P12" s="65" t="s">
        <v>92</v>
      </c>
      <c r="Q12" s="65"/>
      <c r="R12" s="65" t="s">
        <v>92</v>
      </c>
    </row>
    <row r="13" spans="1:20" x14ac:dyDescent="0.25">
      <c r="A13" s="53"/>
      <c r="B13" s="54"/>
      <c r="C13" s="65" t="s">
        <v>93</v>
      </c>
      <c r="D13" s="65"/>
      <c r="E13" s="65"/>
      <c r="F13" s="66" t="s">
        <v>94</v>
      </c>
      <c r="H13" s="65"/>
      <c r="I13" s="65"/>
      <c r="J13" s="65" t="s">
        <v>95</v>
      </c>
      <c r="K13" s="65"/>
      <c r="L13" s="65" t="s">
        <v>96</v>
      </c>
      <c r="M13" s="65"/>
      <c r="N13" s="65" t="s">
        <v>96</v>
      </c>
      <c r="O13" s="66"/>
      <c r="P13" s="65" t="s">
        <v>97</v>
      </c>
      <c r="Q13" s="65"/>
      <c r="R13" s="66" t="s">
        <v>96</v>
      </c>
    </row>
    <row r="14" spans="1:20" x14ac:dyDescent="0.25">
      <c r="A14" s="54"/>
      <c r="B14" s="54"/>
      <c r="C14" s="67" t="s">
        <v>162</v>
      </c>
      <c r="D14" s="65"/>
      <c r="E14" s="65"/>
      <c r="F14" s="66" t="s">
        <v>99</v>
      </c>
      <c r="H14" s="65" t="s">
        <v>100</v>
      </c>
      <c r="I14" s="65"/>
      <c r="J14" s="68" t="s">
        <v>101</v>
      </c>
      <c r="K14" s="65"/>
      <c r="L14" s="68" t="s">
        <v>102</v>
      </c>
      <c r="M14" s="65"/>
      <c r="N14" s="69" t="s">
        <v>103</v>
      </c>
      <c r="O14" s="66"/>
      <c r="P14" s="65" t="s">
        <v>104</v>
      </c>
      <c r="Q14" s="65"/>
      <c r="R14" s="68" t="s">
        <v>105</v>
      </c>
    </row>
    <row r="15" spans="1:20" x14ac:dyDescent="0.25">
      <c r="A15" s="54"/>
      <c r="B15" s="54"/>
      <c r="C15" s="70">
        <v>-1</v>
      </c>
      <c r="D15" s="65"/>
      <c r="E15" s="66"/>
      <c r="F15" s="70">
        <v>-2</v>
      </c>
      <c r="H15" s="70">
        <v>-3</v>
      </c>
      <c r="I15" s="65"/>
      <c r="J15" s="71">
        <v>-4</v>
      </c>
      <c r="K15" s="65"/>
      <c r="L15" s="71">
        <v>-5</v>
      </c>
      <c r="M15" s="65"/>
      <c r="N15" s="70">
        <v>-6</v>
      </c>
      <c r="O15" s="65"/>
      <c r="P15" s="70">
        <v>-7</v>
      </c>
      <c r="Q15" s="65"/>
      <c r="R15" s="70">
        <v>-8</v>
      </c>
    </row>
    <row r="16" spans="1:20" x14ac:dyDescent="0.25">
      <c r="A16" s="72"/>
      <c r="B16" s="54"/>
      <c r="C16" s="73"/>
      <c r="D16" s="54"/>
      <c r="E16" s="73"/>
      <c r="F16" s="65"/>
      <c r="H16" s="74"/>
      <c r="I16" s="65"/>
      <c r="J16" s="74"/>
      <c r="K16" s="65"/>
      <c r="L16" s="65"/>
      <c r="M16" s="65"/>
      <c r="N16" s="66"/>
      <c r="O16" s="66"/>
      <c r="P16" s="65"/>
      <c r="Q16" s="65"/>
    </row>
    <row r="17" spans="1:20" x14ac:dyDescent="0.25">
      <c r="A17" s="54"/>
      <c r="B17" s="54"/>
      <c r="C17" s="54"/>
      <c r="D17" s="54"/>
      <c r="E17" s="54"/>
      <c r="F17" s="54"/>
      <c r="H17" s="75"/>
      <c r="I17" s="54"/>
      <c r="J17" s="75"/>
      <c r="K17" s="54"/>
      <c r="L17" s="54"/>
      <c r="M17" s="54"/>
      <c r="P17" s="54"/>
      <c r="Q17" s="54"/>
    </row>
    <row r="18" spans="1:20" x14ac:dyDescent="0.25">
      <c r="A18" s="76" t="s">
        <v>106</v>
      </c>
      <c r="B18" s="54" t="s">
        <v>107</v>
      </c>
      <c r="C18" s="80">
        <v>102514269</v>
      </c>
      <c r="D18" s="78" t="s">
        <v>108</v>
      </c>
      <c r="E18" s="54"/>
      <c r="F18" s="87">
        <f>ROUND(+C18/$C$24,4)</f>
        <v>2.2499999999999999E-2</v>
      </c>
      <c r="H18" s="80">
        <v>0</v>
      </c>
      <c r="I18" s="54"/>
      <c r="J18" s="80">
        <f>ROUND(+F18*$J$24,0)</f>
        <v>-27489</v>
      </c>
      <c r="K18" s="54"/>
      <c r="L18" s="80">
        <f>SUM(H18:K18)</f>
        <v>-27489</v>
      </c>
      <c r="M18" s="54"/>
      <c r="N18" s="81">
        <f>+C18+L18</f>
        <v>102486780</v>
      </c>
      <c r="P18" s="82">
        <v>0.87949999999999995</v>
      </c>
      <c r="Q18" s="54"/>
      <c r="R18" s="81">
        <f>ROUND(+N18*P18,0)</f>
        <v>90137123</v>
      </c>
    </row>
    <row r="19" spans="1:20" x14ac:dyDescent="0.25">
      <c r="A19" s="76"/>
      <c r="B19" s="54"/>
      <c r="C19" s="129"/>
      <c r="D19" s="54"/>
      <c r="E19" s="54"/>
      <c r="F19" s="87"/>
      <c r="H19" s="75"/>
      <c r="I19" s="54"/>
      <c r="J19" s="75"/>
      <c r="K19" s="54"/>
      <c r="L19" s="75"/>
      <c r="M19" s="54"/>
      <c r="N19" s="84"/>
      <c r="P19" s="85"/>
      <c r="Q19" s="54"/>
      <c r="R19" s="84"/>
    </row>
    <row r="20" spans="1:20" x14ac:dyDescent="0.25">
      <c r="A20" s="76" t="s">
        <v>109</v>
      </c>
      <c r="B20" s="54" t="s">
        <v>110</v>
      </c>
      <c r="C20" s="75">
        <v>1986453001</v>
      </c>
      <c r="D20" s="78" t="s">
        <v>108</v>
      </c>
      <c r="E20" s="54"/>
      <c r="F20" s="87">
        <f>ROUND(+C20/$C$24,4)</f>
        <v>0.43680000000000002</v>
      </c>
      <c r="H20" s="86">
        <v>0</v>
      </c>
      <c r="I20" s="54"/>
      <c r="J20" s="75">
        <f>ROUND(+F20*$J$24,0)</f>
        <v>-533647</v>
      </c>
      <c r="K20" s="54"/>
      <c r="L20" s="75">
        <f>SUM(H20:K20)</f>
        <v>-533647</v>
      </c>
      <c r="M20" s="54"/>
      <c r="N20" s="84">
        <f>+C20+L20</f>
        <v>1985919354</v>
      </c>
      <c r="P20" s="85">
        <f>+P18</f>
        <v>0.87949999999999995</v>
      </c>
      <c r="Q20" s="54"/>
      <c r="R20" s="84">
        <f>ROUND(+N20*P20,0)</f>
        <v>1746616072</v>
      </c>
    </row>
    <row r="21" spans="1:20" x14ac:dyDescent="0.25">
      <c r="A21" s="54"/>
      <c r="B21" s="54"/>
      <c r="C21" s="83"/>
      <c r="D21" s="54"/>
      <c r="E21" s="54"/>
      <c r="F21" s="87"/>
      <c r="H21" s="87"/>
      <c r="I21" s="54"/>
      <c r="J21" s="75"/>
      <c r="K21" s="54"/>
      <c r="L21" s="75"/>
      <c r="M21" s="54"/>
      <c r="N21" s="84"/>
      <c r="P21" s="85"/>
      <c r="Q21" s="54"/>
      <c r="R21" s="84"/>
    </row>
    <row r="22" spans="1:20" x14ac:dyDescent="0.25">
      <c r="A22" s="76" t="s">
        <v>111</v>
      </c>
      <c r="B22" s="54" t="s">
        <v>112</v>
      </c>
      <c r="C22" s="54">
        <v>2458809424</v>
      </c>
      <c r="D22" s="54"/>
      <c r="E22" s="54"/>
      <c r="F22" s="87">
        <f>ROUND(1-F18-F20,4)</f>
        <v>0.54069999999999996</v>
      </c>
      <c r="H22" s="86">
        <f>H24</f>
        <v>-504066</v>
      </c>
      <c r="I22" s="54"/>
      <c r="J22" s="86">
        <f>+J24-J18-J20</f>
        <v>-660584</v>
      </c>
      <c r="K22" s="54"/>
      <c r="L22" s="86">
        <f>SUM(H22:K22)</f>
        <v>-1164650</v>
      </c>
      <c r="M22" s="54"/>
      <c r="N22" s="84">
        <f>+C22+L22</f>
        <v>2457644774</v>
      </c>
      <c r="P22" s="85">
        <f>+P18</f>
        <v>0.87949999999999995</v>
      </c>
      <c r="Q22" s="54"/>
      <c r="R22" s="84">
        <f>ROUND(+N22*P22,0)</f>
        <v>2161498579</v>
      </c>
    </row>
    <row r="23" spans="1:20" x14ac:dyDescent="0.25">
      <c r="A23" s="54"/>
      <c r="B23" s="54"/>
      <c r="C23" s="54"/>
      <c r="D23" s="54"/>
      <c r="E23" s="54"/>
      <c r="F23" s="79"/>
      <c r="H23" s="54"/>
      <c r="I23" s="54"/>
      <c r="J23" s="54"/>
      <c r="K23" s="54"/>
      <c r="L23" s="75"/>
      <c r="M23" s="54"/>
      <c r="N23" s="84"/>
      <c r="P23" s="88"/>
      <c r="Q23" s="54"/>
      <c r="R23" s="84"/>
    </row>
    <row r="24" spans="1:20" ht="16.5" thickBot="1" x14ac:dyDescent="0.3">
      <c r="A24" s="76" t="s">
        <v>113</v>
      </c>
      <c r="B24" s="54" t="s">
        <v>114</v>
      </c>
      <c r="C24" s="89">
        <f>SUM(C18:C22)</f>
        <v>4547776694</v>
      </c>
      <c r="D24" s="54"/>
      <c r="E24" s="54"/>
      <c r="F24" s="90">
        <f>SUM(F18:F22)</f>
        <v>1</v>
      </c>
      <c r="H24" s="91">
        <v>-504066</v>
      </c>
      <c r="I24" s="54"/>
      <c r="J24" s="91">
        <v>-1221720</v>
      </c>
      <c r="K24" s="54"/>
      <c r="L24" s="91">
        <f>SUM(L18:L22)</f>
        <v>-1725786</v>
      </c>
      <c r="M24" s="54"/>
      <c r="N24" s="91">
        <f>SUM(N18:N22)</f>
        <v>4546050908</v>
      </c>
      <c r="Q24" s="54"/>
      <c r="R24" s="91">
        <f>SUM(R18:R22)</f>
        <v>3998251774</v>
      </c>
    </row>
    <row r="25" spans="1:20" ht="16.5" thickTop="1" x14ac:dyDescent="0.25">
      <c r="A25" s="54"/>
      <c r="B25" s="54"/>
      <c r="C25" s="54"/>
      <c r="D25" s="54"/>
      <c r="E25" s="54"/>
      <c r="F25" s="54"/>
      <c r="H25" s="54"/>
      <c r="I25" s="54"/>
      <c r="J25" s="54"/>
      <c r="K25" s="54"/>
      <c r="L25" s="54"/>
      <c r="M25" s="54"/>
      <c r="N25" s="54"/>
      <c r="O25" s="54"/>
      <c r="Q25" s="54"/>
      <c r="S25" s="54"/>
    </row>
    <row r="26" spans="1:20" x14ac:dyDescent="0.25">
      <c r="A26" s="54"/>
      <c r="B26" s="54"/>
      <c r="C26" s="77"/>
      <c r="D26" s="54"/>
      <c r="E26" s="54"/>
      <c r="F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T26" s="54"/>
    </row>
    <row r="27" spans="1:20" ht="18" x14ac:dyDescent="0.4">
      <c r="A27" s="54"/>
      <c r="B27" s="5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0" ht="18" x14ac:dyDescent="0.4">
      <c r="A28" s="54"/>
      <c r="B28" s="5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0" ht="18" x14ac:dyDescent="0.4">
      <c r="A29" s="54"/>
      <c r="B29" s="54"/>
      <c r="C29" s="64"/>
      <c r="D29" s="64"/>
      <c r="E29" s="64"/>
      <c r="F29" s="64"/>
      <c r="G29" s="64"/>
      <c r="H29" s="92"/>
      <c r="I29" s="64"/>
      <c r="J29" s="92"/>
      <c r="K29" s="64"/>
      <c r="L29" s="92" t="s">
        <v>115</v>
      </c>
      <c r="M29" s="64"/>
      <c r="N29" s="64"/>
      <c r="O29" s="64"/>
      <c r="R29" s="54"/>
      <c r="S29" s="54"/>
    </row>
    <row r="30" spans="1:20" ht="18" x14ac:dyDescent="0.4">
      <c r="A30" s="54"/>
      <c r="B30" s="54"/>
      <c r="C30" s="64"/>
      <c r="D30" s="64"/>
      <c r="E30" s="64"/>
      <c r="F30" s="64"/>
      <c r="G30" s="64"/>
      <c r="H30" s="92"/>
      <c r="I30" s="64"/>
      <c r="J30" s="92"/>
      <c r="K30" s="64"/>
      <c r="L30" s="66" t="s">
        <v>88</v>
      </c>
      <c r="M30" s="64"/>
      <c r="P30" s="65"/>
      <c r="Q30" s="65"/>
      <c r="R30" s="65" t="s">
        <v>116</v>
      </c>
    </row>
    <row r="31" spans="1:20" x14ac:dyDescent="0.25">
      <c r="A31" s="54"/>
      <c r="B31" s="54"/>
      <c r="C31" s="66" t="s">
        <v>88</v>
      </c>
      <c r="D31" s="54"/>
      <c r="E31" s="54"/>
      <c r="F31" s="54"/>
      <c r="H31" s="92" t="s">
        <v>117</v>
      </c>
      <c r="J31" s="74" t="s">
        <v>118</v>
      </c>
      <c r="L31" s="65" t="s">
        <v>92</v>
      </c>
      <c r="M31" s="54"/>
      <c r="N31" s="66" t="s">
        <v>115</v>
      </c>
      <c r="P31" s="65" t="s">
        <v>119</v>
      </c>
      <c r="Q31" s="65"/>
      <c r="R31" s="65" t="s">
        <v>120</v>
      </c>
    </row>
    <row r="32" spans="1:20" ht="18" x14ac:dyDescent="0.4">
      <c r="C32" s="65" t="s">
        <v>92</v>
      </c>
      <c r="D32" s="93"/>
      <c r="E32" s="93"/>
      <c r="F32" s="66" t="s">
        <v>94</v>
      </c>
      <c r="H32" s="65" t="s">
        <v>121</v>
      </c>
      <c r="J32" s="74" t="s">
        <v>97</v>
      </c>
      <c r="L32" s="66" t="s">
        <v>96</v>
      </c>
      <c r="M32" s="93"/>
      <c r="N32" s="66" t="s">
        <v>94</v>
      </c>
      <c r="P32" s="65" t="s">
        <v>116</v>
      </c>
      <c r="Q32" s="65"/>
      <c r="R32" s="65" t="s">
        <v>122</v>
      </c>
    </row>
    <row r="33" spans="1:18" x14ac:dyDescent="0.25">
      <c r="A33" s="72"/>
      <c r="B33" s="95"/>
      <c r="C33" s="66" t="s">
        <v>96</v>
      </c>
      <c r="F33" s="66" t="s">
        <v>99</v>
      </c>
      <c r="H33" s="68" t="s">
        <v>123</v>
      </c>
      <c r="J33" s="68" t="s">
        <v>124</v>
      </c>
      <c r="L33" s="68" t="s">
        <v>125</v>
      </c>
      <c r="N33" s="66" t="s">
        <v>99</v>
      </c>
      <c r="P33" s="65" t="s">
        <v>126</v>
      </c>
      <c r="Q33" s="65"/>
      <c r="R33" s="69" t="s">
        <v>127</v>
      </c>
    </row>
    <row r="34" spans="1:18" x14ac:dyDescent="0.25">
      <c r="A34" s="95"/>
      <c r="B34" s="95"/>
      <c r="C34" s="70">
        <v>-8</v>
      </c>
      <c r="D34" s="66"/>
      <c r="E34" s="66"/>
      <c r="F34" s="70">
        <v>-9</v>
      </c>
      <c r="H34" s="70">
        <v>-10</v>
      </c>
      <c r="J34" s="71">
        <v>-11</v>
      </c>
      <c r="L34" s="70">
        <v>-12</v>
      </c>
      <c r="M34" s="66"/>
      <c r="N34" s="70">
        <v>-13</v>
      </c>
      <c r="P34" s="70">
        <v>-14</v>
      </c>
      <c r="Q34" s="65"/>
      <c r="R34" s="70">
        <v>-15</v>
      </c>
    </row>
    <row r="35" spans="1:18" x14ac:dyDescent="0.25">
      <c r="A35" s="95"/>
      <c r="B35" s="95"/>
      <c r="C35" s="66"/>
      <c r="D35" s="66"/>
      <c r="E35" s="66"/>
      <c r="F35" s="66"/>
      <c r="H35" s="66"/>
      <c r="J35" s="96"/>
      <c r="L35" s="66"/>
      <c r="M35" s="66"/>
      <c r="P35" s="65"/>
      <c r="Q35" s="54"/>
      <c r="R35" s="65"/>
    </row>
    <row r="36" spans="1:18" x14ac:dyDescent="0.25">
      <c r="A36" s="95"/>
      <c r="B36" s="95"/>
      <c r="C36" s="66"/>
      <c r="D36" s="66"/>
      <c r="E36" s="66"/>
      <c r="F36" s="66"/>
      <c r="H36" s="66"/>
      <c r="J36" s="96"/>
      <c r="L36" s="66"/>
      <c r="M36" s="66"/>
      <c r="P36" s="54"/>
      <c r="Q36" s="54"/>
      <c r="R36" s="54"/>
    </row>
    <row r="37" spans="1:18" x14ac:dyDescent="0.25">
      <c r="A37" s="76" t="s">
        <v>106</v>
      </c>
      <c r="B37" s="54" t="s">
        <v>107</v>
      </c>
      <c r="C37" s="80">
        <f>+R18</f>
        <v>90137123</v>
      </c>
      <c r="D37" s="75"/>
      <c r="E37" s="54"/>
      <c r="F37" s="87">
        <f>ROUND(+C37/$C$43,4)</f>
        <v>2.2499999999999999E-2</v>
      </c>
      <c r="H37" s="80">
        <f>ROUND(+F37*$H$43,0)</f>
        <v>-15531221</v>
      </c>
      <c r="J37" s="80">
        <f>ROUND(+F37*$J$43,0)</f>
        <v>-39010</v>
      </c>
      <c r="L37" s="97">
        <f>+C37+H37+J37</f>
        <v>74566892</v>
      </c>
      <c r="M37" s="66"/>
      <c r="N37" s="98">
        <f>ROUND(+L37/$L$43,4)</f>
        <v>2.2599999999999999E-2</v>
      </c>
      <c r="O37" s="99"/>
      <c r="P37" s="100">
        <v>3.0000000000000001E-3</v>
      </c>
      <c r="Q37" s="88"/>
      <c r="R37" s="100">
        <f>ROUND(+$N$37*$P$37,4)</f>
        <v>1E-4</v>
      </c>
    </row>
    <row r="38" spans="1:18" x14ac:dyDescent="0.25">
      <c r="A38" s="76"/>
      <c r="B38" s="54"/>
      <c r="C38" s="75"/>
      <c r="D38" s="75"/>
      <c r="E38" s="54"/>
      <c r="F38" s="87"/>
      <c r="H38" s="75"/>
      <c r="J38" s="75"/>
      <c r="L38" s="103"/>
      <c r="M38" s="66"/>
      <c r="N38" s="104"/>
      <c r="O38" s="99"/>
      <c r="P38" s="100"/>
      <c r="Q38" s="88"/>
      <c r="R38" s="105"/>
    </row>
    <row r="39" spans="1:18" x14ac:dyDescent="0.25">
      <c r="A39" s="76" t="s">
        <v>109</v>
      </c>
      <c r="B39" s="54" t="s">
        <v>110</v>
      </c>
      <c r="C39" s="75">
        <f>+R20</f>
        <v>1746616072</v>
      </c>
      <c r="D39" s="75"/>
      <c r="E39" s="54"/>
      <c r="F39" s="87">
        <f>ROUND(+C39/$C$43,4)</f>
        <v>0.43680000000000002</v>
      </c>
      <c r="H39" s="75">
        <f>ROUND(+F39*$H$43,0)</f>
        <v>-301512771</v>
      </c>
      <c r="J39" s="75">
        <f>ROUND(+F39*$J$43,0)</f>
        <v>-757314</v>
      </c>
      <c r="L39" s="107">
        <f>+C39+H39+J39</f>
        <v>1444345987</v>
      </c>
      <c r="M39" s="66"/>
      <c r="N39" s="98">
        <f>ROUND(+L39/$L$43,4)</f>
        <v>0.43690000000000001</v>
      </c>
      <c r="O39" s="99"/>
      <c r="P39" s="100">
        <v>3.6900000000000002E-2</v>
      </c>
      <c r="Q39" s="88"/>
      <c r="R39" s="100">
        <f>ROUND(+$N$39*$P$39,4)</f>
        <v>1.61E-2</v>
      </c>
    </row>
    <row r="40" spans="1:18" x14ac:dyDescent="0.25">
      <c r="A40" s="54"/>
      <c r="B40" s="54"/>
      <c r="C40" s="75"/>
      <c r="D40" s="75"/>
      <c r="E40" s="54"/>
      <c r="F40" s="87"/>
      <c r="H40" s="75"/>
      <c r="J40" s="75"/>
      <c r="L40" s="108"/>
      <c r="N40" s="104"/>
      <c r="O40" s="99"/>
      <c r="P40" s="100"/>
      <c r="Q40" s="88"/>
      <c r="R40" s="105"/>
    </row>
    <row r="41" spans="1:18" x14ac:dyDescent="0.25">
      <c r="A41" s="76" t="s">
        <v>111</v>
      </c>
      <c r="B41" s="54" t="s">
        <v>112</v>
      </c>
      <c r="C41" s="75">
        <f>+R22</f>
        <v>2161498579</v>
      </c>
      <c r="D41" s="75"/>
      <c r="E41" s="54"/>
      <c r="F41" s="87">
        <f>ROUND(1-F37-F39,4)</f>
        <v>0.54069999999999996</v>
      </c>
      <c r="H41" s="75">
        <f>+H43-H37-H39</f>
        <v>-373232498</v>
      </c>
      <c r="J41" s="75">
        <f>+J43-J37-J39</f>
        <v>-937453</v>
      </c>
      <c r="L41" s="107">
        <f>+C41+H41+J41</f>
        <v>1787328628</v>
      </c>
      <c r="N41" s="87">
        <f>ROUND(1-N37-N39,4)</f>
        <v>0.54049999999999998</v>
      </c>
      <c r="O41" s="99"/>
      <c r="P41" s="100">
        <v>0.10249999999999999</v>
      </c>
      <c r="Q41" s="88"/>
      <c r="R41" s="100">
        <f>ROUND(+$N$41*$P$41,4)</f>
        <v>5.5399999999999998E-2</v>
      </c>
    </row>
    <row r="42" spans="1:18" x14ac:dyDescent="0.25">
      <c r="A42" s="54"/>
      <c r="B42" s="54"/>
      <c r="C42" s="75"/>
      <c r="D42" s="75"/>
      <c r="E42" s="54"/>
      <c r="F42" s="112"/>
      <c r="H42" s="54"/>
      <c r="J42" s="54"/>
      <c r="L42" s="108"/>
      <c r="N42" s="113"/>
      <c r="P42" s="87"/>
      <c r="Q42" s="54"/>
      <c r="R42" s="114"/>
    </row>
    <row r="43" spans="1:18" ht="16.5" thickBot="1" x14ac:dyDescent="0.3">
      <c r="A43" s="76" t="s">
        <v>113</v>
      </c>
      <c r="B43" s="54" t="s">
        <v>114</v>
      </c>
      <c r="C43" s="91">
        <f>SUM(C37:C41)</f>
        <v>3998251774</v>
      </c>
      <c r="D43" s="75"/>
      <c r="E43" s="54"/>
      <c r="F43" s="115">
        <f>SUM(F37:F41)</f>
        <v>1</v>
      </c>
      <c r="H43" s="91">
        <v>-690276490</v>
      </c>
      <c r="J43" s="91">
        <v>-1733777</v>
      </c>
      <c r="L43" s="91">
        <f>SUM(L37:L41)</f>
        <v>3306241507</v>
      </c>
      <c r="N43" s="115">
        <f>SUM(N37:N41)</f>
        <v>1</v>
      </c>
      <c r="P43" s="102"/>
      <c r="Q43" s="54"/>
      <c r="R43" s="116">
        <f>ROUND(SUM(R37:R41),4)</f>
        <v>7.1599999999999997E-2</v>
      </c>
    </row>
    <row r="44" spans="1:18" ht="16.5" thickTop="1" x14ac:dyDescent="0.25">
      <c r="J44" s="84"/>
      <c r="K44" s="84"/>
      <c r="L44" s="117"/>
      <c r="M44" s="84"/>
      <c r="N44" s="84"/>
      <c r="O44" s="84"/>
      <c r="R44" s="99"/>
    </row>
    <row r="45" spans="1:18" x14ac:dyDescent="0.25">
      <c r="H45" s="118"/>
      <c r="J45" s="119"/>
      <c r="R45" s="99"/>
    </row>
    <row r="46" spans="1:18" ht="16.5" thickBot="1" x14ac:dyDescent="0.3">
      <c r="A46" s="76" t="s">
        <v>128</v>
      </c>
      <c r="B46" s="54" t="s">
        <v>129</v>
      </c>
      <c r="R46" s="120">
        <f>ROUND(R43+(R43-R39-R37)*(38.666%/(1-38.666%)),4)</f>
        <v>0.1065</v>
      </c>
    </row>
    <row r="47" spans="1:18" ht="16.5" thickTop="1" x14ac:dyDescent="0.25"/>
    <row r="49" spans="1:16" x14ac:dyDescent="0.25">
      <c r="A49" s="55" t="s">
        <v>108</v>
      </c>
      <c r="B49" s="121" t="s">
        <v>130</v>
      </c>
    </row>
    <row r="52" spans="1:16" x14ac:dyDescent="0.25">
      <c r="L52" s="122"/>
      <c r="N52" s="123"/>
      <c r="P52" s="124"/>
    </row>
    <row r="53" spans="1:16" x14ac:dyDescent="0.25">
      <c r="L53" s="122"/>
      <c r="N53" s="123"/>
    </row>
  </sheetData>
  <pageMargins left="0.7" right="0.7" top="0.75" bottom="0.75" header="0.3" footer="0.3"/>
  <pageSetup scale="54" orientation="landscape" horizontalDpi="300" verticalDpi="300" r:id="rId1"/>
  <headerFooter>
    <oddFooter>&amp;R&amp;"Times New Roman,Bold"&amp;16Attachment to Response to Question No. 1
Page 5 of 6
Garrett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view="pageBreakPreview" topLeftCell="A8" zoomScale="80" zoomScaleNormal="70" zoomScaleSheetLayoutView="80" workbookViewId="0">
      <selection activeCell="G44" sqref="G44"/>
    </sheetView>
  </sheetViews>
  <sheetFormatPr defaultRowHeight="15.75" x14ac:dyDescent="0.25"/>
  <cols>
    <col min="1" max="1" width="6.33203125" style="55" customWidth="1"/>
    <col min="2" max="2" width="38.83203125" style="55" customWidth="1"/>
    <col min="3" max="3" width="22.1640625" style="55" customWidth="1"/>
    <col min="4" max="4" width="4.6640625" style="55" bestFit="1" customWidth="1"/>
    <col min="5" max="5" width="2" style="55" customWidth="1"/>
    <col min="6" max="6" width="18.6640625" style="55" bestFit="1" customWidth="1"/>
    <col min="7" max="7" width="2.33203125" style="55" customWidth="1"/>
    <col min="8" max="8" width="29.83203125" style="55" bestFit="1" customWidth="1"/>
    <col min="9" max="9" width="2.33203125" style="55" customWidth="1"/>
    <col min="10" max="10" width="22.1640625" style="55" customWidth="1"/>
    <col min="11" max="11" width="2.33203125" style="55" customWidth="1"/>
    <col min="12" max="12" width="22.1640625" style="55" customWidth="1"/>
    <col min="13" max="13" width="2.6640625" style="55" customWidth="1"/>
    <col min="14" max="14" width="22.1640625" style="55" customWidth="1"/>
    <col min="15" max="15" width="2.6640625" style="55" customWidth="1"/>
    <col min="16" max="16" width="22.1640625" style="55" customWidth="1"/>
    <col min="17" max="17" width="2.1640625" style="55" customWidth="1"/>
    <col min="18" max="18" width="22.1640625" style="55" customWidth="1"/>
    <col min="19" max="20" width="2.1640625" style="55" customWidth="1"/>
    <col min="21" max="16384" width="9.33203125" style="152"/>
  </cols>
  <sheetData>
    <row r="1" spans="1:20" x14ac:dyDescent="0.25">
      <c r="A1" s="52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x14ac:dyDescent="0.25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5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x14ac:dyDescent="0.25">
      <c r="A4" s="56" t="s">
        <v>82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</row>
    <row r="5" spans="1:20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x14ac:dyDescent="0.25">
      <c r="A6" s="56" t="s">
        <v>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8"/>
    </row>
    <row r="7" spans="1:20" x14ac:dyDescent="0.25">
      <c r="A7" s="61" t="s">
        <v>163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8"/>
    </row>
    <row r="8" spans="1:20" x14ac:dyDescent="0.25">
      <c r="A8" s="62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63"/>
      <c r="S8" s="58"/>
      <c r="T8" s="58"/>
    </row>
    <row r="9" spans="1:20" ht="18" x14ac:dyDescent="0.4">
      <c r="A9" s="5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20" x14ac:dyDescent="0.25">
      <c r="A10" s="53"/>
      <c r="B10" s="53"/>
      <c r="C10" s="54"/>
      <c r="D10" s="54"/>
      <c r="E10" s="54"/>
      <c r="H10" s="54"/>
      <c r="I10" s="54"/>
      <c r="J10" s="54"/>
      <c r="K10" s="54"/>
      <c r="L10" s="65" t="s">
        <v>85</v>
      </c>
      <c r="O10" s="54"/>
      <c r="P10" s="54"/>
      <c r="Q10" s="54"/>
      <c r="R10" s="54"/>
      <c r="T10" s="65"/>
    </row>
    <row r="11" spans="1:20" x14ac:dyDescent="0.25">
      <c r="A11" s="53"/>
      <c r="B11" s="53"/>
      <c r="C11" s="65"/>
      <c r="D11" s="65"/>
      <c r="E11" s="65"/>
      <c r="H11" s="65"/>
      <c r="I11" s="65"/>
      <c r="J11" s="65"/>
      <c r="K11" s="65"/>
      <c r="L11" s="65" t="s">
        <v>86</v>
      </c>
      <c r="M11" s="65"/>
      <c r="N11" s="65" t="s">
        <v>87</v>
      </c>
      <c r="Q11" s="65"/>
      <c r="R11" s="66" t="s">
        <v>88</v>
      </c>
      <c r="T11" s="66"/>
    </row>
    <row r="12" spans="1:20" x14ac:dyDescent="0.25">
      <c r="A12" s="53"/>
      <c r="B12" s="53"/>
      <c r="C12" s="65"/>
      <c r="D12" s="65"/>
      <c r="E12" s="65"/>
      <c r="F12" s="65"/>
      <c r="H12" s="65"/>
      <c r="I12" s="65"/>
      <c r="J12" s="65" t="s">
        <v>89</v>
      </c>
      <c r="K12" s="65"/>
      <c r="L12" s="65" t="s">
        <v>90</v>
      </c>
      <c r="M12" s="65"/>
      <c r="N12" s="65" t="s">
        <v>91</v>
      </c>
      <c r="O12" s="66"/>
      <c r="P12" s="65" t="s">
        <v>92</v>
      </c>
      <c r="Q12" s="65"/>
      <c r="R12" s="65" t="s">
        <v>92</v>
      </c>
    </row>
    <row r="13" spans="1:20" x14ac:dyDescent="0.25">
      <c r="A13" s="53"/>
      <c r="B13" s="54"/>
      <c r="C13" s="65" t="s">
        <v>93</v>
      </c>
      <c r="D13" s="65"/>
      <c r="E13" s="65"/>
      <c r="F13" s="66" t="s">
        <v>94</v>
      </c>
      <c r="H13" s="65"/>
      <c r="I13" s="65"/>
      <c r="J13" s="65" t="s">
        <v>95</v>
      </c>
      <c r="K13" s="65"/>
      <c r="L13" s="65" t="s">
        <v>96</v>
      </c>
      <c r="M13" s="65"/>
      <c r="N13" s="65" t="s">
        <v>96</v>
      </c>
      <c r="O13" s="66"/>
      <c r="P13" s="65" t="s">
        <v>97</v>
      </c>
      <c r="Q13" s="65"/>
      <c r="R13" s="66" t="s">
        <v>96</v>
      </c>
    </row>
    <row r="14" spans="1:20" x14ac:dyDescent="0.25">
      <c r="A14" s="54"/>
      <c r="B14" s="54"/>
      <c r="C14" s="67" t="s">
        <v>164</v>
      </c>
      <c r="D14" s="65"/>
      <c r="E14" s="65"/>
      <c r="F14" s="66" t="s">
        <v>99</v>
      </c>
      <c r="H14" s="65" t="s">
        <v>100</v>
      </c>
      <c r="I14" s="65"/>
      <c r="J14" s="68" t="s">
        <v>101</v>
      </c>
      <c r="K14" s="65"/>
      <c r="L14" s="68" t="s">
        <v>102</v>
      </c>
      <c r="M14" s="65"/>
      <c r="N14" s="69" t="s">
        <v>103</v>
      </c>
      <c r="O14" s="66"/>
      <c r="P14" s="65" t="s">
        <v>104</v>
      </c>
      <c r="Q14" s="65"/>
      <c r="R14" s="68" t="s">
        <v>105</v>
      </c>
    </row>
    <row r="15" spans="1:20" x14ac:dyDescent="0.25">
      <c r="A15" s="54"/>
      <c r="B15" s="54"/>
      <c r="C15" s="70">
        <v>-1</v>
      </c>
      <c r="D15" s="65"/>
      <c r="E15" s="66"/>
      <c r="F15" s="70">
        <v>-2</v>
      </c>
      <c r="H15" s="70">
        <v>-3</v>
      </c>
      <c r="I15" s="65"/>
      <c r="J15" s="71">
        <v>-4</v>
      </c>
      <c r="K15" s="65"/>
      <c r="L15" s="71">
        <v>-5</v>
      </c>
      <c r="M15" s="65"/>
      <c r="N15" s="70">
        <v>-6</v>
      </c>
      <c r="O15" s="65"/>
      <c r="P15" s="70">
        <v>-7</v>
      </c>
      <c r="Q15" s="65"/>
      <c r="R15" s="70">
        <v>-8</v>
      </c>
    </row>
    <row r="16" spans="1:20" x14ac:dyDescent="0.25">
      <c r="A16" s="72"/>
      <c r="B16" s="54"/>
      <c r="C16" s="73"/>
      <c r="D16" s="54"/>
      <c r="E16" s="73"/>
      <c r="F16" s="65"/>
      <c r="H16" s="74"/>
      <c r="I16" s="65"/>
      <c r="J16" s="74"/>
      <c r="K16" s="65"/>
      <c r="L16" s="65"/>
      <c r="M16" s="65"/>
      <c r="N16" s="66"/>
      <c r="O16" s="66"/>
      <c r="P16" s="65"/>
      <c r="Q16" s="65"/>
    </row>
    <row r="17" spans="1:20" x14ac:dyDescent="0.25">
      <c r="A17" s="54"/>
      <c r="B17" s="54"/>
      <c r="C17" s="54"/>
      <c r="D17" s="54"/>
      <c r="E17" s="54"/>
      <c r="F17" s="54"/>
      <c r="H17" s="75"/>
      <c r="I17" s="54"/>
      <c r="J17" s="75"/>
      <c r="K17" s="54"/>
      <c r="L17" s="54"/>
      <c r="M17" s="54"/>
      <c r="P17" s="54"/>
      <c r="Q17" s="54"/>
    </row>
    <row r="18" spans="1:20" x14ac:dyDescent="0.25">
      <c r="A18" s="76" t="s">
        <v>106</v>
      </c>
      <c r="B18" s="54" t="s">
        <v>107</v>
      </c>
      <c r="C18" s="80">
        <v>130573345</v>
      </c>
      <c r="D18" s="78" t="s">
        <v>108</v>
      </c>
      <c r="E18" s="54"/>
      <c r="F18" s="87">
        <f>ROUND(+C18/$C$24,4)</f>
        <v>2.7400000000000001E-2</v>
      </c>
      <c r="H18" s="80">
        <v>0</v>
      </c>
      <c r="I18" s="54"/>
      <c r="J18" s="80">
        <f>ROUND(+F18*$J$24,0)</f>
        <v>-33475</v>
      </c>
      <c r="K18" s="54"/>
      <c r="L18" s="80">
        <f>SUM(H18:K18)</f>
        <v>-33475</v>
      </c>
      <c r="M18" s="54"/>
      <c r="N18" s="81">
        <f>+C18+L18</f>
        <v>130539870</v>
      </c>
      <c r="P18" s="82">
        <v>0.87949999999999995</v>
      </c>
      <c r="Q18" s="54"/>
      <c r="R18" s="81">
        <f>ROUND(+N18*P18,0)</f>
        <v>114809816</v>
      </c>
    </row>
    <row r="19" spans="1:20" x14ac:dyDescent="0.25">
      <c r="A19" s="76"/>
      <c r="B19" s="54"/>
      <c r="C19" s="129"/>
      <c r="D19" s="54"/>
      <c r="E19" s="54"/>
      <c r="F19" s="87"/>
      <c r="H19" s="75"/>
      <c r="I19" s="54"/>
      <c r="J19" s="75"/>
      <c r="K19" s="54"/>
      <c r="L19" s="75"/>
      <c r="M19" s="54"/>
      <c r="N19" s="84"/>
      <c r="P19" s="85"/>
      <c r="Q19" s="54"/>
      <c r="R19" s="84"/>
    </row>
    <row r="20" spans="1:20" x14ac:dyDescent="0.25">
      <c r="A20" s="76" t="s">
        <v>109</v>
      </c>
      <c r="B20" s="54" t="s">
        <v>110</v>
      </c>
      <c r="C20" s="75">
        <v>2090388912</v>
      </c>
      <c r="D20" s="78" t="s">
        <v>108</v>
      </c>
      <c r="E20" s="54"/>
      <c r="F20" s="87">
        <f>ROUND(+C20/$C$24,4)</f>
        <v>0.43819999999999998</v>
      </c>
      <c r="H20" s="86">
        <v>0</v>
      </c>
      <c r="I20" s="54"/>
      <c r="J20" s="75">
        <f>ROUND(+F20*$J$24,0)</f>
        <v>-535358</v>
      </c>
      <c r="K20" s="54"/>
      <c r="L20" s="75">
        <f>SUM(H20:K20)</f>
        <v>-535358</v>
      </c>
      <c r="M20" s="54"/>
      <c r="N20" s="84">
        <f>+C20+L20</f>
        <v>2089853554</v>
      </c>
      <c r="P20" s="85">
        <f>+P18</f>
        <v>0.87949999999999995</v>
      </c>
      <c r="Q20" s="54"/>
      <c r="R20" s="84">
        <f>ROUND(+N20*P20,0)</f>
        <v>1838026201</v>
      </c>
    </row>
    <row r="21" spans="1:20" x14ac:dyDescent="0.25">
      <c r="A21" s="54"/>
      <c r="B21" s="54"/>
      <c r="C21" s="83"/>
      <c r="D21" s="54"/>
      <c r="E21" s="54"/>
      <c r="F21" s="87"/>
      <c r="H21" s="87"/>
      <c r="I21" s="54"/>
      <c r="J21" s="75"/>
      <c r="K21" s="54"/>
      <c r="L21" s="75"/>
      <c r="M21" s="54"/>
      <c r="N21" s="84"/>
      <c r="P21" s="85"/>
      <c r="Q21" s="54"/>
      <c r="R21" s="84"/>
    </row>
    <row r="22" spans="1:20" x14ac:dyDescent="0.25">
      <c r="A22" s="76" t="s">
        <v>111</v>
      </c>
      <c r="B22" s="54" t="s">
        <v>112</v>
      </c>
      <c r="C22" s="54">
        <v>2549389943</v>
      </c>
      <c r="D22" s="54"/>
      <c r="E22" s="54"/>
      <c r="F22" s="87">
        <f>ROUND(1-F18-F20,4)</f>
        <v>0.53439999999999999</v>
      </c>
      <c r="H22" s="86">
        <f>H24</f>
        <v>-504066</v>
      </c>
      <c r="I22" s="54"/>
      <c r="J22" s="86">
        <f>+J24-J18-J20</f>
        <v>-652887</v>
      </c>
      <c r="K22" s="54"/>
      <c r="L22" s="86">
        <f>SUM(H22:K22)</f>
        <v>-1156953</v>
      </c>
      <c r="M22" s="54"/>
      <c r="N22" s="84">
        <f>+C22+L22</f>
        <v>2548232990</v>
      </c>
      <c r="P22" s="85">
        <f>+P18</f>
        <v>0.87949999999999995</v>
      </c>
      <c r="Q22" s="54"/>
      <c r="R22" s="84">
        <f>ROUND(+N22*P22,0)</f>
        <v>2241170915</v>
      </c>
    </row>
    <row r="23" spans="1:20" x14ac:dyDescent="0.25">
      <c r="A23" s="54"/>
      <c r="B23" s="54"/>
      <c r="C23" s="54"/>
      <c r="D23" s="54"/>
      <c r="E23" s="54"/>
      <c r="F23" s="112"/>
      <c r="H23" s="54"/>
      <c r="I23" s="54"/>
      <c r="J23" s="54"/>
      <c r="K23" s="54"/>
      <c r="L23" s="75"/>
      <c r="M23" s="54"/>
      <c r="N23" s="84"/>
      <c r="P23" s="88"/>
      <c r="Q23" s="54"/>
      <c r="R23" s="84"/>
    </row>
    <row r="24" spans="1:20" ht="16.5" thickBot="1" x14ac:dyDescent="0.3">
      <c r="A24" s="76" t="s">
        <v>113</v>
      </c>
      <c r="B24" s="54" t="s">
        <v>114</v>
      </c>
      <c r="C24" s="89">
        <f>SUM(C18:C22)</f>
        <v>4770352200</v>
      </c>
      <c r="D24" s="54"/>
      <c r="E24" s="54"/>
      <c r="F24" s="115">
        <f>SUM(F18:F22)</f>
        <v>1</v>
      </c>
      <c r="H24" s="91">
        <v>-504066</v>
      </c>
      <c r="I24" s="54"/>
      <c r="J24" s="91">
        <v>-1221720</v>
      </c>
      <c r="K24" s="54"/>
      <c r="L24" s="91">
        <f>SUM(L18:L22)</f>
        <v>-1725786</v>
      </c>
      <c r="M24" s="54"/>
      <c r="N24" s="91">
        <f>SUM(N18:N22)</f>
        <v>4768626414</v>
      </c>
      <c r="Q24" s="54"/>
      <c r="R24" s="91">
        <f>SUM(R18:R22)</f>
        <v>4194006932</v>
      </c>
    </row>
    <row r="25" spans="1:20" ht="16.5" thickTop="1" x14ac:dyDescent="0.25">
      <c r="A25" s="54"/>
      <c r="B25" s="54"/>
      <c r="C25" s="54"/>
      <c r="D25" s="54"/>
      <c r="E25" s="54"/>
      <c r="F25" s="54"/>
      <c r="H25" s="54"/>
      <c r="I25" s="54"/>
      <c r="J25" s="54"/>
      <c r="K25" s="54"/>
      <c r="L25" s="54"/>
      <c r="M25" s="54"/>
      <c r="N25" s="54"/>
      <c r="O25" s="54"/>
      <c r="Q25" s="54"/>
      <c r="S25" s="54"/>
    </row>
    <row r="26" spans="1:20" x14ac:dyDescent="0.25">
      <c r="A26" s="54"/>
      <c r="B26" s="54"/>
      <c r="C26" s="77"/>
      <c r="D26" s="54"/>
      <c r="E26" s="54"/>
      <c r="F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T26" s="54"/>
    </row>
    <row r="27" spans="1:20" ht="18" x14ac:dyDescent="0.4">
      <c r="A27" s="54"/>
      <c r="B27" s="5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0" ht="18" x14ac:dyDescent="0.4">
      <c r="A28" s="54"/>
      <c r="B28" s="5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0" ht="18" x14ac:dyDescent="0.4">
      <c r="A29" s="54"/>
      <c r="B29" s="54"/>
      <c r="C29" s="64"/>
      <c r="D29" s="64"/>
      <c r="E29" s="64"/>
      <c r="F29" s="64"/>
      <c r="G29" s="64"/>
      <c r="H29" s="92"/>
      <c r="I29" s="64"/>
      <c r="J29" s="92"/>
      <c r="K29" s="64"/>
      <c r="L29" s="92" t="s">
        <v>115</v>
      </c>
      <c r="M29" s="64"/>
      <c r="N29" s="64"/>
      <c r="O29" s="64"/>
      <c r="R29" s="54"/>
      <c r="S29" s="54"/>
    </row>
    <row r="30" spans="1:20" ht="18" x14ac:dyDescent="0.4">
      <c r="A30" s="54"/>
      <c r="B30" s="54"/>
      <c r="C30" s="64"/>
      <c r="D30" s="64"/>
      <c r="E30" s="64"/>
      <c r="F30" s="64"/>
      <c r="G30" s="64"/>
      <c r="H30" s="92"/>
      <c r="I30" s="64"/>
      <c r="J30" s="92"/>
      <c r="K30" s="64"/>
      <c r="L30" s="66" t="s">
        <v>88</v>
      </c>
      <c r="M30" s="64"/>
      <c r="P30" s="65"/>
      <c r="Q30" s="65"/>
      <c r="R30" s="65" t="s">
        <v>116</v>
      </c>
    </row>
    <row r="31" spans="1:20" x14ac:dyDescent="0.25">
      <c r="A31" s="54"/>
      <c r="B31" s="54"/>
      <c r="C31" s="66" t="s">
        <v>88</v>
      </c>
      <c r="D31" s="54"/>
      <c r="E31" s="54"/>
      <c r="F31" s="54"/>
      <c r="H31" s="92" t="s">
        <v>117</v>
      </c>
      <c r="J31" s="74" t="s">
        <v>118</v>
      </c>
      <c r="L31" s="65" t="s">
        <v>92</v>
      </c>
      <c r="M31" s="54"/>
      <c r="N31" s="66" t="s">
        <v>115</v>
      </c>
      <c r="P31" s="65" t="s">
        <v>119</v>
      </c>
      <c r="Q31" s="65"/>
      <c r="R31" s="65" t="s">
        <v>120</v>
      </c>
    </row>
    <row r="32" spans="1:20" ht="18" x14ac:dyDescent="0.4">
      <c r="C32" s="65" t="s">
        <v>92</v>
      </c>
      <c r="D32" s="93"/>
      <c r="E32" s="93"/>
      <c r="F32" s="66" t="s">
        <v>94</v>
      </c>
      <c r="H32" s="65" t="s">
        <v>121</v>
      </c>
      <c r="J32" s="74" t="s">
        <v>97</v>
      </c>
      <c r="L32" s="66" t="s">
        <v>96</v>
      </c>
      <c r="M32" s="93"/>
      <c r="N32" s="66" t="s">
        <v>94</v>
      </c>
      <c r="P32" s="65" t="s">
        <v>116</v>
      </c>
      <c r="Q32" s="65"/>
      <c r="R32" s="65" t="s">
        <v>122</v>
      </c>
    </row>
    <row r="33" spans="1:18" x14ac:dyDescent="0.25">
      <c r="A33" s="72"/>
      <c r="B33" s="95"/>
      <c r="C33" s="66" t="s">
        <v>96</v>
      </c>
      <c r="F33" s="66" t="s">
        <v>99</v>
      </c>
      <c r="H33" s="68" t="s">
        <v>123</v>
      </c>
      <c r="J33" s="68" t="s">
        <v>124</v>
      </c>
      <c r="L33" s="68" t="s">
        <v>125</v>
      </c>
      <c r="N33" s="66" t="s">
        <v>99</v>
      </c>
      <c r="P33" s="65" t="s">
        <v>126</v>
      </c>
      <c r="Q33" s="65"/>
      <c r="R33" s="69" t="s">
        <v>127</v>
      </c>
    </row>
    <row r="34" spans="1:18" x14ac:dyDescent="0.25">
      <c r="A34" s="95"/>
      <c r="B34" s="95"/>
      <c r="C34" s="70">
        <v>-8</v>
      </c>
      <c r="D34" s="66"/>
      <c r="E34" s="66"/>
      <c r="F34" s="70">
        <v>-9</v>
      </c>
      <c r="H34" s="70">
        <v>-10</v>
      </c>
      <c r="J34" s="71">
        <v>-11</v>
      </c>
      <c r="L34" s="70">
        <v>-12</v>
      </c>
      <c r="M34" s="66"/>
      <c r="N34" s="70">
        <v>-13</v>
      </c>
      <c r="P34" s="70">
        <v>-14</v>
      </c>
      <c r="Q34" s="65"/>
      <c r="R34" s="70">
        <v>-15</v>
      </c>
    </row>
    <row r="35" spans="1:18" x14ac:dyDescent="0.25">
      <c r="A35" s="95"/>
      <c r="B35" s="95"/>
      <c r="C35" s="66"/>
      <c r="D35" s="66"/>
      <c r="E35" s="66"/>
      <c r="F35" s="66"/>
      <c r="H35" s="66"/>
      <c r="J35" s="96"/>
      <c r="L35" s="66"/>
      <c r="M35" s="66"/>
      <c r="P35" s="65"/>
      <c r="Q35" s="54"/>
      <c r="R35" s="65"/>
    </row>
    <row r="36" spans="1:18" x14ac:dyDescent="0.25">
      <c r="A36" s="95"/>
      <c r="B36" s="95"/>
      <c r="C36" s="66"/>
      <c r="D36" s="66"/>
      <c r="E36" s="66"/>
      <c r="F36" s="66"/>
      <c r="H36" s="66"/>
      <c r="J36" s="96"/>
      <c r="L36" s="66"/>
      <c r="M36" s="66"/>
      <c r="P36" s="54"/>
      <c r="Q36" s="54"/>
      <c r="R36" s="54"/>
    </row>
    <row r="37" spans="1:18" x14ac:dyDescent="0.25">
      <c r="A37" s="76" t="s">
        <v>106</v>
      </c>
      <c r="B37" s="54" t="s">
        <v>107</v>
      </c>
      <c r="C37" s="80">
        <f>+R18</f>
        <v>114809816</v>
      </c>
      <c r="D37" s="75"/>
      <c r="E37" s="54"/>
      <c r="F37" s="87">
        <f>ROUND(+C37/$C$43,4)</f>
        <v>2.7400000000000001E-2</v>
      </c>
      <c r="H37" s="80">
        <f>ROUND(+F37*$H$43,0)</f>
        <v>-22095089</v>
      </c>
      <c r="J37" s="80">
        <f>ROUND(+F37*$J$43,0)</f>
        <v>-65651</v>
      </c>
      <c r="L37" s="97">
        <f>+C37+H37+J37</f>
        <v>92649076</v>
      </c>
      <c r="M37" s="66"/>
      <c r="N37" s="98">
        <f>ROUND(+L37/$L$43,4)</f>
        <v>2.7400000000000001E-2</v>
      </c>
      <c r="O37" s="99"/>
      <c r="P37" s="100">
        <v>2.8999999999999998E-3</v>
      </c>
      <c r="Q37" s="88"/>
      <c r="R37" s="100">
        <f>ROUND(+$N$37*$P$37,4)</f>
        <v>1E-4</v>
      </c>
    </row>
    <row r="38" spans="1:18" x14ac:dyDescent="0.25">
      <c r="A38" s="76"/>
      <c r="B38" s="54"/>
      <c r="C38" s="75"/>
      <c r="D38" s="75"/>
      <c r="E38" s="54"/>
      <c r="F38" s="87"/>
      <c r="H38" s="75"/>
      <c r="J38" s="75"/>
      <c r="L38" s="103"/>
      <c r="M38" s="66"/>
      <c r="N38" s="104"/>
      <c r="O38" s="99"/>
      <c r="P38" s="100"/>
      <c r="Q38" s="88"/>
      <c r="R38" s="105"/>
    </row>
    <row r="39" spans="1:18" x14ac:dyDescent="0.25">
      <c r="A39" s="76" t="s">
        <v>109</v>
      </c>
      <c r="B39" s="54" t="s">
        <v>110</v>
      </c>
      <c r="C39" s="75">
        <f>+R20</f>
        <v>1838026201</v>
      </c>
      <c r="D39" s="75"/>
      <c r="E39" s="54"/>
      <c r="F39" s="87">
        <f>ROUND(+C39/$C$43,4)</f>
        <v>0.43830000000000002</v>
      </c>
      <c r="H39" s="75">
        <f>ROUND(+F39*$H$43,0)</f>
        <v>-353440786</v>
      </c>
      <c r="J39" s="75">
        <f>ROUND(+F39*$J$43,0)</f>
        <v>-1050170</v>
      </c>
      <c r="L39" s="107">
        <f>+C39+H39+J39</f>
        <v>1483535245</v>
      </c>
      <c r="M39" s="66"/>
      <c r="N39" s="98">
        <f>ROUND(+L39/$L$43,4)</f>
        <v>0.43819999999999998</v>
      </c>
      <c r="O39" s="99"/>
      <c r="P39" s="100">
        <v>3.6999999999999998E-2</v>
      </c>
      <c r="Q39" s="88"/>
      <c r="R39" s="100">
        <f>ROUND(+$N$39*$P$39,4)</f>
        <v>1.6199999999999999E-2</v>
      </c>
    </row>
    <row r="40" spans="1:18" x14ac:dyDescent="0.25">
      <c r="A40" s="54"/>
      <c r="B40" s="54"/>
      <c r="C40" s="75"/>
      <c r="D40" s="75"/>
      <c r="E40" s="54"/>
      <c r="F40" s="87"/>
      <c r="H40" s="75"/>
      <c r="J40" s="75"/>
      <c r="L40" s="108"/>
      <c r="N40" s="104"/>
      <c r="O40" s="99"/>
      <c r="P40" s="100"/>
      <c r="Q40" s="88"/>
      <c r="R40" s="105"/>
    </row>
    <row r="41" spans="1:18" x14ac:dyDescent="0.25">
      <c r="A41" s="76" t="s">
        <v>111</v>
      </c>
      <c r="B41" s="54" t="s">
        <v>112</v>
      </c>
      <c r="C41" s="75">
        <f>+R22</f>
        <v>2241170915</v>
      </c>
      <c r="D41" s="75"/>
      <c r="E41" s="54"/>
      <c r="F41" s="87">
        <f>ROUND(1-F37-F39,4)</f>
        <v>0.5343</v>
      </c>
      <c r="H41" s="75">
        <f>+H43-H37-H39</f>
        <v>-430854237</v>
      </c>
      <c r="J41" s="75">
        <f>+J43-J37-J39</f>
        <v>-1280187</v>
      </c>
      <c r="L41" s="107">
        <f>+C41+H41+J41</f>
        <v>1809036491</v>
      </c>
      <c r="N41" s="87">
        <f>ROUND(1-N37-N39,4)</f>
        <v>0.53439999999999999</v>
      </c>
      <c r="O41" s="99"/>
      <c r="P41" s="100">
        <v>0.10249999999999999</v>
      </c>
      <c r="Q41" s="88"/>
      <c r="R41" s="100">
        <f>ROUND(+$N$41*$P$41,4)</f>
        <v>5.4800000000000001E-2</v>
      </c>
    </row>
    <row r="42" spans="1:18" x14ac:dyDescent="0.25">
      <c r="A42" s="54"/>
      <c r="B42" s="54"/>
      <c r="C42" s="75"/>
      <c r="D42" s="75"/>
      <c r="E42" s="54"/>
      <c r="F42" s="112"/>
      <c r="H42" s="54"/>
      <c r="J42" s="54"/>
      <c r="L42" s="108"/>
      <c r="N42" s="113"/>
      <c r="P42" s="87"/>
      <c r="Q42" s="54"/>
      <c r="R42" s="114"/>
    </row>
    <row r="43" spans="1:18" ht="16.5" thickBot="1" x14ac:dyDescent="0.3">
      <c r="A43" s="76" t="s">
        <v>113</v>
      </c>
      <c r="B43" s="54" t="s">
        <v>114</v>
      </c>
      <c r="C43" s="91">
        <f>SUM(C37:C41)</f>
        <v>4194006932</v>
      </c>
      <c r="D43" s="75"/>
      <c r="E43" s="54"/>
      <c r="F43" s="115">
        <f>SUM(F37:F41)</f>
        <v>1</v>
      </c>
      <c r="H43" s="91">
        <v>-806390112</v>
      </c>
      <c r="J43" s="91">
        <v>-2396008</v>
      </c>
      <c r="L43" s="91">
        <f>SUM(L37:L41)</f>
        <v>3385220812</v>
      </c>
      <c r="N43" s="115">
        <f>SUM(N37:N41)</f>
        <v>1</v>
      </c>
      <c r="P43" s="102"/>
      <c r="Q43" s="54"/>
      <c r="R43" s="116">
        <f>ROUND(SUM(R37:R41),4)</f>
        <v>7.1099999999999997E-2</v>
      </c>
    </row>
    <row r="44" spans="1:18" ht="16.5" thickTop="1" x14ac:dyDescent="0.25">
      <c r="J44" s="84"/>
      <c r="K44" s="84"/>
      <c r="L44" s="117"/>
      <c r="M44" s="84"/>
      <c r="N44" s="84"/>
      <c r="O44" s="84"/>
      <c r="R44" s="99"/>
    </row>
    <row r="45" spans="1:18" x14ac:dyDescent="0.25">
      <c r="H45" s="118"/>
      <c r="J45" s="119"/>
      <c r="R45" s="99"/>
    </row>
    <row r="46" spans="1:18" ht="16.5" thickBot="1" x14ac:dyDescent="0.3">
      <c r="A46" s="76" t="s">
        <v>128</v>
      </c>
      <c r="B46" s="54" t="s">
        <v>129</v>
      </c>
      <c r="R46" s="120">
        <f>ROUND(R43+(R43-R39-R37)*(38.666%/(1-38.666%)),4)</f>
        <v>0.1056</v>
      </c>
    </row>
    <row r="47" spans="1:18" ht="16.5" thickTop="1" x14ac:dyDescent="0.25"/>
    <row r="49" spans="1:16" x14ac:dyDescent="0.25">
      <c r="A49" s="55" t="s">
        <v>108</v>
      </c>
      <c r="B49" s="121" t="s">
        <v>130</v>
      </c>
    </row>
    <row r="52" spans="1:16" x14ac:dyDescent="0.25">
      <c r="L52" s="122"/>
      <c r="N52" s="123"/>
      <c r="P52" s="124"/>
    </row>
    <row r="53" spans="1:16" x14ac:dyDescent="0.25">
      <c r="L53" s="122"/>
      <c r="N53" s="123"/>
    </row>
  </sheetData>
  <pageMargins left="0.7" right="0.7" top="0.75" bottom="0.75" header="0.3" footer="0.3"/>
  <pageSetup scale="54" orientation="landscape" horizontalDpi="300" verticalDpi="300" r:id="rId1"/>
  <headerFooter>
    <oddFooter>&amp;R&amp;"Times New Roman,Bold"&amp;16Attachment to Response to Question No. 1
Page 6 of 6
Garrett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Q1-Q2 KU Over-Under Calc</vt:lpstr>
      <vt:lpstr>Q2 KU Summary Over-Under</vt:lpstr>
      <vt:lpstr>Q1 - KU ROR Feb15</vt:lpstr>
      <vt:lpstr>Revised ROR Dec13</vt:lpstr>
      <vt:lpstr>Revised ROR Feb14</vt:lpstr>
      <vt:lpstr>Revised ROR Aug14</vt:lpstr>
      <vt:lpstr>'Q1 - KU ROR Feb15'!Print_Area</vt:lpstr>
      <vt:lpstr>'Q1-Q2 KU Over-Under Calc'!Print_Area</vt:lpstr>
      <vt:lpstr>'Q2 KU Summary Over-Under'!Print_Area</vt:lpstr>
      <vt:lpstr>'Revised ROR Dec13'!Print_Area</vt:lpstr>
    </vt:vector>
  </TitlesOfParts>
  <Company>LG&amp;E Energy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Hornung</dc:creator>
  <cp:lastModifiedBy>Schroeder, Andrea</cp:lastModifiedBy>
  <cp:lastPrinted>2015-08-11T20:03:21Z</cp:lastPrinted>
  <dcterms:created xsi:type="dcterms:W3CDTF">2007-09-13T13:15:53Z</dcterms:created>
  <dcterms:modified xsi:type="dcterms:W3CDTF">2015-08-28T11:52:12Z</dcterms:modified>
</cp:coreProperties>
</file>