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015" activeTab="2"/>
  </bookViews>
  <sheets>
    <sheet name=" Summary" sheetId="2" r:id="rId1"/>
    <sheet name="Sch 1.0" sheetId="3" r:id="rId2"/>
    <sheet name="Sch 1.1" sheetId="4" r:id="rId3"/>
    <sheet name="Sch 1.2" sheetId="5" r:id="rId4"/>
    <sheet name="Sch 2.0" sheetId="7" r:id="rId5"/>
    <sheet name="Sch 2.1" sheetId="8" r:id="rId6"/>
    <sheet name="Sch 2.2" sheetId="9" r:id="rId7"/>
    <sheet name="Sch 2.3" sheetId="11" r:id="rId8"/>
    <sheet name="Sch 3.0" sheetId="10" r:id="rId9"/>
  </sheets>
  <definedNames>
    <definedName name="_xlnm.Print_Area" localSheetId="0">' Summary'!$A$1:$I$20</definedName>
    <definedName name="_xlnm.Print_Area" localSheetId="2">'Sch 1.1'!$A$1:$K$33</definedName>
    <definedName name="_xlnm.Print_Area" localSheetId="3">'Sch 1.2'!$A$1:$G$17</definedName>
    <definedName name="_xlnm.Print_Area" localSheetId="4">'Sch 2.0'!$A$1:$G$28</definedName>
  </definedNames>
  <calcPr calcId="145621"/>
</workbook>
</file>

<file path=xl/calcChain.xml><?xml version="1.0" encoding="utf-8"?>
<calcChain xmlns="http://schemas.openxmlformats.org/spreadsheetml/2006/main">
  <c r="B2" i="11" l="1"/>
  <c r="B1" i="11"/>
  <c r="D3" i="9"/>
  <c r="D2" i="9"/>
  <c r="A3" i="8"/>
  <c r="A2" i="8"/>
  <c r="D3" i="7"/>
  <c r="D2" i="7"/>
  <c r="G24" i="9" l="1"/>
  <c r="G23" i="9"/>
  <c r="G22" i="9"/>
  <c r="G21" i="9"/>
  <c r="G20" i="9"/>
  <c r="G19" i="9"/>
  <c r="G18" i="9"/>
  <c r="G17" i="9"/>
  <c r="G16" i="9"/>
  <c r="G15" i="9"/>
  <c r="G14" i="9"/>
  <c r="G13" i="9"/>
  <c r="E23" i="9"/>
  <c r="E22" i="9"/>
  <c r="E21" i="9"/>
  <c r="E20" i="9"/>
  <c r="E19" i="9"/>
  <c r="E18" i="9"/>
  <c r="E17" i="9"/>
  <c r="E16" i="9"/>
  <c r="E15" i="9"/>
  <c r="E14" i="9"/>
  <c r="E13" i="9"/>
  <c r="F11" i="5" l="1"/>
  <c r="E11" i="5"/>
  <c r="E10" i="5"/>
  <c r="E9" i="5"/>
  <c r="A18" i="10" l="1"/>
  <c r="F24" i="9" l="1"/>
  <c r="A29" i="8" l="1"/>
  <c r="D28" i="8"/>
  <c r="D25" i="11"/>
  <c r="F25" i="4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6" i="4"/>
  <c r="A25" i="4"/>
  <c r="F13" i="4"/>
  <c r="A13" i="4"/>
  <c r="F18" i="7"/>
  <c r="F13" i="7"/>
  <c r="D19" i="8" l="1"/>
  <c r="E25" i="9" l="1"/>
  <c r="D12" i="7" s="1"/>
  <c r="F12" i="7" s="1"/>
  <c r="E24" i="9"/>
  <c r="G25" i="9" l="1"/>
  <c r="D17" i="7" s="1"/>
  <c r="F17" i="7" s="1"/>
  <c r="O14" i="10" l="1"/>
  <c r="F12" i="3" s="1"/>
  <c r="O15" i="10"/>
  <c r="F13" i="3" s="1"/>
  <c r="O16" i="10"/>
  <c r="F14" i="3" s="1"/>
  <c r="O13" i="10"/>
  <c r="F11" i="3" s="1"/>
  <c r="O18" i="10" l="1"/>
  <c r="N18" i="10"/>
  <c r="M18" i="10"/>
  <c r="L18" i="10"/>
  <c r="K18" i="10"/>
  <c r="J18" i="10"/>
  <c r="I18" i="10"/>
  <c r="H18" i="10"/>
  <c r="C18" i="10"/>
  <c r="G18" i="10"/>
  <c r="F18" i="10"/>
  <c r="E18" i="10"/>
  <c r="D18" i="10"/>
  <c r="A14" i="10"/>
  <c r="A15" i="10" s="1"/>
  <c r="A16" i="10" s="1"/>
  <c r="F25" i="9"/>
  <c r="H25" i="9"/>
  <c r="I25" i="9"/>
  <c r="D25" i="9"/>
  <c r="C15" i="9"/>
  <c r="C16" i="9" s="1"/>
  <c r="C17" i="9" s="1"/>
  <c r="C18" i="9" s="1"/>
  <c r="C19" i="9" s="1"/>
  <c r="C20" i="9" s="1"/>
  <c r="C21" i="9" s="1"/>
  <c r="C22" i="9" s="1"/>
  <c r="C23" i="9" s="1"/>
  <c r="C24" i="9" s="1"/>
  <c r="C14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15" i="8"/>
  <c r="A16" i="8" s="1"/>
  <c r="A20" i="8" s="1"/>
  <c r="A21" i="8" s="1"/>
  <c r="D25" i="7"/>
  <c r="D19" i="7"/>
  <c r="F14" i="7"/>
  <c r="D24" i="8" s="1"/>
  <c r="D14" i="7"/>
  <c r="D11" i="8" s="1"/>
  <c r="D15" i="8" s="1"/>
  <c r="D20" i="8" l="1"/>
  <c r="D21" i="8" s="1"/>
  <c r="D26" i="8" s="1"/>
  <c r="D29" i="8" s="1"/>
  <c r="D31" i="8" s="1"/>
  <c r="F16" i="4" s="1"/>
  <c r="D16" i="8"/>
  <c r="A24" i="8"/>
  <c r="A26" i="8" s="1"/>
  <c r="D21" i="7"/>
  <c r="F11" i="4" s="1"/>
  <c r="F19" i="7"/>
  <c r="F21" i="7" s="1"/>
  <c r="A13" i="7"/>
  <c r="A14" i="7" s="1"/>
  <c r="A17" i="7" s="1"/>
  <c r="F10" i="5"/>
  <c r="F9" i="5"/>
  <c r="E12" i="5"/>
  <c r="C12" i="5"/>
  <c r="A11" i="5"/>
  <c r="A12" i="5" s="1"/>
  <c r="A10" i="5"/>
  <c r="A14" i="4"/>
  <c r="A15" i="4" s="1"/>
  <c r="A16" i="4" s="1"/>
  <c r="A17" i="4" s="1"/>
  <c r="A18" i="4" s="1"/>
  <c r="A19" i="4" s="1"/>
  <c r="A22" i="4" s="1"/>
  <c r="A23" i="4" s="1"/>
  <c r="A24" i="4" s="1"/>
  <c r="A28" i="4" s="1"/>
  <c r="F15" i="3"/>
  <c r="D15" i="3"/>
  <c r="A13" i="3"/>
  <c r="A14" i="3" s="1"/>
  <c r="A15" i="3" s="1"/>
  <c r="A12" i="3"/>
  <c r="F22" i="4" l="1"/>
  <c r="F14" i="4"/>
  <c r="F12" i="5"/>
  <c r="F18" i="4" s="1"/>
  <c r="A31" i="8"/>
  <c r="A28" i="8"/>
  <c r="F15" i="4"/>
  <c r="F17" i="4" s="1"/>
  <c r="A18" i="7"/>
  <c r="A19" i="7" s="1"/>
  <c r="A21" i="7" s="1"/>
  <c r="A24" i="7" s="1"/>
  <c r="A25" i="7" s="1"/>
  <c r="F19" i="4" l="1"/>
  <c r="F23" i="4"/>
  <c r="F24" i="4" l="1"/>
  <c r="F26" i="4" s="1"/>
  <c r="F28" i="4" s="1"/>
  <c r="E15" i="3" s="1"/>
  <c r="E11" i="3" l="1"/>
  <c r="G11" i="3" s="1"/>
  <c r="E14" i="3"/>
  <c r="G14" i="3" s="1"/>
  <c r="E13" i="3"/>
  <c r="G13" i="3" s="1"/>
  <c r="E12" i="3"/>
  <c r="G12" i="3" s="1"/>
</calcChain>
</file>

<file path=xl/sharedStrings.xml><?xml version="1.0" encoding="utf-8"?>
<sst xmlns="http://schemas.openxmlformats.org/spreadsheetml/2006/main" count="204" uniqueCount="157">
  <si>
    <t>June</t>
  </si>
  <si>
    <t>July</t>
  </si>
  <si>
    <t>August</t>
  </si>
  <si>
    <t>September</t>
  </si>
  <si>
    <t>October</t>
  </si>
  <si>
    <t>November</t>
  </si>
  <si>
    <t>December</t>
  </si>
  <si>
    <t>Duke Energy Kentucky</t>
  </si>
  <si>
    <t>Annual Adjustment to the Accelerated Services Replacement Program ("ASRP")</t>
  </si>
  <si>
    <t>Forecasted Period Ending December 31, 2016</t>
  </si>
  <si>
    <t>Table of Contents</t>
  </si>
  <si>
    <t>1.0</t>
  </si>
  <si>
    <t>1.1</t>
  </si>
  <si>
    <t>1.2</t>
  </si>
  <si>
    <t>2.0</t>
  </si>
  <si>
    <t>2.1</t>
  </si>
  <si>
    <t>2.2</t>
  </si>
  <si>
    <t>3.0</t>
  </si>
  <si>
    <t>Description</t>
  </si>
  <si>
    <t>ASRP Rates by Rate Schedule</t>
  </si>
  <si>
    <t>Revenue Requirement</t>
  </si>
  <si>
    <t>Cost of Capital</t>
  </si>
  <si>
    <t>Plant Additions and Depreciation</t>
  </si>
  <si>
    <t>Tax Depreciation</t>
  </si>
  <si>
    <t>Billing Determinants</t>
  </si>
  <si>
    <t>ASRP Rider by Rate Schedule</t>
  </si>
  <si>
    <t>Line No.</t>
  </si>
  <si>
    <t>Rate Schedule</t>
  </si>
  <si>
    <t>Approved PSC</t>
  </si>
  <si>
    <t>Revenue</t>
  </si>
  <si>
    <t>Requirement</t>
  </si>
  <si>
    <t>Billing</t>
  </si>
  <si>
    <t>Determinants</t>
  </si>
  <si>
    <t># of Bills</t>
  </si>
  <si>
    <t>Monthly</t>
  </si>
  <si>
    <t>ASRP</t>
  </si>
  <si>
    <t>Rider</t>
  </si>
  <si>
    <t>Total</t>
  </si>
  <si>
    <t>Forecasted ASRP Revenue Requirement for 2016</t>
  </si>
  <si>
    <t>ASRP Investment</t>
  </si>
  <si>
    <t>Reference</t>
  </si>
  <si>
    <t>December 31, 2016</t>
  </si>
  <si>
    <t>Return on Investment</t>
  </si>
  <si>
    <t>Rate Base</t>
  </si>
  <si>
    <t>Net ASRP Investment  - Property, Plant and Equipment</t>
  </si>
  <si>
    <t>Cost of Removal</t>
  </si>
  <si>
    <t>Accumulated Reserve for Depreciation</t>
  </si>
  <si>
    <t>Net PP&amp;E</t>
  </si>
  <si>
    <t>Deferred Taxes on Liberalized Depreciation</t>
  </si>
  <si>
    <t>Net Rate Base</t>
  </si>
  <si>
    <t>Authorized Rate of Return, Adjusted for Income Taxes</t>
  </si>
  <si>
    <t>Required Return on ASRP Related Investment</t>
  </si>
  <si>
    <t>Operating Expenses</t>
  </si>
  <si>
    <t>Depreciation</t>
  </si>
  <si>
    <t>Property Tax</t>
  </si>
  <si>
    <t>PSC Assessment</t>
  </si>
  <si>
    <t>Total Operating Expenses</t>
  </si>
  <si>
    <t>Total Annual Revenue Requirement</t>
  </si>
  <si>
    <t>Form 2.0</t>
  </si>
  <si>
    <t>Form 2.1</t>
  </si>
  <si>
    <t>Line 4 + Line 5</t>
  </si>
  <si>
    <t>Form 1.2</t>
  </si>
  <si>
    <t>Line 6 * Line 7</t>
  </si>
  <si>
    <t>Sum Lines 9 thru 11</t>
  </si>
  <si>
    <t>Line 8 + Line 12</t>
  </si>
  <si>
    <t>Line 1 *</t>
  </si>
  <si>
    <t>Notes:</t>
  </si>
  <si>
    <t>Capital Structure</t>
  </si>
  <si>
    <t>Ratio</t>
  </si>
  <si>
    <t>Cost</t>
  </si>
  <si>
    <t xml:space="preserve">Weighted </t>
  </si>
  <si>
    <t>Pre-Tax @ Effect.</t>
  </si>
  <si>
    <t>Short term Debt</t>
  </si>
  <si>
    <t>Long term Debt</t>
  </si>
  <si>
    <t>Equity</t>
  </si>
  <si>
    <t>Acct</t>
  </si>
  <si>
    <t>Number</t>
  </si>
  <si>
    <t>Depr</t>
  </si>
  <si>
    <t>Rates</t>
  </si>
  <si>
    <t>2016 Additions</t>
  </si>
  <si>
    <t>&amp; Retirements</t>
  </si>
  <si>
    <t>Additions</t>
  </si>
  <si>
    <t>Current Year</t>
  </si>
  <si>
    <t>Depr on</t>
  </si>
  <si>
    <t>Adds / (Ret.)</t>
  </si>
  <si>
    <t>(1)</t>
  </si>
  <si>
    <t>(2)</t>
  </si>
  <si>
    <t>(3)</t>
  </si>
  <si>
    <t>(4)</t>
  </si>
  <si>
    <t>Service Lines</t>
  </si>
  <si>
    <t>Meter Installations</t>
  </si>
  <si>
    <t>Total Additions</t>
  </si>
  <si>
    <t>380</t>
  </si>
  <si>
    <t>382</t>
  </si>
  <si>
    <t>Retirements</t>
  </si>
  <si>
    <t>Total Retirements</t>
  </si>
  <si>
    <t>Total Cost of removal</t>
  </si>
  <si>
    <t>Total ASRP Plant Additions</t>
  </si>
  <si>
    <t>Month</t>
  </si>
  <si>
    <t xml:space="preserve">Number of </t>
  </si>
  <si>
    <t>Months</t>
  </si>
  <si>
    <t>Expense (1)</t>
  </si>
  <si>
    <t>(1) Year-to-date net depreciable plant multiplied by applicable depreciation rate</t>
  </si>
  <si>
    <t>ASRP Rider Billing Determinants by Rate Schedule</t>
  </si>
  <si>
    <t>RS- Residential</t>
  </si>
  <si>
    <t>IT - Interruptible Transportation</t>
  </si>
  <si>
    <t>GS - General Service</t>
  </si>
  <si>
    <t>(A)</t>
  </si>
  <si>
    <t>(B)</t>
  </si>
  <si>
    <t>Thirteen Month Average Additions and Retirements</t>
  </si>
  <si>
    <t>(C)</t>
  </si>
  <si>
    <t>13 Mo. AVG</t>
  </si>
  <si>
    <t>( E)</t>
  </si>
  <si>
    <t>(D) = (B/13)*(C )</t>
  </si>
  <si>
    <t>(F)= (B/13)*(E )</t>
  </si>
  <si>
    <t>Weighted Customers- Services</t>
  </si>
  <si>
    <t>Case No. 2009-202</t>
  </si>
  <si>
    <t>FT - Firm Transportation (Includes DGS)</t>
  </si>
  <si>
    <t>As approved in Case No. 2009-202</t>
  </si>
  <si>
    <t>Tax Rate of 38.47%</t>
  </si>
  <si>
    <t xml:space="preserve">(5) = (3) * (4) </t>
  </si>
  <si>
    <t>Total Plant In Service</t>
  </si>
  <si>
    <t>O&amp;M related to relocation of meters</t>
  </si>
  <si>
    <t>Form 2.3</t>
  </si>
  <si>
    <t>(1) Property taxes estimated using an effective rate of 1.25%</t>
  </si>
  <si>
    <t>ASRP Additions and Retirements</t>
  </si>
  <si>
    <t>2.3</t>
  </si>
  <si>
    <t>Meter Relocation O&amp;M</t>
  </si>
  <si>
    <t>(Sum Line 8 thru 10) * (.1952% / (1-.1952%))</t>
  </si>
  <si>
    <t>(2) PSC Assessment using Fiscal Year 2015 rate of .1952%</t>
  </si>
  <si>
    <t xml:space="preserve"> O&amp;M Meter Relocation</t>
  </si>
  <si>
    <t>Tax Base In-service subject to :</t>
  </si>
  <si>
    <t>Bonus Depreciation- 50%</t>
  </si>
  <si>
    <t>MACRS on Balance</t>
  </si>
  <si>
    <t>Tax Year 2016</t>
  </si>
  <si>
    <t>Vintage</t>
  </si>
  <si>
    <t>Total Tax Depreciation Base</t>
  </si>
  <si>
    <t xml:space="preserve">Total Tax Depreciation </t>
  </si>
  <si>
    <t>Book Depreciation</t>
  </si>
  <si>
    <t>Tax Depreciation in Excess of Book Depreciation</t>
  </si>
  <si>
    <t>Deferred Taxes @</t>
  </si>
  <si>
    <t>Total Difference</t>
  </si>
  <si>
    <t>Schedule</t>
  </si>
  <si>
    <t xml:space="preserve">MACRS </t>
  </si>
  <si>
    <t>for the Twelve Month Ending April 30,2015</t>
  </si>
  <si>
    <t>RS- Residential (Number of Customers)</t>
  </si>
  <si>
    <t>GS - General Service (Number of Customers)</t>
  </si>
  <si>
    <t>FT - Firm Transportation (CCF)</t>
  </si>
  <si>
    <t>IT - Interruptible Transportation (CCF)</t>
  </si>
  <si>
    <t>Per CCF</t>
  </si>
  <si>
    <t>Per Customer</t>
  </si>
  <si>
    <t>Test Year 12/31/16 ASRP Investment Summary</t>
  </si>
  <si>
    <t>Test Year 12/31/16 ASRP Meter Relocation O&amp;M</t>
  </si>
  <si>
    <t>ASRP O&amp;M 2016</t>
  </si>
  <si>
    <t>ASRP Capex-2016</t>
  </si>
  <si>
    <t>(1) See Form 2.2 for detail of 2016 ASRP eligible additions.</t>
  </si>
  <si>
    <t>Additions and Retirements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</si>
</sst>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[$-409]mmmm\-yy;@"/>
    <numFmt numFmtId="169" formatCode="_(&quot;$&quot;* #,##0.00000_);_(&quot;$&quot;* \(#,##0.00000\);_(&quot;$&quot;* &quot;-&quot;?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4" fontId="0" fillId="0" borderId="0" xfId="2" applyFont="1" applyAlignment="1">
      <alignment horizontal="center"/>
    </xf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5" fontId="3" fillId="0" borderId="0" xfId="0" quotePrefix="1" applyNumberFormat="1" applyFont="1" applyAlignment="1">
      <alignment horizontal="center"/>
    </xf>
    <xf numFmtId="10" fontId="0" fillId="0" borderId="0" xfId="3" applyNumberFormat="1" applyFont="1"/>
    <xf numFmtId="164" fontId="4" fillId="0" borderId="2" xfId="1" applyNumberFormat="1" applyFont="1" applyBorder="1"/>
    <xf numFmtId="164" fontId="0" fillId="0" borderId="2" xfId="1" applyNumberFormat="1" applyFont="1" applyBorder="1"/>
    <xf numFmtId="165" fontId="0" fillId="0" borderId="0" xfId="3" applyNumberFormat="1" applyFont="1"/>
    <xf numFmtId="164" fontId="0" fillId="0" borderId="3" xfId="0" applyNumberFormat="1" applyBorder="1"/>
    <xf numFmtId="165" fontId="0" fillId="0" borderId="2" xfId="3" applyNumberFormat="1" applyFont="1" applyBorder="1"/>
    <xf numFmtId="10" fontId="0" fillId="0" borderId="0" xfId="0" applyNumberFormat="1"/>
    <xf numFmtId="10" fontId="0" fillId="0" borderId="2" xfId="0" applyNumberFormat="1" applyBorder="1"/>
    <xf numFmtId="0" fontId="0" fillId="0" borderId="0" xfId="0" quotePrefix="1"/>
    <xf numFmtId="0" fontId="2" fillId="0" borderId="0" xfId="0" quotePrefix="1" applyFont="1" applyAlignment="1">
      <alignment horizontal="center"/>
    </xf>
    <xf numFmtId="165" fontId="0" fillId="0" borderId="0" xfId="3" applyNumberFormat="1" applyFont="1" applyBorder="1"/>
    <xf numFmtId="10" fontId="0" fillId="0" borderId="0" xfId="3" applyNumberFormat="1" applyFont="1" applyBorder="1"/>
    <xf numFmtId="165" fontId="0" fillId="0" borderId="0" xfId="3" quotePrefix="1" applyNumberFormat="1" applyFont="1"/>
    <xf numFmtId="164" fontId="0" fillId="0" borderId="0" xfId="1" applyNumberFormat="1" applyFont="1" applyBorder="1"/>
    <xf numFmtId="10" fontId="4" fillId="0" borderId="0" xfId="3" applyNumberFormat="1" applyFont="1"/>
    <xf numFmtId="164" fontId="4" fillId="0" borderId="0" xfId="1" applyNumberFormat="1" applyFont="1" applyBorder="1"/>
    <xf numFmtId="164" fontId="7" fillId="0" borderId="0" xfId="1" applyNumberFormat="1" applyFont="1" applyBorder="1"/>
    <xf numFmtId="164" fontId="6" fillId="0" borderId="0" xfId="1" applyNumberFormat="1" applyFont="1" applyBorder="1"/>
    <xf numFmtId="164" fontId="0" fillId="0" borderId="4" xfId="0" applyNumberFormat="1" applyBorder="1"/>
    <xf numFmtId="0" fontId="0" fillId="0" borderId="0" xfId="0" applyFont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6" fillId="0" borderId="0" xfId="1" applyNumberFormat="1" applyFont="1"/>
    <xf numFmtId="0" fontId="2" fillId="0" borderId="0" xfId="0" applyFont="1" applyAlignment="1">
      <alignment horizontal="left"/>
    </xf>
    <xf numFmtId="167" fontId="0" fillId="0" borderId="0" xfId="0" applyNumberFormat="1"/>
    <xf numFmtId="10" fontId="4" fillId="0" borderId="0" xfId="3" applyNumberFormat="1" applyFont="1" applyBorder="1"/>
    <xf numFmtId="164" fontId="0" fillId="0" borderId="0" xfId="1" quotePrefix="1" applyNumberFormat="1" applyFont="1"/>
    <xf numFmtId="166" fontId="5" fillId="0" borderId="0" xfId="2" applyNumberFormat="1" applyFont="1"/>
    <xf numFmtId="164" fontId="5" fillId="0" borderId="0" xfId="1" applyNumberFormat="1" applyFont="1"/>
    <xf numFmtId="1" fontId="0" fillId="0" borderId="0" xfId="3" quotePrefix="1" applyNumberFormat="1" applyFont="1"/>
    <xf numFmtId="1" fontId="0" fillId="0" borderId="0" xfId="3" applyNumberFormat="1" applyFont="1" applyBorder="1"/>
    <xf numFmtId="165" fontId="4" fillId="0" borderId="0" xfId="1" applyNumberFormat="1" applyFont="1"/>
    <xf numFmtId="164" fontId="7" fillId="0" borderId="2" xfId="1" applyNumberFormat="1" applyFont="1" applyBorder="1"/>
    <xf numFmtId="164" fontId="5" fillId="0" borderId="0" xfId="1" applyNumberFormat="1" applyFont="1" applyBorder="1"/>
    <xf numFmtId="0" fontId="8" fillId="0" borderId="0" xfId="0" applyFont="1"/>
    <xf numFmtId="3" fontId="0" fillId="0" borderId="0" xfId="3" applyNumberFormat="1" applyFont="1" applyBorder="1"/>
    <xf numFmtId="3" fontId="0" fillId="0" borderId="2" xfId="0" applyNumberFormat="1" applyBorder="1"/>
    <xf numFmtId="3" fontId="0" fillId="0" borderId="0" xfId="0" applyNumberFormat="1"/>
    <xf numFmtId="3" fontId="4" fillId="0" borderId="0" xfId="3" applyNumberFormat="1" applyFont="1"/>
    <xf numFmtId="3" fontId="0" fillId="0" borderId="0" xfId="0" applyNumberFormat="1" applyBorder="1"/>
    <xf numFmtId="3" fontId="0" fillId="0" borderId="5" xfId="0" applyNumberFormat="1" applyBorder="1"/>
    <xf numFmtId="10" fontId="0" fillId="0" borderId="0" xfId="3" quotePrefix="1" applyNumberFormat="1" applyFont="1"/>
    <xf numFmtId="0" fontId="0" fillId="0" borderId="0" xfId="0" applyFont="1" applyAlignment="1">
      <alignment horizontal="center"/>
    </xf>
    <xf numFmtId="3" fontId="0" fillId="0" borderId="2" xfId="3" applyNumberFormat="1" applyFont="1" applyBorder="1"/>
    <xf numFmtId="0" fontId="0" fillId="0" borderId="0" xfId="0" applyFill="1"/>
    <xf numFmtId="164" fontId="4" fillId="0" borderId="0" xfId="1" applyNumberFormat="1" applyFont="1" applyFill="1" applyBorder="1"/>
    <xf numFmtId="164" fontId="4" fillId="0" borderId="2" xfId="1" applyNumberFormat="1" applyFont="1" applyFill="1" applyBorder="1"/>
    <xf numFmtId="164" fontId="0" fillId="0" borderId="0" xfId="0" applyNumberFormat="1" applyFill="1"/>
    <xf numFmtId="0" fontId="0" fillId="0" borderId="2" xfId="0" applyFill="1" applyBorder="1"/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3" fontId="5" fillId="0" borderId="0" xfId="1" quotePrefix="1" applyNumberFormat="1" applyFont="1" applyFill="1" applyBorder="1"/>
    <xf numFmtId="3" fontId="5" fillId="0" borderId="0" xfId="1" applyNumberFormat="1" applyFont="1" applyFill="1" applyBorder="1"/>
    <xf numFmtId="3" fontId="5" fillId="0" borderId="0" xfId="0" applyNumberFormat="1" applyFont="1" applyFill="1" applyBorder="1"/>
    <xf numFmtId="3" fontId="5" fillId="0" borderId="0" xfId="3" applyNumberFormat="1" applyFont="1" applyFill="1" applyBorder="1"/>
    <xf numFmtId="167" fontId="0" fillId="0" borderId="0" xfId="0" applyNumberFormat="1" applyAlignment="1">
      <alignment wrapText="1"/>
    </xf>
    <xf numFmtId="169" fontId="0" fillId="0" borderId="0" xfId="2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F19"/>
  <sheetViews>
    <sheetView view="pageLayout" zoomScaleNormal="100" workbookViewId="0">
      <selection activeCell="E25" sqref="A25:E25"/>
    </sheetView>
  </sheetViews>
  <sheetFormatPr defaultRowHeight="15" x14ac:dyDescent="0.25"/>
  <cols>
    <col min="4" max="4" width="2.5703125" customWidth="1"/>
    <col min="5" max="5" width="30.28515625" customWidth="1"/>
  </cols>
  <sheetData>
    <row r="5" spans="3:6" x14ac:dyDescent="0.25">
      <c r="E5" s="3" t="s">
        <v>7</v>
      </c>
    </row>
    <row r="6" spans="3:6" x14ac:dyDescent="0.25">
      <c r="E6" s="3" t="s">
        <v>8</v>
      </c>
    </row>
    <row r="7" spans="3:6" x14ac:dyDescent="0.25">
      <c r="E7" s="3" t="s">
        <v>9</v>
      </c>
    </row>
    <row r="8" spans="3:6" x14ac:dyDescent="0.25">
      <c r="E8" s="3" t="s">
        <v>10</v>
      </c>
    </row>
    <row r="11" spans="3:6" x14ac:dyDescent="0.25">
      <c r="C11" s="9" t="s">
        <v>142</v>
      </c>
      <c r="D11" s="10"/>
      <c r="E11" s="11" t="s">
        <v>18</v>
      </c>
      <c r="F11" s="10"/>
    </row>
    <row r="12" spans="3:6" x14ac:dyDescent="0.25">
      <c r="C12" s="6" t="s">
        <v>11</v>
      </c>
      <c r="E12" s="7" t="s">
        <v>19</v>
      </c>
    </row>
    <row r="13" spans="3:6" x14ac:dyDescent="0.25">
      <c r="C13" s="6" t="s">
        <v>12</v>
      </c>
      <c r="E13" s="7" t="s">
        <v>20</v>
      </c>
    </row>
    <row r="14" spans="3:6" x14ac:dyDescent="0.25">
      <c r="C14" s="6" t="s">
        <v>13</v>
      </c>
      <c r="E14" s="7" t="s">
        <v>21</v>
      </c>
    </row>
    <row r="15" spans="3:6" x14ac:dyDescent="0.25">
      <c r="C15" s="6" t="s">
        <v>14</v>
      </c>
      <c r="E15" s="7" t="s">
        <v>22</v>
      </c>
    </row>
    <row r="16" spans="3:6" x14ac:dyDescent="0.25">
      <c r="C16" s="6" t="s">
        <v>15</v>
      </c>
      <c r="E16" s="7" t="s">
        <v>23</v>
      </c>
    </row>
    <row r="17" spans="3:5" x14ac:dyDescent="0.25">
      <c r="C17" s="6" t="s">
        <v>16</v>
      </c>
      <c r="E17" s="7" t="s">
        <v>125</v>
      </c>
    </row>
    <row r="18" spans="3:5" x14ac:dyDescent="0.25">
      <c r="C18" s="6" t="s">
        <v>126</v>
      </c>
      <c r="E18" s="7" t="s">
        <v>127</v>
      </c>
    </row>
    <row r="19" spans="3:5" x14ac:dyDescent="0.25">
      <c r="C19" s="6" t="s">
        <v>17</v>
      </c>
      <c r="E19" s="7" t="s">
        <v>24</v>
      </c>
    </row>
  </sheetData>
  <pageMargins left="0.7" right="0.7" top="0.75" bottom="0.75" header="0.5" footer="0.3"/>
  <pageSetup scale="93" orientation="portrait" r:id="rId1"/>
  <headerFooter>
    <oddHeader>&amp;R&amp;"Times New Roman,Bold"&amp;9KyPSC Case No. 2015-00210
STAFF-DR-01-015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9.140625" style="5"/>
    <col min="2" max="2" width="47.7109375" customWidth="1"/>
    <col min="3" max="3" width="3.42578125" customWidth="1"/>
    <col min="4" max="4" width="18.85546875" customWidth="1"/>
    <col min="5" max="5" width="16.85546875" style="5" bestFit="1" customWidth="1"/>
    <col min="6" max="6" width="13.28515625" style="5" bestFit="1" customWidth="1"/>
    <col min="7" max="7" width="12.7109375" style="5" customWidth="1"/>
    <col min="8" max="8" width="15.28515625" customWidth="1"/>
  </cols>
  <sheetData>
    <row r="2" spans="1:8" x14ac:dyDescent="0.25">
      <c r="D2" s="3" t="s">
        <v>7</v>
      </c>
    </row>
    <row r="3" spans="1:8" x14ac:dyDescent="0.25">
      <c r="D3" s="3" t="s">
        <v>8</v>
      </c>
    </row>
    <row r="4" spans="1:8" x14ac:dyDescent="0.25">
      <c r="D4" s="3" t="s">
        <v>25</v>
      </c>
    </row>
    <row r="7" spans="1:8" x14ac:dyDescent="0.25">
      <c r="A7" s="3"/>
      <c r="B7" s="8"/>
      <c r="C7" s="8"/>
      <c r="D7" s="3" t="s">
        <v>115</v>
      </c>
      <c r="E7" s="3"/>
      <c r="F7" s="3" t="s">
        <v>31</v>
      </c>
      <c r="G7" s="3" t="s">
        <v>34</v>
      </c>
    </row>
    <row r="8" spans="1:8" x14ac:dyDescent="0.25">
      <c r="A8" s="3"/>
      <c r="B8" s="8"/>
      <c r="C8" s="8"/>
      <c r="D8" s="3" t="s">
        <v>28</v>
      </c>
      <c r="E8" s="3" t="s">
        <v>29</v>
      </c>
      <c r="F8" s="3" t="s">
        <v>32</v>
      </c>
      <c r="G8" s="3" t="s">
        <v>35</v>
      </c>
    </row>
    <row r="9" spans="1:8" x14ac:dyDescent="0.25">
      <c r="A9" s="9" t="s">
        <v>26</v>
      </c>
      <c r="B9" s="10" t="s">
        <v>27</v>
      </c>
      <c r="C9" s="10"/>
      <c r="D9" s="9" t="s">
        <v>116</v>
      </c>
      <c r="E9" s="9" t="s">
        <v>30</v>
      </c>
      <c r="F9" s="9" t="s">
        <v>33</v>
      </c>
      <c r="G9" s="9" t="s">
        <v>36</v>
      </c>
    </row>
    <row r="11" spans="1:8" x14ac:dyDescent="0.25">
      <c r="A11" s="5">
        <v>1</v>
      </c>
      <c r="B11" s="42" t="s">
        <v>104</v>
      </c>
      <c r="D11" s="49">
        <v>0.92301</v>
      </c>
      <c r="E11" s="14">
        <f>$E$15*D11</f>
        <v>416780.48337130103</v>
      </c>
      <c r="F11" s="14">
        <f>'Sch 3.0'!O13</f>
        <v>1075522</v>
      </c>
      <c r="G11" s="12">
        <f>E11/F11</f>
        <v>0.38751460534633508</v>
      </c>
      <c r="H11" t="s">
        <v>150</v>
      </c>
    </row>
    <row r="12" spans="1:8" x14ac:dyDescent="0.25">
      <c r="A12" s="5">
        <f>A11+1</f>
        <v>2</v>
      </c>
      <c r="B12" s="42" t="s">
        <v>106</v>
      </c>
      <c r="D12" s="49">
        <v>6.9690000000000002E-2</v>
      </c>
      <c r="E12" s="14">
        <f t="shared" ref="E12:E14" si="0">$E$15*D12</f>
        <v>31468.165985358737</v>
      </c>
      <c r="F12" s="14">
        <f>'Sch 3.0'!O14</f>
        <v>82224</v>
      </c>
      <c r="G12" s="12">
        <f t="shared" ref="G12:G14" si="1">E12/F12</f>
        <v>0.38271266279138377</v>
      </c>
      <c r="H12" t="s">
        <v>150</v>
      </c>
    </row>
    <row r="13" spans="1:8" x14ac:dyDescent="0.25">
      <c r="A13" s="5">
        <f t="shared" ref="A13:A15" si="2">A12+1</f>
        <v>3</v>
      </c>
      <c r="B13" s="42" t="s">
        <v>117</v>
      </c>
      <c r="D13" s="49">
        <v>4.5399999999999998E-3</v>
      </c>
      <c r="E13" s="14">
        <f t="shared" si="0"/>
        <v>2050.0139700606783</v>
      </c>
      <c r="F13" s="14">
        <f>'Sch 3.0'!O15</f>
        <v>22655270</v>
      </c>
      <c r="G13" s="74">
        <f t="shared" si="1"/>
        <v>9.0487289273563209E-5</v>
      </c>
      <c r="H13" t="s">
        <v>149</v>
      </c>
    </row>
    <row r="14" spans="1:8" x14ac:dyDescent="0.25">
      <c r="A14" s="5">
        <f t="shared" si="2"/>
        <v>4</v>
      </c>
      <c r="B14" s="42" t="s">
        <v>105</v>
      </c>
      <c r="D14" s="49">
        <v>2.7599999999999999E-3</v>
      </c>
      <c r="E14" s="14">
        <f t="shared" si="0"/>
        <v>1246.2639994201479</v>
      </c>
      <c r="F14" s="14">
        <f>'Sch 3.0'!O16</f>
        <v>13382440</v>
      </c>
      <c r="G14" s="74">
        <f t="shared" si="1"/>
        <v>9.3126813900914021E-5</v>
      </c>
      <c r="H14" t="s">
        <v>149</v>
      </c>
    </row>
    <row r="15" spans="1:8" ht="15.75" thickBot="1" x14ac:dyDescent="0.3">
      <c r="A15" s="5">
        <f t="shared" si="2"/>
        <v>5</v>
      </c>
      <c r="B15" t="s">
        <v>37</v>
      </c>
      <c r="D15" s="49">
        <f>SUM(D10:D14)</f>
        <v>1</v>
      </c>
      <c r="E15" s="15">
        <f>'Sch 1.1'!F28</f>
        <v>451544.92732614058</v>
      </c>
      <c r="F15" s="15">
        <f t="shared" ref="F15" si="3">SUM(F10:F14)</f>
        <v>37195456</v>
      </c>
    </row>
    <row r="16" spans="1:8" ht="15.75" thickTop="1" x14ac:dyDescent="0.25"/>
  </sheetData>
  <pageMargins left="0.7" right="0.7" top="0.75" bottom="0.75" header="0.5" footer="0.3"/>
  <pageSetup scale="88" orientation="landscape" r:id="rId1"/>
  <headerFooter>
    <oddHeader>&amp;R&amp;"Times New Roman,Bold"&amp;9KyPSC Case No. 2015-00210
STAFF-DR-01-015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60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4.5703125" customWidth="1"/>
    <col min="3" max="3" width="6.5703125" customWidth="1"/>
    <col min="4" max="4" width="43" customWidth="1"/>
    <col min="5" max="5" width="7.5703125" customWidth="1"/>
    <col min="6" max="6" width="24.140625" customWidth="1"/>
    <col min="7" max="7" width="10.7109375" customWidth="1"/>
  </cols>
  <sheetData>
    <row r="1" spans="1:8" x14ac:dyDescent="0.25">
      <c r="A1" s="5"/>
      <c r="E1" s="5"/>
      <c r="F1" s="5"/>
      <c r="G1" s="5"/>
      <c r="H1" s="5"/>
    </row>
    <row r="2" spans="1:8" x14ac:dyDescent="0.25">
      <c r="A2" s="5"/>
      <c r="E2" s="3" t="s">
        <v>7</v>
      </c>
      <c r="F2" s="5"/>
      <c r="G2" s="5"/>
      <c r="H2" s="5"/>
    </row>
    <row r="3" spans="1:8" x14ac:dyDescent="0.25">
      <c r="A3" s="5"/>
      <c r="E3" s="3" t="s">
        <v>8</v>
      </c>
      <c r="F3" s="5"/>
      <c r="G3" s="5"/>
      <c r="H3" s="5"/>
    </row>
    <row r="4" spans="1:8" x14ac:dyDescent="0.25">
      <c r="A4" s="5"/>
      <c r="E4" s="3" t="s">
        <v>38</v>
      </c>
      <c r="F4" s="5"/>
      <c r="G4" s="5"/>
      <c r="H4" s="5"/>
    </row>
    <row r="5" spans="1:8" x14ac:dyDescent="0.25">
      <c r="A5" s="5"/>
      <c r="E5" s="5"/>
      <c r="F5" s="5"/>
      <c r="G5" s="5"/>
      <c r="H5" s="5"/>
    </row>
    <row r="6" spans="1:8" x14ac:dyDescent="0.25">
      <c r="A6" s="3"/>
      <c r="B6" s="8"/>
      <c r="C6" s="8"/>
      <c r="F6" s="3" t="s">
        <v>39</v>
      </c>
      <c r="G6" s="3"/>
      <c r="H6" s="5"/>
    </row>
    <row r="7" spans="1:8" x14ac:dyDescent="0.25">
      <c r="A7" s="10" t="s">
        <v>26</v>
      </c>
      <c r="B7" s="10"/>
      <c r="C7" s="10"/>
      <c r="F7" s="16" t="s">
        <v>41</v>
      </c>
      <c r="G7" s="9" t="s">
        <v>40</v>
      </c>
    </row>
    <row r="9" spans="1:8" x14ac:dyDescent="0.25">
      <c r="B9" s="8" t="s">
        <v>42</v>
      </c>
    </row>
    <row r="10" spans="1:8" x14ac:dyDescent="0.25">
      <c r="B10" s="10" t="s">
        <v>43</v>
      </c>
    </row>
    <row r="11" spans="1:8" x14ac:dyDescent="0.25">
      <c r="A11" s="5">
        <v>1</v>
      </c>
      <c r="C11" t="s">
        <v>44</v>
      </c>
      <c r="F11" s="45">
        <f>+'Sch 2.0'!D21</f>
        <v>1964505</v>
      </c>
      <c r="G11" t="s">
        <v>58</v>
      </c>
    </row>
    <row r="12" spans="1:8" x14ac:dyDescent="0.25">
      <c r="A12" s="5"/>
      <c r="F12" s="45"/>
    </row>
    <row r="13" spans="1:8" x14ac:dyDescent="0.25">
      <c r="A13" s="5">
        <f>A11+1</f>
        <v>2</v>
      </c>
      <c r="C13" t="s">
        <v>45</v>
      </c>
      <c r="F13" s="46">
        <f>+'Sch 2.0'!D25</f>
        <v>0</v>
      </c>
      <c r="G13" t="s">
        <v>58</v>
      </c>
    </row>
    <row r="14" spans="1:8" x14ac:dyDescent="0.25">
      <c r="A14" s="5">
        <f t="shared" ref="A14:A15" si="0">A13+1</f>
        <v>3</v>
      </c>
      <c r="C14" t="s">
        <v>46</v>
      </c>
      <c r="F14" s="18">
        <f>-'Sch 2.0'!F21</f>
        <v>-50880</v>
      </c>
      <c r="G14" t="s">
        <v>58</v>
      </c>
    </row>
    <row r="15" spans="1:8" x14ac:dyDescent="0.25">
      <c r="A15" s="5">
        <f t="shared" si="0"/>
        <v>4</v>
      </c>
      <c r="D15" t="s">
        <v>47</v>
      </c>
      <c r="F15" s="1">
        <f>SUM(F11:F14)</f>
        <v>1913625</v>
      </c>
    </row>
    <row r="16" spans="1:8" x14ac:dyDescent="0.25">
      <c r="A16" s="5">
        <f>A15+1</f>
        <v>5</v>
      </c>
      <c r="C16" t="s">
        <v>48</v>
      </c>
      <c r="F16" s="18">
        <f>-'Sch 2.1'!D31</f>
        <v>-9663</v>
      </c>
      <c r="G16" t="s">
        <v>59</v>
      </c>
    </row>
    <row r="17" spans="1:8" x14ac:dyDescent="0.25">
      <c r="A17" s="5">
        <f>A16+1</f>
        <v>6</v>
      </c>
      <c r="D17" t="s">
        <v>49</v>
      </c>
      <c r="F17" s="1">
        <f>SUM(F15:F16)</f>
        <v>1903962</v>
      </c>
      <c r="G17" t="s">
        <v>60</v>
      </c>
    </row>
    <row r="18" spans="1:8" x14ac:dyDescent="0.25">
      <c r="A18" s="5">
        <f>A17+1</f>
        <v>7</v>
      </c>
      <c r="C18" t="s">
        <v>50</v>
      </c>
      <c r="F18" s="31">
        <f>+'Sch 1.2'!F12</f>
        <v>0.10669999999999999</v>
      </c>
      <c r="G18" t="s">
        <v>61</v>
      </c>
    </row>
    <row r="19" spans="1:8" x14ac:dyDescent="0.25">
      <c r="A19" s="5">
        <f>A18+1</f>
        <v>8</v>
      </c>
      <c r="C19" t="s">
        <v>51</v>
      </c>
      <c r="F19" s="19">
        <f>F17*F18</f>
        <v>203152.74539999999</v>
      </c>
      <c r="G19" t="s">
        <v>62</v>
      </c>
    </row>
    <row r="21" spans="1:8" x14ac:dyDescent="0.25">
      <c r="B21" s="10" t="s">
        <v>52</v>
      </c>
    </row>
    <row r="22" spans="1:8" x14ac:dyDescent="0.25">
      <c r="A22" s="5">
        <f>A19+1</f>
        <v>9</v>
      </c>
      <c r="C22" t="s">
        <v>53</v>
      </c>
      <c r="F22" s="1">
        <f>+'Sch 2.0'!F21</f>
        <v>50880</v>
      </c>
      <c r="G22" t="s">
        <v>58</v>
      </c>
    </row>
    <row r="23" spans="1:8" x14ac:dyDescent="0.25">
      <c r="A23" s="5">
        <f>A22+1</f>
        <v>10</v>
      </c>
      <c r="C23" t="s">
        <v>54</v>
      </c>
      <c r="F23" s="1">
        <f>F11*H23</f>
        <v>24556.3125</v>
      </c>
      <c r="G23" t="s">
        <v>65</v>
      </c>
      <c r="H23" s="20">
        <v>1.2500000000000001E-2</v>
      </c>
    </row>
    <row r="24" spans="1:8" x14ac:dyDescent="0.25">
      <c r="A24" s="5">
        <f>A23+1</f>
        <v>11</v>
      </c>
      <c r="C24" t="s">
        <v>55</v>
      </c>
      <c r="F24" s="30">
        <f>SUM(F19:F23)*(0.001952/(1-0.001952))</f>
        <v>544.8694261406265</v>
      </c>
      <c r="G24" t="s">
        <v>128</v>
      </c>
    </row>
    <row r="25" spans="1:8" ht="17.25" x14ac:dyDescent="0.4">
      <c r="A25" s="5">
        <f>+A24+1</f>
        <v>12</v>
      </c>
      <c r="C25" t="s">
        <v>122</v>
      </c>
      <c r="F25" s="50">
        <f>+'Sch 2.3'!D25</f>
        <v>172411</v>
      </c>
      <c r="G25" t="s">
        <v>123</v>
      </c>
    </row>
    <row r="26" spans="1:8" x14ac:dyDescent="0.25">
      <c r="A26" s="5">
        <f>+A25+1</f>
        <v>13</v>
      </c>
      <c r="C26" t="s">
        <v>56</v>
      </c>
      <c r="F26" s="2">
        <f>SUM(F22:F25)</f>
        <v>248392.18192614062</v>
      </c>
      <c r="G26" t="s">
        <v>63</v>
      </c>
    </row>
    <row r="28" spans="1:8" ht="15.75" thickBot="1" x14ac:dyDescent="0.3">
      <c r="A28" s="5">
        <f>A26+1</f>
        <v>14</v>
      </c>
      <c r="B28" s="10" t="s">
        <v>57</v>
      </c>
      <c r="F28" s="21">
        <f>F19+F26</f>
        <v>451544.92732614058</v>
      </c>
      <c r="G28" t="s">
        <v>64</v>
      </c>
    </row>
    <row r="31" spans="1:8" x14ac:dyDescent="0.25">
      <c r="A31" s="5" t="s">
        <v>66</v>
      </c>
    </row>
    <row r="32" spans="1:8" x14ac:dyDescent="0.25">
      <c r="A32" t="s">
        <v>124</v>
      </c>
    </row>
    <row r="33" spans="1:1" x14ac:dyDescent="0.25">
      <c r="A33" t="s">
        <v>129</v>
      </c>
    </row>
  </sheetData>
  <pageMargins left="0.7" right="0.7" top="0.75" bottom="0.75" header="0.5" footer="0.3"/>
  <pageSetup scale="86" orientation="landscape" r:id="rId1"/>
  <headerFooter>
    <oddHeader>&amp;R&amp;"Times New Roman,Bold"&amp;9KyPSC Case No. 2015-00210
STAFF-DR-01-015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60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  <col min="5" max="5" width="16.7109375" customWidth="1"/>
    <col min="6" max="6" width="17.7109375" customWidth="1"/>
  </cols>
  <sheetData>
    <row r="1" spans="1:8" x14ac:dyDescent="0.25">
      <c r="A1" s="5"/>
      <c r="E1" s="5"/>
      <c r="F1" s="5"/>
      <c r="G1" s="5"/>
      <c r="H1" s="5"/>
    </row>
    <row r="2" spans="1:8" x14ac:dyDescent="0.25">
      <c r="A2" s="5"/>
      <c r="D2" s="3" t="s">
        <v>7</v>
      </c>
      <c r="F2" s="5"/>
      <c r="G2" s="5"/>
      <c r="H2" s="5"/>
    </row>
    <row r="3" spans="1:8" x14ac:dyDescent="0.25">
      <c r="A3" s="5"/>
      <c r="D3" s="3" t="s">
        <v>8</v>
      </c>
      <c r="F3" s="5"/>
      <c r="G3" s="5"/>
      <c r="H3" s="5"/>
    </row>
    <row r="4" spans="1:8" x14ac:dyDescent="0.25">
      <c r="A4" s="5"/>
      <c r="D4" s="3" t="s">
        <v>21</v>
      </c>
      <c r="F4" s="5"/>
      <c r="G4" s="5"/>
      <c r="H4" s="5"/>
    </row>
    <row r="5" spans="1:8" x14ac:dyDescent="0.25">
      <c r="A5" s="5"/>
      <c r="E5" s="5"/>
      <c r="F5" s="5"/>
      <c r="G5" s="5"/>
      <c r="H5" s="5"/>
    </row>
    <row r="6" spans="1:8" x14ac:dyDescent="0.25">
      <c r="A6" s="3"/>
      <c r="B6" s="3"/>
      <c r="C6" s="3"/>
      <c r="D6" s="3"/>
      <c r="E6" s="3" t="s">
        <v>70</v>
      </c>
      <c r="F6" s="3" t="s">
        <v>71</v>
      </c>
    </row>
    <row r="7" spans="1:8" x14ac:dyDescent="0.25">
      <c r="A7" s="9" t="s">
        <v>26</v>
      </c>
      <c r="B7" s="9" t="s">
        <v>67</v>
      </c>
      <c r="C7" s="9" t="s">
        <v>68</v>
      </c>
      <c r="D7" s="9" t="s">
        <v>69</v>
      </c>
      <c r="E7" s="9" t="s">
        <v>69</v>
      </c>
      <c r="F7" s="9" t="s">
        <v>119</v>
      </c>
    </row>
    <row r="9" spans="1:8" x14ac:dyDescent="0.25">
      <c r="A9">
        <v>1</v>
      </c>
      <c r="B9" t="s">
        <v>72</v>
      </c>
      <c r="C9" s="20">
        <v>5.6090000000000001E-2</v>
      </c>
      <c r="D9" s="20">
        <v>1.009E-2</v>
      </c>
      <c r="E9" s="17">
        <f>ROUND(C9*D9,4)</f>
        <v>5.9999999999999995E-4</v>
      </c>
      <c r="F9" s="23">
        <f>E9</f>
        <v>5.9999999999999995E-4</v>
      </c>
    </row>
    <row r="10" spans="1:8" x14ac:dyDescent="0.25">
      <c r="A10">
        <f>A9+1</f>
        <v>2</v>
      </c>
      <c r="B10" t="s">
        <v>73</v>
      </c>
      <c r="C10" s="20">
        <v>0.43595</v>
      </c>
      <c r="D10" s="20">
        <v>4.7030000000000002E-2</v>
      </c>
      <c r="E10" s="17">
        <f t="shared" ref="E10:E11" si="0">ROUND(C10*D10,4)</f>
        <v>2.0500000000000001E-2</v>
      </c>
      <c r="F10" s="23">
        <f>E10</f>
        <v>2.0500000000000001E-2</v>
      </c>
    </row>
    <row r="11" spans="1:8" x14ac:dyDescent="0.25">
      <c r="A11">
        <f t="shared" ref="A11:A12" si="1">A10+1</f>
        <v>3</v>
      </c>
      <c r="B11" t="s">
        <v>74</v>
      </c>
      <c r="C11" s="22">
        <v>0.50795999999999997</v>
      </c>
      <c r="D11" s="20">
        <v>0.10375</v>
      </c>
      <c r="E11" s="17">
        <f t="shared" si="0"/>
        <v>5.2699999999999997E-2</v>
      </c>
      <c r="F11" s="24">
        <f>ROUND(+E11/(1-0.3847),4)</f>
        <v>8.5599999999999996E-2</v>
      </c>
    </row>
    <row r="12" spans="1:8" x14ac:dyDescent="0.25">
      <c r="A12">
        <f t="shared" si="1"/>
        <v>4</v>
      </c>
      <c r="B12" t="s">
        <v>37</v>
      </c>
      <c r="C12" s="20">
        <f>SUM(C9:C11)</f>
        <v>1</v>
      </c>
      <c r="E12" s="23">
        <f>SUM(E9:E11)</f>
        <v>7.3800000000000004E-2</v>
      </c>
      <c r="F12" s="23">
        <f>SUM(F9:F11)</f>
        <v>0.10669999999999999</v>
      </c>
    </row>
    <row r="17" spans="2:2" x14ac:dyDescent="0.25">
      <c r="B17" t="s">
        <v>118</v>
      </c>
    </row>
  </sheetData>
  <pageMargins left="0.7" right="0.7" top="0.75" bottom="0.75" header="0.5" footer="0.3"/>
  <pageSetup scale="93" orientation="landscape" r:id="rId1"/>
  <headerFooter>
    <oddHeader>&amp;R&amp;"Times New Roman,Bold"&amp;9KyPSC Case No. 2015-00210
STAFF-DR-01-015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60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4.140625" bestFit="1" customWidth="1"/>
    <col min="5" max="5" width="16.7109375" customWidth="1"/>
    <col min="6" max="6" width="17.7109375" bestFit="1" customWidth="1"/>
  </cols>
  <sheetData>
    <row r="1" spans="1:6" x14ac:dyDescent="0.25">
      <c r="A1" s="5"/>
      <c r="D1" s="5"/>
      <c r="E1" s="5"/>
      <c r="F1" s="5"/>
    </row>
    <row r="2" spans="1:6" x14ac:dyDescent="0.25">
      <c r="A2" s="5"/>
      <c r="C2" s="8"/>
      <c r="D2" s="4" t="str">
        <f>+'Sch 1.2'!D2</f>
        <v>Duke Energy Kentucky</v>
      </c>
      <c r="F2" s="5"/>
    </row>
    <row r="3" spans="1:6" x14ac:dyDescent="0.25">
      <c r="A3" s="5"/>
      <c r="D3" s="4" t="str">
        <f>+'Sch 1.2'!D3</f>
        <v>Annual Adjustment to the Accelerated Services Replacement Program ("ASRP")</v>
      </c>
      <c r="F3" s="5"/>
    </row>
    <row r="4" spans="1:6" x14ac:dyDescent="0.25">
      <c r="A4" s="5"/>
      <c r="D4" s="4" t="s">
        <v>156</v>
      </c>
      <c r="F4" s="5"/>
    </row>
    <row r="5" spans="1:6" x14ac:dyDescent="0.25">
      <c r="A5" s="5"/>
      <c r="D5" s="5"/>
      <c r="F5" s="5"/>
    </row>
    <row r="6" spans="1:6" x14ac:dyDescent="0.25">
      <c r="A6" s="5"/>
      <c r="D6" s="5"/>
      <c r="E6" s="5"/>
      <c r="F6" s="4" t="s">
        <v>82</v>
      </c>
    </row>
    <row r="7" spans="1:6" x14ac:dyDescent="0.25">
      <c r="A7" s="3"/>
      <c r="B7" s="3"/>
      <c r="C7" s="3" t="s">
        <v>75</v>
      </c>
      <c r="D7" s="3" t="s">
        <v>79</v>
      </c>
      <c r="E7" s="4" t="s">
        <v>77</v>
      </c>
      <c r="F7" s="4" t="s">
        <v>83</v>
      </c>
    </row>
    <row r="8" spans="1:6" x14ac:dyDescent="0.25">
      <c r="A8" s="9" t="s">
        <v>26</v>
      </c>
      <c r="B8" s="9" t="s">
        <v>18</v>
      </c>
      <c r="C8" s="9" t="s">
        <v>76</v>
      </c>
      <c r="D8" s="9" t="s">
        <v>80</v>
      </c>
      <c r="E8" s="9" t="s">
        <v>78</v>
      </c>
      <c r="F8" s="9" t="s">
        <v>84</v>
      </c>
    </row>
    <row r="9" spans="1:6" x14ac:dyDescent="0.25">
      <c r="B9" s="26" t="s">
        <v>85</v>
      </c>
      <c r="C9" s="26" t="s">
        <v>86</v>
      </c>
      <c r="D9" s="26" t="s">
        <v>87</v>
      </c>
      <c r="E9" s="26" t="s">
        <v>88</v>
      </c>
      <c r="F9" s="26" t="s">
        <v>120</v>
      </c>
    </row>
    <row r="11" spans="1:6" x14ac:dyDescent="0.25">
      <c r="B11" s="10" t="s">
        <v>81</v>
      </c>
    </row>
    <row r="12" spans="1:6" x14ac:dyDescent="0.25">
      <c r="A12">
        <v>1</v>
      </c>
      <c r="B12" t="s">
        <v>89</v>
      </c>
      <c r="C12" s="29" t="s">
        <v>92</v>
      </c>
      <c r="D12" s="13">
        <f>+'Sch 2.2'!E25</f>
        <v>2165383</v>
      </c>
      <c r="E12" s="31">
        <v>2.5899999999999999E-2</v>
      </c>
      <c r="F12" s="1">
        <f>ROUND(D12*E12,0)</f>
        <v>56083</v>
      </c>
    </row>
    <row r="13" spans="1:6" ht="17.25" x14ac:dyDescent="0.4">
      <c r="A13">
        <f>A12+1</f>
        <v>2</v>
      </c>
      <c r="B13" t="s">
        <v>90</v>
      </c>
      <c r="C13" s="29" t="s">
        <v>93</v>
      </c>
      <c r="D13" s="34">
        <v>0</v>
      </c>
      <c r="E13" s="31">
        <v>2.3900000000000001E-2</v>
      </c>
      <c r="F13" s="19">
        <f>ROUND(D13*E13,0)</f>
        <v>0</v>
      </c>
    </row>
    <row r="14" spans="1:6" x14ac:dyDescent="0.25">
      <c r="A14">
        <f t="shared" ref="A14" si="0">A13+1</f>
        <v>3</v>
      </c>
      <c r="B14" t="s">
        <v>91</v>
      </c>
      <c r="C14" s="27"/>
      <c r="D14" s="30">
        <f>SUM(D12:D13)</f>
        <v>2165383</v>
      </c>
      <c r="E14" s="28"/>
      <c r="F14" s="30">
        <f>SUM(F12:F13)</f>
        <v>56083</v>
      </c>
    </row>
    <row r="15" spans="1:6" x14ac:dyDescent="0.25">
      <c r="C15" s="20"/>
      <c r="E15" s="23"/>
    </row>
    <row r="16" spans="1:6" x14ac:dyDescent="0.25">
      <c r="B16" s="10" t="s">
        <v>94</v>
      </c>
    </row>
    <row r="17" spans="1:6" x14ac:dyDescent="0.25">
      <c r="A17">
        <f>A14+1</f>
        <v>4</v>
      </c>
      <c r="B17" t="s">
        <v>89</v>
      </c>
      <c r="C17" s="29" t="s">
        <v>92</v>
      </c>
      <c r="D17" s="13">
        <f>+'Sch 2.2'!G25</f>
        <v>-200878</v>
      </c>
      <c r="E17" s="31">
        <v>2.5899999999999999E-2</v>
      </c>
      <c r="F17" s="1">
        <f t="shared" ref="F17:F18" si="1">ROUND(D17*E17,0)</f>
        <v>-5203</v>
      </c>
    </row>
    <row r="18" spans="1:6" ht="17.25" x14ac:dyDescent="0.4">
      <c r="A18">
        <f>A17+1</f>
        <v>5</v>
      </c>
      <c r="B18" t="s">
        <v>90</v>
      </c>
      <c r="C18" s="29" t="s">
        <v>93</v>
      </c>
      <c r="D18" s="34">
        <v>0</v>
      </c>
      <c r="E18" s="31">
        <v>2.3900000000000001E-2</v>
      </c>
      <c r="F18" s="1">
        <f t="shared" si="1"/>
        <v>0</v>
      </c>
    </row>
    <row r="19" spans="1:6" x14ac:dyDescent="0.25">
      <c r="A19">
        <f>A18+1</f>
        <v>6</v>
      </c>
      <c r="B19" t="s">
        <v>95</v>
      </c>
      <c r="D19" s="30">
        <f>SUM(D17:D18)</f>
        <v>-200878</v>
      </c>
      <c r="F19" s="30">
        <f>SUM(F17:F18)</f>
        <v>-5203</v>
      </c>
    </row>
    <row r="21" spans="1:6" ht="15.75" thickBot="1" x14ac:dyDescent="0.3">
      <c r="A21">
        <f>A19+1</f>
        <v>7</v>
      </c>
      <c r="B21" s="10" t="s">
        <v>121</v>
      </c>
      <c r="D21" s="35">
        <f>D14+D19</f>
        <v>1964505</v>
      </c>
      <c r="F21" s="35">
        <f>F14+F19</f>
        <v>50880</v>
      </c>
    </row>
    <row r="22" spans="1:6" ht="15.75" thickTop="1" x14ac:dyDescent="0.25"/>
    <row r="23" spans="1:6" x14ac:dyDescent="0.25">
      <c r="B23" s="10" t="s">
        <v>45</v>
      </c>
    </row>
    <row r="24" spans="1:6" ht="17.25" x14ac:dyDescent="0.4">
      <c r="A24">
        <f>A21+1</f>
        <v>8</v>
      </c>
      <c r="B24" t="s">
        <v>89</v>
      </c>
      <c r="C24" s="29" t="s">
        <v>92</v>
      </c>
      <c r="D24" s="34"/>
    </row>
    <row r="25" spans="1:6" x14ac:dyDescent="0.25">
      <c r="A25">
        <f>A24+1</f>
        <v>9</v>
      </c>
      <c r="B25" s="36" t="s">
        <v>96</v>
      </c>
      <c r="D25" s="30">
        <f>D24</f>
        <v>0</v>
      </c>
    </row>
    <row r="27" spans="1:6" x14ac:dyDescent="0.25">
      <c r="A27" t="s">
        <v>66</v>
      </c>
    </row>
    <row r="28" spans="1:6" x14ac:dyDescent="0.25">
      <c r="A28" s="25" t="s">
        <v>155</v>
      </c>
    </row>
  </sheetData>
  <pageMargins left="0.7" right="0.7" top="0.75" bottom="0.75" header="0.5" footer="0.3"/>
  <pageSetup scale="93" orientation="landscape" r:id="rId1"/>
  <headerFooter>
    <oddHeader>&amp;R&amp;"Times New Roman,Bold"&amp;9KyPSC Case No. 2015-00210
STAFF-DR-01-015 Attachment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35.85546875" customWidth="1"/>
    <col min="3" max="3" width="13.5703125" customWidth="1"/>
    <col min="4" max="4" width="16.7109375" customWidth="1"/>
  </cols>
  <sheetData>
    <row r="1" spans="1:9" ht="14.45" x14ac:dyDescent="0.3">
      <c r="A1" s="5"/>
      <c r="B1" s="52"/>
      <c r="D1" s="5"/>
    </row>
    <row r="2" spans="1:9" ht="15" customHeight="1" x14ac:dyDescent="0.3">
      <c r="A2" s="76" t="str">
        <f>+'Sch 2.0'!D2</f>
        <v>Duke Energy Kentucky</v>
      </c>
      <c r="B2" s="76"/>
      <c r="C2" s="76"/>
      <c r="D2" s="76"/>
      <c r="E2" s="76"/>
      <c r="F2" s="76"/>
      <c r="G2" s="76"/>
      <c r="H2" s="76"/>
    </row>
    <row r="3" spans="1:9" ht="14.45" x14ac:dyDescent="0.3">
      <c r="A3" s="76" t="str">
        <f>+'Sch 2.0'!D3</f>
        <v>Annual Adjustment to the Accelerated Services Replacement Program ("ASRP")</v>
      </c>
      <c r="B3" s="76"/>
      <c r="C3" s="76"/>
      <c r="D3" s="76"/>
      <c r="E3" s="76"/>
      <c r="F3" s="76"/>
      <c r="G3" s="76"/>
      <c r="H3" s="76"/>
      <c r="I3" s="75"/>
    </row>
    <row r="4" spans="1:9" ht="14.45" x14ac:dyDescent="0.3">
      <c r="A4" s="76" t="s">
        <v>48</v>
      </c>
      <c r="B4" s="76"/>
      <c r="C4" s="76"/>
      <c r="D4" s="76"/>
      <c r="E4" s="76"/>
      <c r="F4" s="76"/>
      <c r="G4" s="76"/>
      <c r="H4" s="76"/>
    </row>
    <row r="5" spans="1:9" ht="14.45" x14ac:dyDescent="0.3">
      <c r="A5" s="5"/>
      <c r="D5" s="5"/>
    </row>
    <row r="6" spans="1:9" x14ac:dyDescent="0.25">
      <c r="A6" s="5"/>
      <c r="D6" s="5" t="s">
        <v>134</v>
      </c>
    </row>
    <row r="7" spans="1:9" x14ac:dyDescent="0.25">
      <c r="A7" s="4"/>
      <c r="B7" s="4"/>
      <c r="C7" s="4"/>
      <c r="D7" s="4" t="s">
        <v>135</v>
      </c>
    </row>
    <row r="8" spans="1:9" x14ac:dyDescent="0.25">
      <c r="A8" s="9" t="s">
        <v>26</v>
      </c>
      <c r="B8" s="9"/>
      <c r="C8" s="9"/>
      <c r="D8" s="9">
        <v>2016</v>
      </c>
    </row>
    <row r="9" spans="1:9" x14ac:dyDescent="0.25">
      <c r="B9" s="26"/>
      <c r="C9" s="26"/>
      <c r="D9" s="26"/>
    </row>
    <row r="10" spans="1:9" x14ac:dyDescent="0.25">
      <c r="A10" s="5"/>
    </row>
    <row r="11" spans="1:9" x14ac:dyDescent="0.25">
      <c r="A11" s="5">
        <v>1</v>
      </c>
      <c r="B11" t="s">
        <v>97</v>
      </c>
      <c r="C11" s="29"/>
      <c r="D11" s="51">
        <f>+'Sch 2.0'!D14</f>
        <v>2165383</v>
      </c>
    </row>
    <row r="12" spans="1:9" ht="17.25" x14ac:dyDescent="0.4">
      <c r="A12" s="5"/>
      <c r="C12" s="29"/>
      <c r="D12" s="40"/>
    </row>
    <row r="13" spans="1:9" x14ac:dyDescent="0.25">
      <c r="A13" s="5"/>
      <c r="B13" t="s">
        <v>131</v>
      </c>
      <c r="C13" s="47"/>
      <c r="D13" s="43"/>
    </row>
    <row r="14" spans="1:9" x14ac:dyDescent="0.25">
      <c r="A14" s="5">
        <v>2</v>
      </c>
      <c r="B14" t="s">
        <v>132</v>
      </c>
      <c r="C14" s="48"/>
      <c r="D14" s="53">
        <v>0</v>
      </c>
    </row>
    <row r="15" spans="1:9" x14ac:dyDescent="0.25">
      <c r="A15" s="5">
        <f t="shared" ref="A15:A21" si="0">A14+1</f>
        <v>3</v>
      </c>
      <c r="B15" t="s">
        <v>143</v>
      </c>
      <c r="C15" s="48"/>
      <c r="D15" s="54">
        <f>+D11</f>
        <v>2165383</v>
      </c>
    </row>
    <row r="16" spans="1:9" x14ac:dyDescent="0.25">
      <c r="A16" s="60">
        <f t="shared" si="0"/>
        <v>4</v>
      </c>
      <c r="B16" s="36" t="s">
        <v>136</v>
      </c>
      <c r="C16" s="48"/>
      <c r="D16" s="55">
        <f>+D14+D15</f>
        <v>2165383</v>
      </c>
    </row>
    <row r="17" spans="1:4" x14ac:dyDescent="0.25">
      <c r="A17" s="5"/>
      <c r="B17" s="10"/>
      <c r="C17" s="48"/>
      <c r="D17" s="55"/>
    </row>
    <row r="18" spans="1:4" x14ac:dyDescent="0.25">
      <c r="A18" s="5"/>
      <c r="B18" s="36" t="s">
        <v>23</v>
      </c>
      <c r="C18" s="29"/>
      <c r="D18" s="56"/>
    </row>
    <row r="19" spans="1:4" x14ac:dyDescent="0.25">
      <c r="A19" s="5">
        <v>5</v>
      </c>
      <c r="B19" t="s">
        <v>132</v>
      </c>
      <c r="C19" s="48"/>
      <c r="D19" s="53">
        <f>ROUND(D14*0.5,0)</f>
        <v>0</v>
      </c>
    </row>
    <row r="20" spans="1:4" x14ac:dyDescent="0.25">
      <c r="A20" s="5">
        <f t="shared" si="0"/>
        <v>6</v>
      </c>
      <c r="B20" t="s">
        <v>133</v>
      </c>
      <c r="C20" s="48"/>
      <c r="D20" s="54">
        <f>ROUND(D15*0.0375,0)</f>
        <v>81202</v>
      </c>
    </row>
    <row r="21" spans="1:4" x14ac:dyDescent="0.25">
      <c r="A21" s="5">
        <f t="shared" si="0"/>
        <v>7</v>
      </c>
      <c r="B21" s="36" t="s">
        <v>137</v>
      </c>
      <c r="C21" s="48"/>
      <c r="D21" s="58">
        <f>+D19+D20</f>
        <v>81202</v>
      </c>
    </row>
    <row r="22" spans="1:4" x14ac:dyDescent="0.25">
      <c r="A22" s="5"/>
      <c r="B22" s="36"/>
      <c r="C22" s="48"/>
      <c r="D22" s="55"/>
    </row>
    <row r="23" spans="1:4" x14ac:dyDescent="0.25">
      <c r="A23" s="5"/>
      <c r="B23" s="36"/>
      <c r="D23" s="57"/>
    </row>
    <row r="24" spans="1:4" x14ac:dyDescent="0.25">
      <c r="A24" s="5">
        <f>+A21+1</f>
        <v>8</v>
      </c>
      <c r="B24" s="36" t="s">
        <v>138</v>
      </c>
      <c r="D24" s="57">
        <f>+'Sch 2.0'!F14</f>
        <v>56083</v>
      </c>
    </row>
    <row r="25" spans="1:4" x14ac:dyDescent="0.25">
      <c r="A25" s="5"/>
      <c r="B25" s="36"/>
      <c r="D25" s="57"/>
    </row>
    <row r="26" spans="1:4" x14ac:dyDescent="0.25">
      <c r="A26" s="5">
        <f>A24+1</f>
        <v>9</v>
      </c>
      <c r="B26" s="36" t="s">
        <v>139</v>
      </c>
      <c r="D26" s="57">
        <f>+D21-D24</f>
        <v>25119</v>
      </c>
    </row>
    <row r="27" spans="1:4" x14ac:dyDescent="0.25">
      <c r="A27" s="5"/>
      <c r="B27" s="36"/>
      <c r="D27" s="57"/>
    </row>
    <row r="28" spans="1:4" x14ac:dyDescent="0.25">
      <c r="A28" s="5">
        <f>+A26+1</f>
        <v>10</v>
      </c>
      <c r="B28" s="36" t="s">
        <v>45</v>
      </c>
      <c r="D28" s="57">
        <f>+'Sch 1.1'!F13</f>
        <v>0</v>
      </c>
    </row>
    <row r="29" spans="1:4" x14ac:dyDescent="0.25">
      <c r="A29" s="5">
        <f>+A28+1</f>
        <v>11</v>
      </c>
      <c r="B29" s="36" t="s">
        <v>141</v>
      </c>
      <c r="D29" s="57">
        <f>+D26+D28</f>
        <v>25119</v>
      </c>
    </row>
    <row r="30" spans="1:4" x14ac:dyDescent="0.25">
      <c r="A30" s="5"/>
      <c r="B30" s="36"/>
      <c r="D30" s="57"/>
    </row>
    <row r="31" spans="1:4" x14ac:dyDescent="0.25">
      <c r="A31" s="5">
        <f>A26+1</f>
        <v>10</v>
      </c>
      <c r="B31" t="s">
        <v>140</v>
      </c>
      <c r="C31" s="59">
        <v>0.38469999999999999</v>
      </c>
      <c r="D31" s="55">
        <f>ROUND(D29*C31,0)</f>
        <v>9663</v>
      </c>
    </row>
    <row r="32" spans="1:4" x14ac:dyDescent="0.25">
      <c r="A32" s="5"/>
    </row>
    <row r="33" spans="1:1" x14ac:dyDescent="0.25">
      <c r="A33" s="5"/>
    </row>
    <row r="34" spans="1:1" x14ac:dyDescent="0.25">
      <c r="A34" s="6"/>
    </row>
  </sheetData>
  <mergeCells count="3">
    <mergeCell ref="A2:H2"/>
    <mergeCell ref="A3:H3"/>
    <mergeCell ref="A4:H4"/>
  </mergeCells>
  <pageMargins left="0.7" right="0.7" top="0.75" bottom="0.75" header="0.5" footer="0.3"/>
  <pageSetup scale="93" orientation="landscape" r:id="rId1"/>
  <headerFooter>
    <oddHeader>&amp;R&amp;"Times New Roman,Bold"&amp;9KyPSC Case No. 2015-00210
STAFF-DR-01-015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5" width="17.42578125" customWidth="1"/>
    <col min="6" max="7" width="16.7109375" customWidth="1"/>
    <col min="8" max="8" width="17.7109375" customWidth="1"/>
    <col min="9" max="9" width="14.140625" bestFit="1" customWidth="1"/>
  </cols>
  <sheetData>
    <row r="1" spans="1:10" x14ac:dyDescent="0.25">
      <c r="A1" s="5"/>
      <c r="F1" s="5"/>
      <c r="G1" s="5"/>
      <c r="H1" s="5"/>
      <c r="I1" s="5"/>
    </row>
    <row r="2" spans="1:10" x14ac:dyDescent="0.25">
      <c r="A2" s="5"/>
      <c r="D2" s="4" t="str">
        <f>+'Sch 2.0'!D2</f>
        <v>Duke Energy Kentucky</v>
      </c>
      <c r="E2" s="4"/>
      <c r="H2" s="5"/>
      <c r="I2" s="5"/>
    </row>
    <row r="3" spans="1:10" x14ac:dyDescent="0.25">
      <c r="A3" s="5"/>
      <c r="D3" s="4" t="str">
        <f>+'Sch 2.0'!D3</f>
        <v>Annual Adjustment to the Accelerated Services Replacement Program ("ASRP")</v>
      </c>
      <c r="E3" s="4"/>
      <c r="H3" s="5"/>
      <c r="I3" s="5"/>
    </row>
    <row r="4" spans="1:10" x14ac:dyDescent="0.25">
      <c r="A4" s="5"/>
      <c r="D4" s="4" t="s">
        <v>109</v>
      </c>
      <c r="E4" s="4"/>
      <c r="H4" s="5"/>
      <c r="I4" s="5"/>
    </row>
    <row r="5" spans="1:10" x14ac:dyDescent="0.25">
      <c r="A5" s="5"/>
      <c r="F5" s="5"/>
      <c r="G5" s="5"/>
      <c r="H5" s="5"/>
      <c r="I5" s="5"/>
    </row>
    <row r="6" spans="1:10" x14ac:dyDescent="0.25">
      <c r="A6" s="5"/>
      <c r="F6" s="5"/>
      <c r="G6" s="5"/>
      <c r="H6" s="5"/>
      <c r="I6" s="5"/>
    </row>
    <row r="7" spans="1:10" x14ac:dyDescent="0.25">
      <c r="A7" s="41" t="s">
        <v>151</v>
      </c>
      <c r="F7" s="5"/>
      <c r="G7" s="5"/>
      <c r="H7" s="5"/>
      <c r="I7" s="5"/>
    </row>
    <row r="8" spans="1:10" x14ac:dyDescent="0.25">
      <c r="A8" s="5"/>
      <c r="F8" s="5"/>
      <c r="G8" s="5"/>
      <c r="H8" s="5"/>
      <c r="I8" s="5"/>
    </row>
    <row r="9" spans="1:10" x14ac:dyDescent="0.25">
      <c r="A9" s="4"/>
      <c r="B9" s="4"/>
      <c r="C9" s="4" t="s">
        <v>99</v>
      </c>
      <c r="D9" s="4"/>
      <c r="E9" s="4"/>
      <c r="F9" s="4"/>
      <c r="G9" s="4"/>
      <c r="H9" s="4"/>
      <c r="I9" s="4" t="s">
        <v>53</v>
      </c>
    </row>
    <row r="10" spans="1:10" x14ac:dyDescent="0.25">
      <c r="A10" s="9" t="s">
        <v>26</v>
      </c>
      <c r="B10" s="9" t="s">
        <v>98</v>
      </c>
      <c r="C10" s="9" t="s">
        <v>100</v>
      </c>
      <c r="D10" s="9" t="s">
        <v>154</v>
      </c>
      <c r="E10" s="9" t="s">
        <v>111</v>
      </c>
      <c r="F10" s="9" t="s">
        <v>94</v>
      </c>
      <c r="G10" s="9" t="s">
        <v>111</v>
      </c>
      <c r="H10" s="9" t="s">
        <v>45</v>
      </c>
      <c r="I10" s="9" t="s">
        <v>101</v>
      </c>
    </row>
    <row r="11" spans="1:10" x14ac:dyDescent="0.25">
      <c r="B11" s="26" t="s">
        <v>107</v>
      </c>
      <c r="C11" s="26" t="s">
        <v>108</v>
      </c>
      <c r="D11" s="26" t="s">
        <v>110</v>
      </c>
      <c r="E11" s="26" t="s">
        <v>113</v>
      </c>
      <c r="F11" s="26" t="s">
        <v>112</v>
      </c>
      <c r="G11" s="26" t="s">
        <v>114</v>
      </c>
      <c r="H11" s="26"/>
      <c r="I11" s="26"/>
    </row>
    <row r="13" spans="1:10" ht="17.25" x14ac:dyDescent="0.4">
      <c r="A13">
        <v>1</v>
      </c>
      <c r="B13" s="42">
        <v>42370</v>
      </c>
      <c r="C13" s="44">
        <v>12</v>
      </c>
      <c r="D13" s="32">
        <v>0</v>
      </c>
      <c r="E13" s="32">
        <f>ROUND((C13/13)*D13,0)</f>
        <v>0</v>
      </c>
      <c r="F13" s="34"/>
      <c r="G13" s="32">
        <f>ROUND((C13/13)*F13,0)</f>
        <v>0</v>
      </c>
      <c r="H13" s="30"/>
      <c r="I13" s="32"/>
      <c r="J13" s="38"/>
    </row>
    <row r="14" spans="1:10" ht="17.25" x14ac:dyDescent="0.4">
      <c r="A14">
        <f>A13+1</f>
        <v>2</v>
      </c>
      <c r="B14" s="42">
        <v>42401</v>
      </c>
      <c r="C14" s="44">
        <f>C13-1</f>
        <v>11</v>
      </c>
      <c r="D14" s="32">
        <v>0</v>
      </c>
      <c r="E14" s="32">
        <f t="shared" ref="E14:E23" si="0">ROUND((C14/13)*D14,0)</f>
        <v>0</v>
      </c>
      <c r="F14" s="43"/>
      <c r="G14" s="32">
        <f t="shared" ref="G14:G24" si="1">ROUND((C14/13)*F14,0)</f>
        <v>0</v>
      </c>
      <c r="H14" s="33"/>
      <c r="I14" s="34"/>
      <c r="J14" s="38"/>
    </row>
    <row r="15" spans="1:10" x14ac:dyDescent="0.25">
      <c r="A15">
        <f t="shared" ref="A15:A24" si="2">A14+1</f>
        <v>3</v>
      </c>
      <c r="B15" s="42">
        <v>42430</v>
      </c>
      <c r="C15" s="44">
        <f t="shared" ref="C15:C24" si="3">C14-1</f>
        <v>10</v>
      </c>
      <c r="D15" s="32">
        <v>50000</v>
      </c>
      <c r="E15" s="32">
        <f t="shared" si="0"/>
        <v>38462</v>
      </c>
      <c r="F15" s="53">
        <v>-4638</v>
      </c>
      <c r="G15" s="32">
        <f t="shared" si="1"/>
        <v>-3568</v>
      </c>
      <c r="H15" s="30"/>
      <c r="I15" s="30"/>
      <c r="J15" s="38"/>
    </row>
    <row r="16" spans="1:10" x14ac:dyDescent="0.25">
      <c r="A16">
        <f t="shared" si="2"/>
        <v>4</v>
      </c>
      <c r="B16" s="42">
        <v>42461</v>
      </c>
      <c r="C16" s="44">
        <f t="shared" si="3"/>
        <v>9</v>
      </c>
      <c r="D16" s="32">
        <v>250000</v>
      </c>
      <c r="E16" s="32">
        <f t="shared" si="0"/>
        <v>173077</v>
      </c>
      <c r="F16" s="53">
        <v>-23192</v>
      </c>
      <c r="G16" s="32">
        <f t="shared" si="1"/>
        <v>-16056</v>
      </c>
      <c r="H16" s="23"/>
    </row>
    <row r="17" spans="1:9" x14ac:dyDescent="0.25">
      <c r="A17">
        <f t="shared" si="2"/>
        <v>5</v>
      </c>
      <c r="B17" s="42">
        <v>42491</v>
      </c>
      <c r="C17" s="44">
        <f t="shared" si="3"/>
        <v>8</v>
      </c>
      <c r="D17" s="32">
        <v>500000</v>
      </c>
      <c r="E17" s="32">
        <f t="shared" si="0"/>
        <v>307692</v>
      </c>
      <c r="F17" s="53">
        <v>-46384</v>
      </c>
      <c r="G17" s="32">
        <f t="shared" si="1"/>
        <v>-28544</v>
      </c>
    </row>
    <row r="18" spans="1:9" x14ac:dyDescent="0.25">
      <c r="A18">
        <f t="shared" si="2"/>
        <v>6</v>
      </c>
      <c r="B18" s="42">
        <v>42522</v>
      </c>
      <c r="C18" s="44">
        <f t="shared" si="3"/>
        <v>7</v>
      </c>
      <c r="D18" s="32">
        <v>750000</v>
      </c>
      <c r="E18" s="32">
        <f t="shared" si="0"/>
        <v>403846</v>
      </c>
      <c r="F18" s="53">
        <v>-69576</v>
      </c>
      <c r="G18" s="32">
        <f t="shared" si="1"/>
        <v>-37464</v>
      </c>
      <c r="H18" s="1"/>
      <c r="I18" s="13"/>
    </row>
    <row r="19" spans="1:9" ht="17.25" x14ac:dyDescent="0.4">
      <c r="A19">
        <f t="shared" si="2"/>
        <v>7</v>
      </c>
      <c r="B19" s="42">
        <v>42552</v>
      </c>
      <c r="C19" s="44">
        <f t="shared" si="3"/>
        <v>6</v>
      </c>
      <c r="D19" s="32">
        <v>1000000</v>
      </c>
      <c r="E19" s="32">
        <f t="shared" si="0"/>
        <v>461538</v>
      </c>
      <c r="F19" s="53">
        <v>-92768</v>
      </c>
      <c r="G19" s="32">
        <f t="shared" si="1"/>
        <v>-42816</v>
      </c>
      <c r="H19" s="33"/>
      <c r="I19" s="34"/>
    </row>
    <row r="20" spans="1:9" x14ac:dyDescent="0.25">
      <c r="A20">
        <f t="shared" si="2"/>
        <v>8</v>
      </c>
      <c r="B20" s="42">
        <v>42583</v>
      </c>
      <c r="C20" s="44">
        <f t="shared" si="3"/>
        <v>5</v>
      </c>
      <c r="D20" s="32">
        <v>1000000</v>
      </c>
      <c r="E20" s="32">
        <f t="shared" si="0"/>
        <v>384615</v>
      </c>
      <c r="F20" s="53">
        <v>-92768</v>
      </c>
      <c r="G20" s="32">
        <f t="shared" si="1"/>
        <v>-35680</v>
      </c>
      <c r="H20" s="30"/>
      <c r="I20" s="30"/>
    </row>
    <row r="21" spans="1:9" x14ac:dyDescent="0.25">
      <c r="A21">
        <f t="shared" si="2"/>
        <v>9</v>
      </c>
      <c r="B21" s="42">
        <v>42615</v>
      </c>
      <c r="C21" s="44">
        <f t="shared" si="3"/>
        <v>4</v>
      </c>
      <c r="D21" s="32">
        <v>1000000</v>
      </c>
      <c r="E21" s="32">
        <f t="shared" si="0"/>
        <v>307692</v>
      </c>
      <c r="F21" s="53">
        <v>-92768</v>
      </c>
      <c r="G21" s="32">
        <f t="shared" si="1"/>
        <v>-28544</v>
      </c>
      <c r="H21" s="38"/>
      <c r="I21" s="38"/>
    </row>
    <row r="22" spans="1:9" x14ac:dyDescent="0.25">
      <c r="A22">
        <f t="shared" si="2"/>
        <v>10</v>
      </c>
      <c r="B22" s="42">
        <v>42644</v>
      </c>
      <c r="C22" s="44">
        <f t="shared" si="3"/>
        <v>3</v>
      </c>
      <c r="D22" s="32">
        <v>250000</v>
      </c>
      <c r="E22" s="32">
        <f t="shared" si="0"/>
        <v>57692</v>
      </c>
      <c r="F22" s="53">
        <v>-23192</v>
      </c>
      <c r="G22" s="32">
        <f t="shared" si="1"/>
        <v>-5352</v>
      </c>
      <c r="H22" s="39"/>
      <c r="I22" s="39"/>
    </row>
    <row r="23" spans="1:9" x14ac:dyDescent="0.25">
      <c r="A23">
        <f t="shared" si="2"/>
        <v>11</v>
      </c>
      <c r="B23" s="42">
        <v>42675</v>
      </c>
      <c r="C23" s="44">
        <f t="shared" si="3"/>
        <v>2</v>
      </c>
      <c r="D23" s="32">
        <v>200000</v>
      </c>
      <c r="E23" s="32">
        <f t="shared" si="0"/>
        <v>30769</v>
      </c>
      <c r="F23" s="53">
        <v>-18554</v>
      </c>
      <c r="G23" s="32">
        <f t="shared" si="1"/>
        <v>-2854</v>
      </c>
      <c r="H23" s="38"/>
      <c r="I23" s="38"/>
    </row>
    <row r="24" spans="1:9" ht="17.25" x14ac:dyDescent="0.4">
      <c r="A24">
        <f t="shared" si="2"/>
        <v>12</v>
      </c>
      <c r="B24" s="42">
        <v>42705</v>
      </c>
      <c r="C24" s="44">
        <f t="shared" si="3"/>
        <v>1</v>
      </c>
      <c r="D24" s="18">
        <v>0</v>
      </c>
      <c r="E24" s="34">
        <f t="shared" ref="E24" si="4">ROUND((C24/14)*D24,0)</f>
        <v>0</v>
      </c>
      <c r="F24" s="61">
        <f t="shared" ref="F24" si="5">ROUND(-D24*0.09276,0)</f>
        <v>0</v>
      </c>
      <c r="G24" s="32">
        <f t="shared" si="1"/>
        <v>0</v>
      </c>
      <c r="H24" s="37"/>
      <c r="I24" s="37"/>
    </row>
    <row r="25" spans="1:9" x14ac:dyDescent="0.25">
      <c r="D25" s="2">
        <f>SUM(D13:D24)</f>
        <v>5000000</v>
      </c>
      <c r="E25" s="2">
        <f>SUM(E13:E24)</f>
        <v>2165383</v>
      </c>
      <c r="F25" s="2">
        <f t="shared" ref="F25:I25" si="6">SUM(F13:F24)</f>
        <v>-463840</v>
      </c>
      <c r="G25" s="2">
        <f t="shared" si="6"/>
        <v>-200878</v>
      </c>
      <c r="H25" s="2">
        <f t="shared" si="6"/>
        <v>0</v>
      </c>
      <c r="I25" s="2">
        <f t="shared" si="6"/>
        <v>0</v>
      </c>
    </row>
    <row r="26" spans="1:9" x14ac:dyDescent="0.25">
      <c r="A26" t="s">
        <v>66</v>
      </c>
    </row>
    <row r="27" spans="1:9" x14ac:dyDescent="0.25">
      <c r="A27" s="25" t="s">
        <v>102</v>
      </c>
    </row>
  </sheetData>
  <pageMargins left="0.7" right="0.7" top="0.75" bottom="0.75" header="0.5" footer="0.3"/>
  <pageSetup scale="86" orientation="landscape" r:id="rId1"/>
  <headerFooter>
    <oddHeader>&amp;R&amp;"Times New Roman,Bold"&amp;9KyPSC Case No. 2015-00210
STAFF-DR-01-015 Attachment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</cols>
  <sheetData>
    <row r="1" spans="1:9" ht="14.45" x14ac:dyDescent="0.3">
      <c r="A1" s="5"/>
      <c r="B1" s="76" t="str">
        <f>+'Sch 2.2'!D2</f>
        <v>Duke Energy Kentucky</v>
      </c>
      <c r="C1" s="76"/>
      <c r="D1" s="76"/>
      <c r="E1" s="76"/>
      <c r="F1" s="76"/>
      <c r="G1" s="76"/>
      <c r="H1" s="76"/>
    </row>
    <row r="2" spans="1:9" ht="14.45" x14ac:dyDescent="0.3">
      <c r="A2" s="5"/>
      <c r="B2" s="76" t="str">
        <f>+'Sch 2.2'!D3</f>
        <v>Annual Adjustment to the Accelerated Services Replacement Program ("ASRP")</v>
      </c>
      <c r="C2" s="76"/>
      <c r="D2" s="76"/>
      <c r="E2" s="76"/>
      <c r="F2" s="76"/>
      <c r="G2" s="76"/>
      <c r="H2" s="76"/>
      <c r="I2" s="76"/>
    </row>
    <row r="3" spans="1:9" ht="14.45" x14ac:dyDescent="0.3">
      <c r="A3" s="76" t="s">
        <v>130</v>
      </c>
      <c r="B3" s="76"/>
      <c r="C3" s="76"/>
      <c r="D3" s="76"/>
      <c r="E3" s="76"/>
      <c r="F3" s="76"/>
      <c r="G3" s="76"/>
      <c r="H3" s="76"/>
      <c r="I3" s="76"/>
    </row>
    <row r="4" spans="1:9" ht="14.45" x14ac:dyDescent="0.3">
      <c r="A4" s="5"/>
      <c r="D4" s="4"/>
    </row>
    <row r="5" spans="1:9" x14ac:dyDescent="0.25">
      <c r="A5" s="5"/>
    </row>
    <row r="6" spans="1:9" x14ac:dyDescent="0.25">
      <c r="A6" s="5"/>
    </row>
    <row r="7" spans="1:9" x14ac:dyDescent="0.25">
      <c r="A7" s="41" t="s">
        <v>152</v>
      </c>
    </row>
    <row r="8" spans="1:9" x14ac:dyDescent="0.25">
      <c r="A8" s="5"/>
    </row>
    <row r="9" spans="1:9" x14ac:dyDescent="0.25">
      <c r="A9" s="4"/>
      <c r="B9" s="4"/>
      <c r="C9" s="4"/>
      <c r="D9" s="4"/>
    </row>
    <row r="10" spans="1:9" x14ac:dyDescent="0.25">
      <c r="A10" s="9" t="s">
        <v>26</v>
      </c>
      <c r="B10" s="9" t="s">
        <v>98</v>
      </c>
      <c r="C10" s="9"/>
      <c r="D10" s="9" t="s">
        <v>153</v>
      </c>
    </row>
    <row r="11" spans="1:9" x14ac:dyDescent="0.25">
      <c r="B11" s="26" t="s">
        <v>107</v>
      </c>
      <c r="C11" s="26"/>
      <c r="D11" s="26" t="s">
        <v>108</v>
      </c>
    </row>
    <row r="12" spans="1:9" x14ac:dyDescent="0.25">
      <c r="D12" s="62"/>
      <c r="E12" s="62"/>
    </row>
    <row r="13" spans="1:9" x14ac:dyDescent="0.25">
      <c r="A13">
        <v>1</v>
      </c>
      <c r="B13" s="42">
        <v>42370</v>
      </c>
      <c r="C13" s="44"/>
      <c r="D13" s="63">
        <v>0</v>
      </c>
      <c r="E13" s="62"/>
    </row>
    <row r="14" spans="1:9" x14ac:dyDescent="0.25">
      <c r="A14">
        <f>A13+1</f>
        <v>2</v>
      </c>
      <c r="B14" s="42">
        <v>42401</v>
      </c>
      <c r="C14" s="44"/>
      <c r="D14" s="63">
        <v>0</v>
      </c>
      <c r="E14" s="62"/>
    </row>
    <row r="15" spans="1:9" x14ac:dyDescent="0.25">
      <c r="A15">
        <f t="shared" ref="A15:A24" si="0">A14+1</f>
        <v>3</v>
      </c>
      <c r="B15" s="42">
        <v>42430</v>
      </c>
      <c r="C15" s="44"/>
      <c r="D15" s="63">
        <v>1724</v>
      </c>
      <c r="E15" s="62"/>
    </row>
    <row r="16" spans="1:9" x14ac:dyDescent="0.25">
      <c r="A16">
        <f t="shared" si="0"/>
        <v>4</v>
      </c>
      <c r="B16" s="42">
        <v>42461</v>
      </c>
      <c r="C16" s="44"/>
      <c r="D16" s="63">
        <v>8621</v>
      </c>
      <c r="E16" s="62"/>
    </row>
    <row r="17" spans="1:5" x14ac:dyDescent="0.25">
      <c r="A17">
        <f t="shared" si="0"/>
        <v>5</v>
      </c>
      <c r="B17" s="42">
        <v>42491</v>
      </c>
      <c r="C17" s="44"/>
      <c r="D17" s="63">
        <v>17241</v>
      </c>
      <c r="E17" s="62"/>
    </row>
    <row r="18" spans="1:5" x14ac:dyDescent="0.25">
      <c r="A18">
        <f t="shared" si="0"/>
        <v>6</v>
      </c>
      <c r="B18" s="42">
        <v>42522</v>
      </c>
      <c r="C18" s="44"/>
      <c r="D18" s="63">
        <v>25862</v>
      </c>
      <c r="E18" s="62"/>
    </row>
    <row r="19" spans="1:5" x14ac:dyDescent="0.25">
      <c r="A19">
        <f t="shared" si="0"/>
        <v>7</v>
      </c>
      <c r="B19" s="42">
        <v>42552</v>
      </c>
      <c r="C19" s="44"/>
      <c r="D19" s="63">
        <v>34482</v>
      </c>
      <c r="E19" s="62"/>
    </row>
    <row r="20" spans="1:5" x14ac:dyDescent="0.25">
      <c r="A20">
        <f t="shared" si="0"/>
        <v>8</v>
      </c>
      <c r="B20" s="42">
        <v>42583</v>
      </c>
      <c r="C20" s="44"/>
      <c r="D20" s="63">
        <v>34482</v>
      </c>
      <c r="E20" s="62"/>
    </row>
    <row r="21" spans="1:5" x14ac:dyDescent="0.25">
      <c r="A21">
        <f t="shared" si="0"/>
        <v>9</v>
      </c>
      <c r="B21" s="42">
        <v>42615</v>
      </c>
      <c r="C21" s="44"/>
      <c r="D21" s="63">
        <v>34482</v>
      </c>
      <c r="E21" s="62"/>
    </row>
    <row r="22" spans="1:5" x14ac:dyDescent="0.25">
      <c r="A22">
        <f t="shared" si="0"/>
        <v>10</v>
      </c>
      <c r="B22" s="42">
        <v>42644</v>
      </c>
      <c r="C22" s="44"/>
      <c r="D22" s="63">
        <v>8621</v>
      </c>
      <c r="E22" s="62"/>
    </row>
    <row r="23" spans="1:5" x14ac:dyDescent="0.25">
      <c r="A23">
        <f t="shared" si="0"/>
        <v>11</v>
      </c>
      <c r="B23" s="42">
        <v>42675</v>
      </c>
      <c r="C23" s="44"/>
      <c r="D23" s="63">
        <v>6896</v>
      </c>
      <c r="E23" s="62"/>
    </row>
    <row r="24" spans="1:5" x14ac:dyDescent="0.25">
      <c r="A24">
        <f t="shared" si="0"/>
        <v>12</v>
      </c>
      <c r="B24" s="42">
        <v>42705</v>
      </c>
      <c r="C24" s="44"/>
      <c r="D24" s="64"/>
      <c r="E24" s="62"/>
    </row>
    <row r="25" spans="1:5" x14ac:dyDescent="0.25">
      <c r="D25" s="65">
        <f>SUM(D13:D24)</f>
        <v>172411</v>
      </c>
      <c r="E25" s="62"/>
    </row>
    <row r="26" spans="1:5" x14ac:dyDescent="0.25">
      <c r="D26" s="62"/>
      <c r="E26" s="62"/>
    </row>
    <row r="27" spans="1:5" x14ac:dyDescent="0.25">
      <c r="A27" s="25"/>
      <c r="D27" s="62"/>
      <c r="E27" s="62"/>
    </row>
  </sheetData>
  <mergeCells count="3">
    <mergeCell ref="B1:H1"/>
    <mergeCell ref="B2:I2"/>
    <mergeCell ref="A3:I3"/>
  </mergeCells>
  <pageMargins left="0.7" right="0.7" top="0.75" bottom="0.75" header="0.5" footer="0.3"/>
  <pageSetup scale="93" orientation="landscape" r:id="rId1"/>
  <headerFooter>
    <oddHeader>&amp;R&amp;"Times New Roman,Bold"&amp;9KyPSC Case No. 2015-00210
STAFF-DR-01-015 Attachment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workbookViewId="0">
      <selection activeCell="E25" sqref="A25:E25"/>
    </sheetView>
  </sheetViews>
  <sheetFormatPr defaultRowHeight="15" x14ac:dyDescent="0.25"/>
  <cols>
    <col min="1" max="1" width="8.28515625" bestFit="1" customWidth="1"/>
    <col min="2" max="2" width="34.140625" customWidth="1"/>
    <col min="3" max="3" width="13.5703125" customWidth="1"/>
    <col min="4" max="4" width="17.42578125" customWidth="1"/>
    <col min="5" max="5" width="16.7109375" customWidth="1"/>
    <col min="6" max="6" width="17.7109375" customWidth="1"/>
    <col min="7" max="7" width="14.140625" bestFit="1" customWidth="1"/>
    <col min="8" max="14" width="15.5703125" customWidth="1"/>
    <col min="15" max="15" width="14" customWidth="1"/>
  </cols>
  <sheetData>
    <row r="1" spans="1:15" x14ac:dyDescent="0.25">
      <c r="A1" s="5"/>
      <c r="E1" s="5"/>
      <c r="F1" s="5"/>
      <c r="G1" s="5"/>
    </row>
    <row r="2" spans="1:15" x14ac:dyDescent="0.25">
      <c r="A2" s="5"/>
      <c r="F2" s="5"/>
      <c r="G2" s="4" t="s">
        <v>7</v>
      </c>
    </row>
    <row r="3" spans="1:15" x14ac:dyDescent="0.25">
      <c r="A3" s="5"/>
      <c r="F3" s="5"/>
      <c r="G3" s="4" t="s">
        <v>8</v>
      </c>
    </row>
    <row r="4" spans="1:15" x14ac:dyDescent="0.25">
      <c r="A4" s="5"/>
      <c r="F4" s="5"/>
      <c r="G4" s="4" t="s">
        <v>103</v>
      </c>
    </row>
    <row r="5" spans="1:15" x14ac:dyDescent="0.25">
      <c r="A5" s="5"/>
      <c r="E5" s="5"/>
      <c r="F5" s="5"/>
      <c r="G5" s="4" t="s">
        <v>144</v>
      </c>
    </row>
    <row r="6" spans="1:15" x14ac:dyDescent="0.25">
      <c r="A6" s="5"/>
      <c r="E6" s="5"/>
      <c r="F6" s="5"/>
      <c r="G6" s="5"/>
    </row>
    <row r="7" spans="1:15" x14ac:dyDescent="0.25">
      <c r="A7" s="41"/>
      <c r="E7" s="5"/>
      <c r="F7" s="5"/>
      <c r="G7" s="5"/>
    </row>
    <row r="8" spans="1:15" x14ac:dyDescent="0.25">
      <c r="A8" s="5"/>
      <c r="E8" s="5"/>
      <c r="F8" s="5"/>
      <c r="G8" s="5"/>
    </row>
    <row r="9" spans="1:15" x14ac:dyDescent="0.25">
      <c r="A9" s="4"/>
      <c r="B9" s="4"/>
      <c r="C9" s="4"/>
      <c r="D9" s="4"/>
      <c r="E9" s="4"/>
      <c r="F9" s="4"/>
      <c r="G9" s="4"/>
    </row>
    <row r="10" spans="1:15" x14ac:dyDescent="0.25">
      <c r="A10" s="9" t="s">
        <v>26</v>
      </c>
      <c r="B10" s="9" t="s">
        <v>27</v>
      </c>
      <c r="C10" s="67">
        <v>41760</v>
      </c>
      <c r="D10" s="9" t="s">
        <v>0</v>
      </c>
      <c r="E10" s="9" t="s">
        <v>1</v>
      </c>
      <c r="F10" s="9" t="s">
        <v>2</v>
      </c>
      <c r="G10" s="9" t="s">
        <v>3</v>
      </c>
      <c r="H10" s="9" t="s">
        <v>4</v>
      </c>
      <c r="I10" s="9" t="s">
        <v>5</v>
      </c>
      <c r="J10" s="9" t="s">
        <v>6</v>
      </c>
      <c r="K10" s="68">
        <v>42005</v>
      </c>
      <c r="L10" s="68">
        <v>42036</v>
      </c>
      <c r="M10" s="68">
        <v>42064</v>
      </c>
      <c r="N10" s="68">
        <v>42095</v>
      </c>
      <c r="O10" s="9" t="s">
        <v>37</v>
      </c>
    </row>
    <row r="11" spans="1:15" x14ac:dyDescent="0.25">
      <c r="B11" s="26"/>
      <c r="C11" s="26"/>
      <c r="D11" s="26"/>
      <c r="E11" s="26"/>
      <c r="F11" s="26"/>
      <c r="G11" s="26"/>
    </row>
    <row r="12" spans="1:15" x14ac:dyDescent="0.25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5" ht="30" x14ac:dyDescent="0.25">
      <c r="A13">
        <v>1</v>
      </c>
      <c r="B13" s="73" t="s">
        <v>145</v>
      </c>
      <c r="C13" s="69">
        <v>89464</v>
      </c>
      <c r="D13" s="70">
        <v>88864</v>
      </c>
      <c r="E13" s="70">
        <v>88971</v>
      </c>
      <c r="F13" s="70">
        <v>88733</v>
      </c>
      <c r="G13" s="70">
        <v>88818</v>
      </c>
      <c r="H13" s="71">
        <v>89134</v>
      </c>
      <c r="I13" s="71">
        <v>89501</v>
      </c>
      <c r="J13" s="71">
        <v>90459</v>
      </c>
      <c r="K13" s="71">
        <v>90443</v>
      </c>
      <c r="L13" s="71">
        <v>89912</v>
      </c>
      <c r="M13" s="71">
        <v>90835</v>
      </c>
      <c r="N13" s="71">
        <v>90388</v>
      </c>
      <c r="O13" s="2">
        <f>SUM(C13:N13)</f>
        <v>1075522</v>
      </c>
    </row>
    <row r="14" spans="1:15" ht="30" x14ac:dyDescent="0.25">
      <c r="A14">
        <f>A13+1</f>
        <v>2</v>
      </c>
      <c r="B14" s="73" t="s">
        <v>146</v>
      </c>
      <c r="C14" s="69">
        <v>6814</v>
      </c>
      <c r="D14" s="70">
        <v>6712</v>
      </c>
      <c r="E14" s="72">
        <v>6666</v>
      </c>
      <c r="F14" s="70">
        <v>6632</v>
      </c>
      <c r="G14" s="70">
        <v>6622</v>
      </c>
      <c r="H14" s="71">
        <v>6686</v>
      </c>
      <c r="I14" s="71">
        <v>6898</v>
      </c>
      <c r="J14" s="71">
        <v>7047</v>
      </c>
      <c r="K14" s="71">
        <v>7056</v>
      </c>
      <c r="L14" s="71">
        <v>7044</v>
      </c>
      <c r="M14" s="71">
        <v>7085</v>
      </c>
      <c r="N14" s="71">
        <v>6962</v>
      </c>
      <c r="O14" s="2">
        <f t="shared" ref="O14:O16" si="0">SUM(C14:N14)</f>
        <v>82224</v>
      </c>
    </row>
    <row r="15" spans="1:15" x14ac:dyDescent="0.25">
      <c r="A15">
        <f t="shared" ref="A15:A16" si="1">A14+1</f>
        <v>3</v>
      </c>
      <c r="B15" s="42" t="s">
        <v>147</v>
      </c>
      <c r="C15" s="69">
        <v>1559200</v>
      </c>
      <c r="D15" s="70">
        <v>1315270</v>
      </c>
      <c r="E15" s="72">
        <v>1155330</v>
      </c>
      <c r="F15" s="70">
        <v>1200760</v>
      </c>
      <c r="G15" s="70">
        <v>1160840</v>
      </c>
      <c r="H15" s="71">
        <v>1260760</v>
      </c>
      <c r="I15" s="71">
        <v>1612470</v>
      </c>
      <c r="J15" s="71">
        <v>2303730</v>
      </c>
      <c r="K15" s="71">
        <v>2564820</v>
      </c>
      <c r="L15" s="71">
        <v>3016300</v>
      </c>
      <c r="M15" s="71">
        <v>3099980</v>
      </c>
      <c r="N15" s="71">
        <v>2405810</v>
      </c>
      <c r="O15" s="2">
        <f t="shared" si="0"/>
        <v>22655270</v>
      </c>
    </row>
    <row r="16" spans="1:15" x14ac:dyDescent="0.25">
      <c r="A16">
        <f t="shared" si="1"/>
        <v>4</v>
      </c>
      <c r="B16" s="42" t="s">
        <v>148</v>
      </c>
      <c r="C16" s="69">
        <v>1014380</v>
      </c>
      <c r="D16" s="71">
        <v>1014380</v>
      </c>
      <c r="E16" s="71">
        <v>962760</v>
      </c>
      <c r="F16" s="71">
        <v>1044520</v>
      </c>
      <c r="G16" s="71">
        <v>1001830</v>
      </c>
      <c r="H16" s="71">
        <v>1038880</v>
      </c>
      <c r="I16" s="71">
        <v>1192100</v>
      </c>
      <c r="J16" s="71">
        <v>1228170</v>
      </c>
      <c r="K16" s="71">
        <v>1168650</v>
      </c>
      <c r="L16" s="71">
        <v>1266420</v>
      </c>
      <c r="M16" s="71">
        <v>1220340</v>
      </c>
      <c r="N16" s="71">
        <v>1230010</v>
      </c>
      <c r="O16" s="2">
        <f t="shared" si="0"/>
        <v>13382440</v>
      </c>
    </row>
    <row r="17" spans="1:15" x14ac:dyDescent="0.25">
      <c r="B17" s="42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7"/>
    </row>
    <row r="18" spans="1:15" x14ac:dyDescent="0.25">
      <c r="A18">
        <f>+A16+1</f>
        <v>5</v>
      </c>
      <c r="B18" s="42" t="s">
        <v>37</v>
      </c>
      <c r="C18" s="65">
        <f t="shared" ref="C18:O18" si="2">SUM(C13:C17)</f>
        <v>2669858</v>
      </c>
      <c r="D18" s="65">
        <f t="shared" si="2"/>
        <v>2425226</v>
      </c>
      <c r="E18" s="65">
        <f t="shared" si="2"/>
        <v>2213727</v>
      </c>
      <c r="F18" s="65">
        <f t="shared" si="2"/>
        <v>2340645</v>
      </c>
      <c r="G18" s="65">
        <f t="shared" si="2"/>
        <v>2258110</v>
      </c>
      <c r="H18" s="65">
        <f t="shared" si="2"/>
        <v>2395460</v>
      </c>
      <c r="I18" s="65">
        <f t="shared" si="2"/>
        <v>2900969</v>
      </c>
      <c r="J18" s="65">
        <f t="shared" si="2"/>
        <v>3629406</v>
      </c>
      <c r="K18" s="65">
        <f t="shared" si="2"/>
        <v>3830969</v>
      </c>
      <c r="L18" s="65">
        <f t="shared" si="2"/>
        <v>4379676</v>
      </c>
      <c r="M18" s="65">
        <f t="shared" si="2"/>
        <v>4418240</v>
      </c>
      <c r="N18" s="65">
        <f t="shared" si="2"/>
        <v>3733170</v>
      </c>
      <c r="O18" s="2">
        <f t="shared" si="2"/>
        <v>37195456</v>
      </c>
    </row>
    <row r="19" spans="1:15" x14ac:dyDescent="0.2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5" x14ac:dyDescent="0.25">
      <c r="A20" s="25"/>
    </row>
  </sheetData>
  <pageMargins left="0.7" right="0.7" top="0.75" bottom="0.75" header="0.5" footer="0.3"/>
  <pageSetup scale="50" orientation="landscape" r:id="rId1"/>
  <headerFooter>
    <oddHeader>&amp;R&amp;"Times New Roman,Bold"&amp;9KyPSC Case No. 2015-00210
STAFF-DR-01-015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B451A62C815141B600D3B6CD4E2A9B" ma:contentTypeVersion="3" ma:contentTypeDescription="Create a new document." ma:contentTypeScope="" ma:versionID="b7d4b06efcaed42b41acc7bfb9f9c8ca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Laub</Witness>
  </documentManagement>
</p:properties>
</file>

<file path=customXml/itemProps1.xml><?xml version="1.0" encoding="utf-8"?>
<ds:datastoreItem xmlns:ds="http://schemas.openxmlformats.org/officeDocument/2006/customXml" ds:itemID="{01DF7A6E-17DC-4D23-A37D-74390D9903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1AB28-E206-4C9E-836C-8FBE49B7A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A96B0A-F306-4F03-9130-7D7DDF9D4869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612a682-5ffb-4b9c-9555-0176189351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 Summary</vt:lpstr>
      <vt:lpstr>Sch 1.0</vt:lpstr>
      <vt:lpstr>Sch 1.1</vt:lpstr>
      <vt:lpstr>Sch 1.2</vt:lpstr>
      <vt:lpstr>Sch 2.0</vt:lpstr>
      <vt:lpstr>Sch 2.1</vt:lpstr>
      <vt:lpstr>Sch 2.2</vt:lpstr>
      <vt:lpstr>Sch 2.3</vt:lpstr>
      <vt:lpstr>Sch 3.0</vt:lpstr>
      <vt:lpstr>' Summary'!Print_Area</vt:lpstr>
      <vt:lpstr>'Sch 1.1'!Print_Area</vt:lpstr>
      <vt:lpstr>'Sch 1.2'!Print_Area</vt:lpstr>
      <vt:lpstr>'Sch 2.0'!Print_Area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Revenue Requirement</dc:subject>
  <dc:creator>Shoemaker, Joe</dc:creator>
  <cp:lastModifiedBy>D'Ascenzo, Rocco O</cp:lastModifiedBy>
  <cp:lastPrinted>2015-09-09T15:05:49Z</cp:lastPrinted>
  <dcterms:created xsi:type="dcterms:W3CDTF">2015-04-22T13:48:09Z</dcterms:created>
  <dcterms:modified xsi:type="dcterms:W3CDTF">2015-09-09T15:06:43Z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0x010100B7B451A62C815141B600D3B6CD4E2A9B</vt:lpwstr>
  </property>
</Properties>
</file>