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5565" activeTab="1"/>
  </bookViews>
  <sheets>
    <sheet name="1a" sheetId="1" r:id="rId1"/>
    <sheet name="1b" sheetId="2" r:id="rId2"/>
  </sheets>
  <definedNames>
    <definedName name="_xlnm.Print_Area" localSheetId="0">'1a'!$A$1:$Q$221</definedName>
  </definedNames>
  <calcPr fullCalcOnLoad="1"/>
</workbook>
</file>

<file path=xl/comments1.xml><?xml version="1.0" encoding="utf-8"?>
<comments xmlns="http://schemas.openxmlformats.org/spreadsheetml/2006/main">
  <authors>
    <author>Lindsey Rechtin</author>
  </authors>
  <commentList>
    <comment ref="B101" authorId="0">
      <text>
        <r>
          <rPr>
            <b/>
            <sz val="9"/>
            <rFont val="Tahoma"/>
            <family val="2"/>
          </rPr>
          <t>Lindsey Rechtin:</t>
        </r>
        <r>
          <rPr>
            <sz val="9"/>
            <rFont val="Tahoma"/>
            <family val="2"/>
          </rPr>
          <t xml:space="preserve">
Jessica Ianiro</t>
        </r>
      </text>
    </comment>
    <comment ref="B118" authorId="0">
      <text>
        <r>
          <rPr>
            <b/>
            <sz val="9"/>
            <rFont val="Tahoma"/>
            <family val="2"/>
          </rPr>
          <t>Lindsey Rechtin:</t>
        </r>
        <r>
          <rPr>
            <sz val="9"/>
            <rFont val="Tahoma"/>
            <family val="2"/>
          </rPr>
          <t xml:space="preserve">
Gary Long</t>
        </r>
      </text>
    </comment>
    <comment ref="B129" authorId="0">
      <text>
        <r>
          <rPr>
            <b/>
            <sz val="9"/>
            <rFont val="Tahoma"/>
            <family val="2"/>
          </rPr>
          <t>Lindsey Rechtin:</t>
        </r>
        <r>
          <rPr>
            <sz val="9"/>
            <rFont val="Tahoma"/>
            <family val="2"/>
          </rPr>
          <t xml:space="preserve">
Chris Messmer</t>
        </r>
      </text>
    </comment>
  </commentList>
</comments>
</file>

<file path=xl/sharedStrings.xml><?xml version="1.0" encoding="utf-8"?>
<sst xmlns="http://schemas.openxmlformats.org/spreadsheetml/2006/main" count="1416" uniqueCount="133">
  <si>
    <t>Emp. #</t>
  </si>
  <si>
    <t>Title</t>
  </si>
  <si>
    <t>Mapping Tech</t>
  </si>
  <si>
    <t>Distr. Crew Lead</t>
  </si>
  <si>
    <t>Acct. Serv. Rep</t>
  </si>
  <si>
    <t>Plant Foreperson</t>
  </si>
  <si>
    <t>P.T. Accountant</t>
  </si>
  <si>
    <t>Fieldman</t>
  </si>
  <si>
    <t>Pl. Operator</t>
  </si>
  <si>
    <t>VP Finance/CFO</t>
  </si>
  <si>
    <t>Instru. Specialist</t>
  </si>
  <si>
    <t>Eng. Tech</t>
  </si>
  <si>
    <t>Comp. Supp. Tech</t>
  </si>
  <si>
    <t>Bldg &amp; Grds Tech</t>
  </si>
  <si>
    <t>IT Manager</t>
  </si>
  <si>
    <t>HR Director</t>
  </si>
  <si>
    <t>C. S. Field Rep</t>
  </si>
  <si>
    <t>PT Pl. Operator</t>
  </si>
  <si>
    <t>Instru. Tech</t>
  </si>
  <si>
    <t>Distr. Supervisor</t>
  </si>
  <si>
    <t>Adm. Asst. Eng</t>
  </si>
  <si>
    <t>Pump Mech.</t>
  </si>
  <si>
    <t>Meter Shop Field</t>
  </si>
  <si>
    <t>PT Payroll Clk</t>
  </si>
  <si>
    <t>Database Adm</t>
  </si>
  <si>
    <t>Pl.Maint Supv</t>
  </si>
  <si>
    <t>Instr. Tech</t>
  </si>
  <si>
    <t>PT Pump Mech</t>
  </si>
  <si>
    <t>Distr. Clk</t>
  </si>
  <si>
    <t>Inspector</t>
  </si>
  <si>
    <t>PT Detainee Supv</t>
  </si>
  <si>
    <t>Maint. Foreman</t>
  </si>
  <si>
    <t>Distr Crew Lead</t>
  </si>
  <si>
    <t>PT Lab Clk</t>
  </si>
  <si>
    <t>VP Eng/Prod/Dist</t>
  </si>
  <si>
    <t>Constr. Supv</t>
  </si>
  <si>
    <t>Acctg. Tech</t>
  </si>
  <si>
    <t>Distr. Foreman</t>
  </si>
  <si>
    <t>Instr. Spec</t>
  </si>
  <si>
    <t>Equip. Service</t>
  </si>
  <si>
    <t>Pl. Foreman</t>
  </si>
  <si>
    <t>GIS Spec</t>
  </si>
  <si>
    <t>PT Network Adm</t>
  </si>
  <si>
    <t>Lab Analyst</t>
  </si>
  <si>
    <t>Engineering Mgr</t>
  </si>
  <si>
    <t>Bldg &amp; Grds Crew L</t>
  </si>
  <si>
    <t>Operations Mgr</t>
  </si>
  <si>
    <t>President/CEO</t>
  </si>
  <si>
    <t>Engineering Clk</t>
  </si>
  <si>
    <t>Meter Shop Crew L</t>
  </si>
  <si>
    <t>Scanner</t>
  </si>
  <si>
    <t>Chemistry Supv</t>
  </si>
  <si>
    <t>Inv. Specialist</t>
  </si>
  <si>
    <t>Adm Asst. Exec.</t>
  </si>
  <si>
    <t>C.S. Field Foreman</t>
  </si>
  <si>
    <t>C.S.Field</t>
  </si>
  <si>
    <t>Safety Coordinator</t>
  </si>
  <si>
    <t>Acct. Serv. Crew L</t>
  </si>
  <si>
    <t>Mantainence Mgr</t>
  </si>
  <si>
    <t>Plant Supervisor</t>
  </si>
  <si>
    <t>Distribution Clk</t>
  </si>
  <si>
    <t xml:space="preserve">Chemist </t>
  </si>
  <si>
    <t>Finance Mgr</t>
  </si>
  <si>
    <t>CAD Operator</t>
  </si>
  <si>
    <t>PT Inspector</t>
  </si>
  <si>
    <t>Staff Eng</t>
  </si>
  <si>
    <t>Design Eng Supv</t>
  </si>
  <si>
    <t>Equip. Serv. Crew L</t>
  </si>
  <si>
    <t>Chemist</t>
  </si>
  <si>
    <t>Desing Eng Supv</t>
  </si>
  <si>
    <t>C.S. Field Rep</t>
  </si>
  <si>
    <t>Adm Asst.  WQ&amp;P</t>
  </si>
  <si>
    <t>Acct. Serv. Supv</t>
  </si>
  <si>
    <t>Lab.Tech</t>
  </si>
  <si>
    <t>Security Guard</t>
  </si>
  <si>
    <t>Recep/Clk</t>
  </si>
  <si>
    <t>Lab Co-op</t>
  </si>
  <si>
    <t>Lab Manager</t>
  </si>
  <si>
    <t>Meter Reader</t>
  </si>
  <si>
    <t>C. S. Supervisor</t>
  </si>
  <si>
    <t>Lead Mechanic</t>
  </si>
  <si>
    <t>Equip. Serv</t>
  </si>
  <si>
    <t>Regular</t>
  </si>
  <si>
    <t>Overtime</t>
  </si>
  <si>
    <t>Test Year</t>
  </si>
  <si>
    <t>Hours Worked</t>
  </si>
  <si>
    <t>Hourly Wages</t>
  </si>
  <si>
    <t xml:space="preserve">Calculated </t>
  </si>
  <si>
    <t>Wages</t>
  </si>
  <si>
    <t>Total Wages</t>
  </si>
  <si>
    <t>For Fiscal</t>
  </si>
  <si>
    <t>Yr.-2014</t>
  </si>
  <si>
    <t>Difference</t>
  </si>
  <si>
    <t>Calculated &amp;</t>
  </si>
  <si>
    <t>Explanation</t>
  </si>
  <si>
    <t>Northern Kentucky Water District</t>
  </si>
  <si>
    <t>Case No. 2015-00143</t>
  </si>
  <si>
    <t>Test-Year Payroll Information</t>
  </si>
  <si>
    <t>Schedule 1</t>
  </si>
  <si>
    <t>Witness: Bragg</t>
  </si>
  <si>
    <t>Page 1 of 5</t>
  </si>
  <si>
    <t>Page 2 of 5</t>
  </si>
  <si>
    <t>Page 3 of 5</t>
  </si>
  <si>
    <t>Page 4 of 5</t>
  </si>
  <si>
    <t>Page 5 of 5</t>
  </si>
  <si>
    <t>Totals</t>
  </si>
  <si>
    <t>Schedule 2</t>
  </si>
  <si>
    <t>Pro Forma Payroll Information</t>
  </si>
  <si>
    <t>Pro forma</t>
  </si>
  <si>
    <t>Current Hourly Wages</t>
  </si>
  <si>
    <t>Page 1 of 4</t>
  </si>
  <si>
    <t>Page 2 of 4</t>
  </si>
  <si>
    <t>Page 3 of 4</t>
  </si>
  <si>
    <t>Page 4 of 4</t>
  </si>
  <si>
    <t>N/A</t>
  </si>
  <si>
    <t xml:space="preserve"> </t>
  </si>
  <si>
    <t>Maintenence Mgr</t>
  </si>
  <si>
    <t>Shift</t>
  </si>
  <si>
    <t>Differential</t>
  </si>
  <si>
    <t>Regular Shift</t>
  </si>
  <si>
    <t>Shift Differential</t>
  </si>
  <si>
    <t>Available</t>
  </si>
  <si>
    <t>Rate</t>
  </si>
  <si>
    <t>Ins. Waiver</t>
  </si>
  <si>
    <t>Auto Allowance, One week PTO buy back</t>
  </si>
  <si>
    <t>Difference Ins. Waiver, Life ins. &gt;50K</t>
  </si>
  <si>
    <t>Difference Life ins. &gt;50k</t>
  </si>
  <si>
    <t>Difference Insurance Waiver</t>
  </si>
  <si>
    <t>Difference Life Ins. &lt;50k</t>
  </si>
  <si>
    <t>Hours</t>
  </si>
  <si>
    <t>Meter Shop</t>
  </si>
  <si>
    <t>Field Service</t>
  </si>
  <si>
    <t>Paid employee incorrect rate of $16.17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</si>
</sst>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"/>
    <numFmt numFmtId="167" formatCode="0.0000"/>
    <numFmt numFmtId="168" formatCode="&quot;$&quot;#,##0.0"/>
    <numFmt numFmtId="169" formatCode="[$-409]dddd\,\ mmmm\ dd\,\ yyyy"/>
    <numFmt numFmtId="170" formatCode="m/d/yyyy;@"/>
    <numFmt numFmtId="171" formatCode="#,##0.0"/>
  </numFmts>
  <fonts count="4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166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166" fontId="2" fillId="0" borderId="11" xfId="0" applyNumberFormat="1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3" fontId="2" fillId="0" borderId="0" xfId="42" applyFont="1" applyFill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3" fontId="2" fillId="0" borderId="11" xfId="42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6" fontId="24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0"/>
  <sheetViews>
    <sheetView view="pageBreakPreview" zoomScale="80" zoomScaleSheetLayoutView="80" zoomScalePageLayoutView="0" workbookViewId="0" topLeftCell="B112">
      <selection activeCell="Q198" sqref="Q198"/>
    </sheetView>
  </sheetViews>
  <sheetFormatPr defaultColWidth="9.140625" defaultRowHeight="12.75"/>
  <cols>
    <col min="1" max="1" width="7.28125" style="6" bestFit="1" customWidth="1"/>
    <col min="2" max="2" width="18.8515625" style="6" bestFit="1" customWidth="1"/>
    <col min="3" max="3" width="8.140625" style="5" bestFit="1" customWidth="1"/>
    <col min="4" max="4" width="10.57421875" style="5" bestFit="1" customWidth="1"/>
    <col min="5" max="5" width="8.8515625" style="5" bestFit="1" customWidth="1"/>
    <col min="6" max="6" width="15.140625" style="5" bestFit="1" customWidth="1"/>
    <col min="7" max="7" width="9.140625" style="5" bestFit="1" customWidth="1"/>
    <col min="8" max="8" width="1.8515625" style="5" customWidth="1"/>
    <col min="9" max="9" width="12.00390625" style="21" bestFit="1" customWidth="1"/>
    <col min="10" max="10" width="12.28125" style="21" bestFit="1" customWidth="1"/>
    <col min="11" max="11" width="10.8515625" style="21" bestFit="1" customWidth="1"/>
    <col min="12" max="12" width="15.140625" style="21" bestFit="1" customWidth="1"/>
    <col min="13" max="13" width="10.8515625" style="21" bestFit="1" customWidth="1"/>
    <col min="14" max="14" width="13.57421875" style="6" bestFit="1" customWidth="1"/>
    <col min="15" max="15" width="13.57421875" style="2" bestFit="1" customWidth="1"/>
    <col min="16" max="16" width="12.00390625" style="2" bestFit="1" customWidth="1"/>
    <col min="17" max="17" width="38.7109375" style="6" bestFit="1" customWidth="1"/>
    <col min="18" max="16384" width="9.140625" style="6" customWidth="1"/>
  </cols>
  <sheetData>
    <row r="1" spans="1:17" ht="12.75">
      <c r="A1" s="31" t="s">
        <v>95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8"/>
      <c r="P1" s="18"/>
      <c r="Q1" s="18" t="s">
        <v>98</v>
      </c>
    </row>
    <row r="2" spans="1:17" ht="12.75">
      <c r="A2" s="31" t="s">
        <v>96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8"/>
      <c r="P2" s="18"/>
      <c r="Q2" s="19" t="s">
        <v>100</v>
      </c>
    </row>
    <row r="3" spans="1:17" ht="12.75">
      <c r="A3" s="31" t="s">
        <v>97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8"/>
      <c r="P3" s="18"/>
      <c r="Q3" s="19" t="s">
        <v>99</v>
      </c>
    </row>
    <row r="4" spans="1:17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9"/>
    </row>
    <row r="5" spans="1:17" ht="12.75">
      <c r="A5" s="9"/>
      <c r="B5" s="9"/>
      <c r="C5" s="32" t="s">
        <v>84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9"/>
      <c r="O5" s="9"/>
      <c r="P5" s="9"/>
      <c r="Q5" s="19"/>
    </row>
    <row r="6" spans="3:16" ht="12.75">
      <c r="C6" s="32" t="s">
        <v>86</v>
      </c>
      <c r="D6" s="32"/>
      <c r="E6" s="32"/>
      <c r="F6" s="32"/>
      <c r="G6" s="32"/>
      <c r="H6" s="11"/>
      <c r="I6" s="32" t="s">
        <v>85</v>
      </c>
      <c r="J6" s="32"/>
      <c r="K6" s="32"/>
      <c r="L6" s="32"/>
      <c r="M6" s="32"/>
      <c r="N6" s="20"/>
      <c r="O6" s="8"/>
      <c r="P6" s="8"/>
    </row>
    <row r="7" spans="3:16" ht="12.75">
      <c r="C7" s="10"/>
      <c r="D7" s="10" t="s">
        <v>117</v>
      </c>
      <c r="E7" s="10" t="s">
        <v>82</v>
      </c>
      <c r="F7" s="10" t="s">
        <v>120</v>
      </c>
      <c r="G7" s="10"/>
      <c r="H7" s="11"/>
      <c r="I7" s="10"/>
      <c r="J7" s="10"/>
      <c r="K7" s="10"/>
      <c r="L7" s="10"/>
      <c r="M7" s="10"/>
      <c r="N7" s="20" t="s">
        <v>87</v>
      </c>
      <c r="O7" s="8" t="s">
        <v>89</v>
      </c>
      <c r="P7" s="8" t="s">
        <v>92</v>
      </c>
    </row>
    <row r="8" spans="3:16" ht="12.75">
      <c r="C8" s="5" t="s">
        <v>82</v>
      </c>
      <c r="D8" s="8" t="s">
        <v>118</v>
      </c>
      <c r="E8" s="5" t="s">
        <v>83</v>
      </c>
      <c r="F8" s="5" t="s">
        <v>83</v>
      </c>
      <c r="G8" s="5" t="s">
        <v>121</v>
      </c>
      <c r="J8" s="5" t="s">
        <v>119</v>
      </c>
      <c r="L8" s="5" t="s">
        <v>120</v>
      </c>
      <c r="N8" s="20" t="s">
        <v>84</v>
      </c>
      <c r="O8" s="8" t="s">
        <v>90</v>
      </c>
      <c r="P8" s="8" t="s">
        <v>93</v>
      </c>
    </row>
    <row r="9" spans="1:17" ht="12.75">
      <c r="A9" s="11" t="s">
        <v>0</v>
      </c>
      <c r="B9" s="11" t="s">
        <v>1</v>
      </c>
      <c r="C9" s="12" t="s">
        <v>122</v>
      </c>
      <c r="D9" s="12" t="s">
        <v>122</v>
      </c>
      <c r="E9" s="12" t="s">
        <v>122</v>
      </c>
      <c r="F9" s="12" t="s">
        <v>122</v>
      </c>
      <c r="G9" s="12" t="s">
        <v>122</v>
      </c>
      <c r="H9" s="12"/>
      <c r="I9" s="22" t="s">
        <v>82</v>
      </c>
      <c r="J9" s="12" t="s">
        <v>118</v>
      </c>
      <c r="K9" s="22" t="s">
        <v>83</v>
      </c>
      <c r="L9" s="12" t="s">
        <v>83</v>
      </c>
      <c r="M9" s="22" t="s">
        <v>121</v>
      </c>
      <c r="N9" s="11" t="s">
        <v>88</v>
      </c>
      <c r="O9" s="12" t="s">
        <v>91</v>
      </c>
      <c r="P9" s="12" t="s">
        <v>89</v>
      </c>
      <c r="Q9" s="20" t="s">
        <v>94</v>
      </c>
    </row>
    <row r="10" spans="1:16" ht="12.75">
      <c r="A10" s="1">
        <v>40258</v>
      </c>
      <c r="B10" s="14" t="s">
        <v>2</v>
      </c>
      <c r="C10" s="5">
        <v>17.15</v>
      </c>
      <c r="D10" s="8" t="s">
        <v>114</v>
      </c>
      <c r="E10" s="5">
        <f>C10*1.5</f>
        <v>25.724999999999998</v>
      </c>
      <c r="F10" s="8" t="s">
        <v>114</v>
      </c>
      <c r="G10" s="5">
        <v>1</v>
      </c>
      <c r="I10" s="4">
        <f>1754+80+187+56.5+2</f>
        <v>2079.5</v>
      </c>
      <c r="J10" s="4">
        <v>0</v>
      </c>
      <c r="K10" s="4">
        <v>112</v>
      </c>
      <c r="L10" s="4">
        <v>0</v>
      </c>
      <c r="M10" s="4">
        <v>15.5</v>
      </c>
      <c r="N10" s="2">
        <f>(C10*I10)+(E10*K10)+(G10*M10)</f>
        <v>38560.12499999999</v>
      </c>
      <c r="O10" s="2">
        <v>38554.38</v>
      </c>
      <c r="P10" s="2">
        <f aca="true" t="shared" si="0" ref="P10:P19">O10-N10</f>
        <v>-5.744999999995343</v>
      </c>
    </row>
    <row r="11" spans="1:16" ht="12.75">
      <c r="A11" s="1">
        <v>30060</v>
      </c>
      <c r="B11" s="14" t="s">
        <v>3</v>
      </c>
      <c r="C11" s="5">
        <v>25.654</v>
      </c>
      <c r="D11" s="8" t="s">
        <v>114</v>
      </c>
      <c r="E11" s="5">
        <f>C11*1.5</f>
        <v>38.481</v>
      </c>
      <c r="F11" s="8" t="s">
        <v>114</v>
      </c>
      <c r="G11" s="5">
        <v>1</v>
      </c>
      <c r="I11" s="4">
        <f>1727.75+80+129.75+80+62.5</f>
        <v>2080</v>
      </c>
      <c r="J11" s="4">
        <v>0</v>
      </c>
      <c r="K11" s="4">
        <v>483.5</v>
      </c>
      <c r="L11" s="4">
        <v>0</v>
      </c>
      <c r="M11" s="4">
        <v>477</v>
      </c>
      <c r="N11" s="2">
        <f>(C11*I11)+(E11*K11)+(G11*M11)</f>
        <v>72442.8835</v>
      </c>
      <c r="O11" s="2">
        <v>72428.29</v>
      </c>
      <c r="P11" s="2">
        <f t="shared" si="0"/>
        <v>-14.593500000002678</v>
      </c>
    </row>
    <row r="12" spans="1:16" ht="12.75">
      <c r="A12" s="1">
        <v>40150</v>
      </c>
      <c r="B12" s="14" t="s">
        <v>4</v>
      </c>
      <c r="C12" s="5">
        <v>21.5</v>
      </c>
      <c r="D12" s="8" t="s">
        <v>114</v>
      </c>
      <c r="E12" s="5">
        <f>C12*1.5</f>
        <v>32.25</v>
      </c>
      <c r="F12" s="8" t="s">
        <v>114</v>
      </c>
      <c r="G12" s="5">
        <v>1</v>
      </c>
      <c r="I12" s="4">
        <f>1860.5+80+179.5</f>
        <v>2120</v>
      </c>
      <c r="J12" s="4">
        <v>0</v>
      </c>
      <c r="K12" s="4">
        <v>54.25</v>
      </c>
      <c r="L12" s="4">
        <v>0</v>
      </c>
      <c r="M12" s="4">
        <v>0</v>
      </c>
      <c r="N12" s="2">
        <f>(C12*I12)+(E12*K12)</f>
        <v>47329.5625</v>
      </c>
      <c r="O12" s="2">
        <v>47304.74</v>
      </c>
      <c r="P12" s="2">
        <f t="shared" si="0"/>
        <v>-24.822500000002037</v>
      </c>
    </row>
    <row r="13" spans="1:16" ht="12.75">
      <c r="A13" s="1">
        <v>20075</v>
      </c>
      <c r="B13" s="14" t="s">
        <v>5</v>
      </c>
      <c r="C13" s="5">
        <v>26.49</v>
      </c>
      <c r="D13" s="5">
        <v>27.49</v>
      </c>
      <c r="E13" s="5">
        <f>C13*1.5</f>
        <v>39.735</v>
      </c>
      <c r="F13" s="5">
        <f>D13*1.5</f>
        <v>41.235</v>
      </c>
      <c r="G13" s="5">
        <v>1</v>
      </c>
      <c r="I13" s="4">
        <f>1882+80+158</f>
        <v>2120</v>
      </c>
      <c r="J13" s="4">
        <v>0</v>
      </c>
      <c r="K13" s="4">
        <f>197.5-L13</f>
        <v>147.5</v>
      </c>
      <c r="L13" s="4">
        <v>50</v>
      </c>
      <c r="M13" s="4">
        <v>3274</v>
      </c>
      <c r="N13" s="2">
        <f>(C13*I13)+(E13*K13)+(G13*M13)+(D13*J13)+(F13*L13)</f>
        <v>67355.4625</v>
      </c>
      <c r="O13" s="2">
        <v>67317.53</v>
      </c>
      <c r="P13" s="2">
        <f t="shared" si="0"/>
        <v>-37.93249999999534</v>
      </c>
    </row>
    <row r="14" spans="1:16" ht="12.75">
      <c r="A14" s="1">
        <v>10150</v>
      </c>
      <c r="B14" s="14" t="s">
        <v>6</v>
      </c>
      <c r="C14" s="5">
        <v>25.75</v>
      </c>
      <c r="D14" s="8" t="s">
        <v>114</v>
      </c>
      <c r="E14" s="5">
        <v>0</v>
      </c>
      <c r="F14" s="8" t="s">
        <v>114</v>
      </c>
      <c r="G14" s="5">
        <v>1</v>
      </c>
      <c r="I14" s="4">
        <v>702</v>
      </c>
      <c r="J14" s="4">
        <v>0</v>
      </c>
      <c r="K14" s="4">
        <v>0</v>
      </c>
      <c r="L14" s="4">
        <v>0</v>
      </c>
      <c r="M14" s="4">
        <v>0</v>
      </c>
      <c r="N14" s="2">
        <f>(C14*I14)+(E14*K14)</f>
        <v>18076.5</v>
      </c>
      <c r="O14" s="2">
        <v>18076.5</v>
      </c>
      <c r="P14" s="2">
        <f t="shared" si="0"/>
        <v>0</v>
      </c>
    </row>
    <row r="15" spans="1:16" ht="12.75">
      <c r="A15" s="1">
        <v>60482</v>
      </c>
      <c r="B15" s="14" t="s">
        <v>7</v>
      </c>
      <c r="C15" s="5">
        <v>16.34</v>
      </c>
      <c r="D15" s="8" t="s">
        <v>114</v>
      </c>
      <c r="E15" s="5">
        <f>C15*1.5</f>
        <v>24.509999999999998</v>
      </c>
      <c r="F15" s="8" t="s">
        <v>114</v>
      </c>
      <c r="G15" s="5">
        <v>1</v>
      </c>
      <c r="I15" s="4">
        <f>1724.5+24+80+154+2.5+95</f>
        <v>2080</v>
      </c>
      <c r="J15" s="4">
        <v>0</v>
      </c>
      <c r="K15" s="4">
        <v>221.5</v>
      </c>
      <c r="L15" s="4">
        <v>0</v>
      </c>
      <c r="M15" s="4">
        <v>1310</v>
      </c>
      <c r="N15" s="2">
        <f>(C15*I15)+(E15*K15)+(G15*M15)</f>
        <v>40726.16499999999</v>
      </c>
      <c r="O15" s="2">
        <v>40711.87</v>
      </c>
      <c r="P15" s="2">
        <f t="shared" si="0"/>
        <v>-14.294999999990978</v>
      </c>
    </row>
    <row r="16" spans="1:16" ht="12.75">
      <c r="A16" s="15">
        <v>30075</v>
      </c>
      <c r="B16" s="14" t="s">
        <v>7</v>
      </c>
      <c r="C16" s="5">
        <v>17.61</v>
      </c>
      <c r="D16" s="8" t="s">
        <v>114</v>
      </c>
      <c r="E16" s="5">
        <f>C16*1.5</f>
        <v>26.415</v>
      </c>
      <c r="F16" s="8" t="s">
        <v>114</v>
      </c>
      <c r="G16" s="5">
        <v>1</v>
      </c>
      <c r="I16" s="4">
        <f>1664.5+80+168.25+15+55.75</f>
        <v>1983.5</v>
      </c>
      <c r="J16" s="4">
        <v>0</v>
      </c>
      <c r="K16" s="4">
        <v>154.5</v>
      </c>
      <c r="L16" s="4">
        <v>0</v>
      </c>
      <c r="M16" s="4">
        <v>486.5</v>
      </c>
      <c r="N16" s="2">
        <f>(C16*I16)+(E16*K16)+(G16*M16)</f>
        <v>39497.0525</v>
      </c>
      <c r="O16" s="2">
        <v>39495.28</v>
      </c>
      <c r="P16" s="2">
        <f t="shared" si="0"/>
        <v>-1.7724999999991269</v>
      </c>
    </row>
    <row r="17" spans="1:16" ht="12.75">
      <c r="A17" s="1">
        <v>60523</v>
      </c>
      <c r="B17" s="7" t="s">
        <v>7</v>
      </c>
      <c r="C17" s="5">
        <v>15.89</v>
      </c>
      <c r="D17" s="8" t="s">
        <v>114</v>
      </c>
      <c r="E17" s="5">
        <f>C17*1.5</f>
        <v>23.835</v>
      </c>
      <c r="F17" s="8" t="s">
        <v>114</v>
      </c>
      <c r="G17" s="5">
        <v>1</v>
      </c>
      <c r="I17" s="4">
        <f>1690+24+56+20</f>
        <v>1790</v>
      </c>
      <c r="J17" s="4">
        <v>0</v>
      </c>
      <c r="K17" s="4">
        <v>179.5</v>
      </c>
      <c r="L17" s="4">
        <v>0</v>
      </c>
      <c r="M17" s="4">
        <v>442</v>
      </c>
      <c r="N17" s="2">
        <f>(C17*I17)+(E17*K17)+(G17*M17)</f>
        <v>33163.4825</v>
      </c>
      <c r="O17" s="2">
        <v>33163.58</v>
      </c>
      <c r="P17" s="2">
        <f t="shared" si="0"/>
        <v>0.09750000000349246</v>
      </c>
    </row>
    <row r="18" spans="1:16" ht="12.75">
      <c r="A18" s="1">
        <v>60514</v>
      </c>
      <c r="B18" s="14" t="s">
        <v>8</v>
      </c>
      <c r="C18" s="5">
        <v>15.89</v>
      </c>
      <c r="D18" s="5">
        <v>16.89</v>
      </c>
      <c r="E18" s="5">
        <f>C18*1.5</f>
        <v>23.835</v>
      </c>
      <c r="F18" s="5">
        <f>D18*1.5</f>
        <v>25.335</v>
      </c>
      <c r="G18" s="5">
        <v>1</v>
      </c>
      <c r="I18" s="4">
        <f>128+32+80</f>
        <v>240</v>
      </c>
      <c r="J18" s="4">
        <v>1832</v>
      </c>
      <c r="K18" s="4">
        <v>0</v>
      </c>
      <c r="L18" s="4">
        <v>90</v>
      </c>
      <c r="M18" s="4">
        <v>0</v>
      </c>
      <c r="N18" s="2">
        <f>(C18*I18)+(E18*K18)+(G18*M18)+(D18*J18)+(F18*L18)</f>
        <v>37036.23</v>
      </c>
      <c r="O18" s="2">
        <v>36958.52</v>
      </c>
      <c r="P18" s="2">
        <f t="shared" si="0"/>
        <v>-77.7100000000064</v>
      </c>
    </row>
    <row r="19" spans="1:16" ht="12.75">
      <c r="A19" s="1">
        <v>60540</v>
      </c>
      <c r="B19" s="7" t="s">
        <v>7</v>
      </c>
      <c r="C19" s="5">
        <v>15.89</v>
      </c>
      <c r="D19" s="8" t="s">
        <v>114</v>
      </c>
      <c r="E19" s="5">
        <f>C19*1.5</f>
        <v>23.835</v>
      </c>
      <c r="F19" s="8" t="s">
        <v>114</v>
      </c>
      <c r="G19" s="5">
        <v>1</v>
      </c>
      <c r="I19" s="4">
        <f>184+16</f>
        <v>200</v>
      </c>
      <c r="J19" s="4">
        <v>0</v>
      </c>
      <c r="K19" s="4">
        <v>3</v>
      </c>
      <c r="L19" s="4">
        <v>0</v>
      </c>
      <c r="M19" s="4">
        <v>105.5</v>
      </c>
      <c r="N19" s="2">
        <f>(C19*I19)+(E19*K19)+(G19*M19)</f>
        <v>3355.005</v>
      </c>
      <c r="O19" s="2">
        <v>3355.02</v>
      </c>
      <c r="P19" s="2">
        <f t="shared" si="0"/>
        <v>0.01499999999987267</v>
      </c>
    </row>
    <row r="20" spans="1:17" ht="12.75">
      <c r="A20" s="1">
        <v>10160</v>
      </c>
      <c r="B20" s="14" t="s">
        <v>9</v>
      </c>
      <c r="C20" s="5">
        <v>58.88</v>
      </c>
      <c r="D20" s="8" t="s">
        <v>114</v>
      </c>
      <c r="E20" s="5">
        <v>0</v>
      </c>
      <c r="F20" s="8" t="s">
        <v>114</v>
      </c>
      <c r="G20" s="5">
        <v>1</v>
      </c>
      <c r="I20" s="4">
        <f>2080+40</f>
        <v>2120</v>
      </c>
      <c r="J20" s="4">
        <v>0</v>
      </c>
      <c r="K20" s="4">
        <v>0</v>
      </c>
      <c r="L20" s="4">
        <v>0</v>
      </c>
      <c r="M20" s="4">
        <v>0</v>
      </c>
      <c r="N20" s="2">
        <f>(C20*I20)+(E20*K20)</f>
        <v>124825.6</v>
      </c>
      <c r="O20" s="2">
        <v>126271.96</v>
      </c>
      <c r="P20" s="2">
        <f>O20-N20</f>
        <v>1446.3600000000006</v>
      </c>
      <c r="Q20" s="6" t="s">
        <v>125</v>
      </c>
    </row>
    <row r="21" spans="1:16" ht="12.75">
      <c r="A21" s="1">
        <v>60496</v>
      </c>
      <c r="B21" s="7" t="s">
        <v>10</v>
      </c>
      <c r="C21" s="5">
        <v>22.24</v>
      </c>
      <c r="D21" s="8" t="s">
        <v>114</v>
      </c>
      <c r="E21" s="5">
        <f aca="true" t="shared" si="1" ref="E21:F27">C21*1.5</f>
        <v>33.36</v>
      </c>
      <c r="F21" s="8" t="s">
        <v>114</v>
      </c>
      <c r="G21" s="5">
        <v>1</v>
      </c>
      <c r="I21" s="4">
        <f>1891.5+80+140.5+8</f>
        <v>2120</v>
      </c>
      <c r="J21" s="4">
        <v>0</v>
      </c>
      <c r="K21" s="4">
        <v>503</v>
      </c>
      <c r="L21" s="4">
        <v>0</v>
      </c>
      <c r="M21" s="4">
        <f>2126.5+144</f>
        <v>2270.5</v>
      </c>
      <c r="N21" s="2">
        <f>(C21*I21)+(E21*K21)+(G21*M21)</f>
        <v>66199.37999999999</v>
      </c>
      <c r="O21" s="2">
        <v>66157.31</v>
      </c>
      <c r="P21" s="2">
        <f aca="true" t="shared" si="2" ref="P21:P42">O21-N21</f>
        <v>-42.06999999999243</v>
      </c>
    </row>
    <row r="22" spans="1:16" ht="12.75">
      <c r="A22" s="1">
        <v>40250</v>
      </c>
      <c r="B22" s="14" t="s">
        <v>11</v>
      </c>
      <c r="C22" s="5">
        <v>23.63</v>
      </c>
      <c r="D22" s="8" t="s">
        <v>114</v>
      </c>
      <c r="E22" s="5">
        <f t="shared" si="1"/>
        <v>35.445</v>
      </c>
      <c r="F22" s="8" t="s">
        <v>114</v>
      </c>
      <c r="G22" s="5">
        <v>1</v>
      </c>
      <c r="I22" s="4">
        <f>1847+80+182+11</f>
        <v>2120</v>
      </c>
      <c r="J22" s="4">
        <v>0</v>
      </c>
      <c r="K22" s="4">
        <v>31.5</v>
      </c>
      <c r="L22" s="4">
        <v>0</v>
      </c>
      <c r="M22" s="4">
        <v>0</v>
      </c>
      <c r="N22" s="2">
        <f>(C22*I22)+(E22*K22)</f>
        <v>51212.1175</v>
      </c>
      <c r="O22" s="2">
        <v>51191.32</v>
      </c>
      <c r="P22" s="2">
        <f t="shared" si="2"/>
        <v>-20.797500000000582</v>
      </c>
    </row>
    <row r="23" spans="1:16" ht="12.75">
      <c r="A23" s="1">
        <v>60508</v>
      </c>
      <c r="B23" s="7" t="s">
        <v>12</v>
      </c>
      <c r="C23" s="5">
        <v>21.67</v>
      </c>
      <c r="D23" s="8" t="s">
        <v>114</v>
      </c>
      <c r="E23" s="5">
        <f t="shared" si="1"/>
        <v>32.505</v>
      </c>
      <c r="F23" s="8" t="s">
        <v>114</v>
      </c>
      <c r="G23" s="5">
        <v>1</v>
      </c>
      <c r="I23" s="4">
        <f>1866+80+136+38</f>
        <v>2120</v>
      </c>
      <c r="J23" s="4">
        <v>0</v>
      </c>
      <c r="K23" s="4">
        <v>68</v>
      </c>
      <c r="L23" s="4">
        <v>0</v>
      </c>
      <c r="M23" s="4">
        <v>0</v>
      </c>
      <c r="N23" s="2">
        <f>(C23*I23)+(E23*K23)</f>
        <v>48150.740000000005</v>
      </c>
      <c r="O23" s="2">
        <v>48107.17</v>
      </c>
      <c r="P23" s="2">
        <f t="shared" si="2"/>
        <v>-43.570000000006985</v>
      </c>
    </row>
    <row r="24" spans="1:16" ht="12.75">
      <c r="A24" s="1">
        <v>60536</v>
      </c>
      <c r="B24" s="7" t="s">
        <v>13</v>
      </c>
      <c r="C24" s="5">
        <v>13.82</v>
      </c>
      <c r="D24" s="8" t="s">
        <v>114</v>
      </c>
      <c r="E24" s="5">
        <f t="shared" si="1"/>
        <v>20.73</v>
      </c>
      <c r="F24" s="8" t="s">
        <v>114</v>
      </c>
      <c r="G24" s="5">
        <v>1</v>
      </c>
      <c r="I24" s="4">
        <f>696+24</f>
        <v>720</v>
      </c>
      <c r="J24" s="4">
        <v>0</v>
      </c>
      <c r="K24" s="4">
        <v>28.75</v>
      </c>
      <c r="L24" s="4">
        <v>0</v>
      </c>
      <c r="M24" s="4">
        <v>0</v>
      </c>
      <c r="N24" s="2">
        <f>(C24*I24)+(E24*K24)</f>
        <v>10546.387499999999</v>
      </c>
      <c r="O24" s="2">
        <v>10546.4</v>
      </c>
      <c r="P24" s="2">
        <f t="shared" si="2"/>
        <v>0.012500000000727596</v>
      </c>
    </row>
    <row r="25" spans="1:16" ht="12.75">
      <c r="A25" s="1">
        <v>60532</v>
      </c>
      <c r="B25" s="7" t="s">
        <v>4</v>
      </c>
      <c r="C25" s="5">
        <v>13.82</v>
      </c>
      <c r="D25" s="8" t="s">
        <v>114</v>
      </c>
      <c r="E25" s="5">
        <f t="shared" si="1"/>
        <v>20.73</v>
      </c>
      <c r="F25" s="8" t="s">
        <v>114</v>
      </c>
      <c r="G25" s="5">
        <v>1</v>
      </c>
      <c r="I25" s="4">
        <f>913+32</f>
        <v>945</v>
      </c>
      <c r="J25" s="4">
        <v>0</v>
      </c>
      <c r="K25" s="4">
        <v>1.25</v>
      </c>
      <c r="L25" s="4">
        <v>0</v>
      </c>
      <c r="M25" s="4">
        <v>0</v>
      </c>
      <c r="N25" s="2">
        <f>(C25*I25)+(E25*K25)</f>
        <v>13085.8125</v>
      </c>
      <c r="O25" s="2">
        <v>13085.81</v>
      </c>
      <c r="P25" s="2">
        <f t="shared" si="2"/>
        <v>-0.002500000000509317</v>
      </c>
    </row>
    <row r="26" spans="1:16" ht="12.75">
      <c r="A26" s="1">
        <v>60520</v>
      </c>
      <c r="B26" s="7" t="s">
        <v>8</v>
      </c>
      <c r="C26" s="5">
        <v>16.07</v>
      </c>
      <c r="D26" s="5">
        <v>17.07</v>
      </c>
      <c r="E26" s="5">
        <f t="shared" si="1"/>
        <v>24.105</v>
      </c>
      <c r="F26" s="5">
        <f t="shared" si="1"/>
        <v>25.605</v>
      </c>
      <c r="G26" s="5">
        <v>1</v>
      </c>
      <c r="I26" s="4">
        <f>80+24+11+1991</f>
        <v>2106</v>
      </c>
      <c r="J26" s="4">
        <v>0</v>
      </c>
      <c r="K26" s="4">
        <f>70.5-L26</f>
        <v>30.5</v>
      </c>
      <c r="L26" s="4">
        <v>40</v>
      </c>
      <c r="M26" s="4">
        <v>0</v>
      </c>
      <c r="N26" s="2">
        <f>(15.89*1000)+((15.89*1.5)*18)+(16.07*1106)+((16.07*1.5)*52.5)</f>
        <v>35357.9625</v>
      </c>
      <c r="O26" s="2">
        <v>35391.97</v>
      </c>
      <c r="P26" s="2">
        <f t="shared" si="2"/>
        <v>34.00749999999971</v>
      </c>
    </row>
    <row r="27" spans="1:16" ht="12.75">
      <c r="A27" s="1">
        <v>30100</v>
      </c>
      <c r="B27" s="7" t="s">
        <v>7</v>
      </c>
      <c r="C27" s="5">
        <v>24.64</v>
      </c>
      <c r="D27" s="8" t="s">
        <v>114</v>
      </c>
      <c r="E27" s="5">
        <f t="shared" si="1"/>
        <v>36.96</v>
      </c>
      <c r="F27" s="8" t="s">
        <v>114</v>
      </c>
      <c r="G27" s="5">
        <v>1</v>
      </c>
      <c r="I27" s="4">
        <f>1788+80+178+5+69</f>
        <v>2120</v>
      </c>
      <c r="J27" s="4">
        <v>0</v>
      </c>
      <c r="K27" s="4">
        <v>119.75</v>
      </c>
      <c r="L27" s="4">
        <v>0</v>
      </c>
      <c r="M27" s="4">
        <v>246.5</v>
      </c>
      <c r="N27" s="2">
        <f>(C27*I27)+(E27*K27)+(G27*M27)</f>
        <v>56909.26</v>
      </c>
      <c r="O27" s="2">
        <v>56887.66</v>
      </c>
      <c r="P27" s="2">
        <f t="shared" si="2"/>
        <v>-21.599999999998545</v>
      </c>
    </row>
    <row r="28" spans="1:16" ht="12.75">
      <c r="A28" s="1">
        <v>40260</v>
      </c>
      <c r="B28" s="7" t="s">
        <v>14</v>
      </c>
      <c r="C28" s="5">
        <v>47.99</v>
      </c>
      <c r="D28" s="8" t="s">
        <v>114</v>
      </c>
      <c r="E28" s="5">
        <v>0</v>
      </c>
      <c r="F28" s="8" t="s">
        <v>114</v>
      </c>
      <c r="G28" s="5">
        <v>1</v>
      </c>
      <c r="I28" s="4">
        <f>2080+40</f>
        <v>2120</v>
      </c>
      <c r="J28" s="4">
        <v>0</v>
      </c>
      <c r="K28" s="4">
        <v>0</v>
      </c>
      <c r="L28" s="4">
        <v>0</v>
      </c>
      <c r="M28" s="4">
        <v>0</v>
      </c>
      <c r="N28" s="2">
        <f>(C28*I28)+(E28*K28)</f>
        <v>101738.8</v>
      </c>
      <c r="O28" s="2">
        <v>101803.64</v>
      </c>
      <c r="P28" s="2">
        <f t="shared" si="2"/>
        <v>64.83999999999651</v>
      </c>
    </row>
    <row r="29" spans="1:17" ht="12.75">
      <c r="A29" s="1">
        <v>10175</v>
      </c>
      <c r="B29" s="7" t="s">
        <v>15</v>
      </c>
      <c r="C29" s="5">
        <v>48.69</v>
      </c>
      <c r="D29" s="8" t="s">
        <v>114</v>
      </c>
      <c r="E29" s="5">
        <v>0</v>
      </c>
      <c r="F29" s="8" t="s">
        <v>114</v>
      </c>
      <c r="G29" s="5">
        <v>1</v>
      </c>
      <c r="I29" s="4">
        <f>2080+40</f>
        <v>2120</v>
      </c>
      <c r="J29" s="4">
        <v>0</v>
      </c>
      <c r="K29" s="4">
        <v>0</v>
      </c>
      <c r="L29" s="4">
        <v>0</v>
      </c>
      <c r="M29" s="4">
        <v>0</v>
      </c>
      <c r="N29" s="2">
        <f>(C29*I29)+(E29*K29)</f>
        <v>103222.79999999999</v>
      </c>
      <c r="O29" s="2">
        <v>103858.16</v>
      </c>
      <c r="P29" s="2">
        <f t="shared" si="2"/>
        <v>635.3600000000151</v>
      </c>
      <c r="Q29" s="6" t="s">
        <v>126</v>
      </c>
    </row>
    <row r="30" spans="1:17" ht="12.75">
      <c r="A30" s="1">
        <v>40270</v>
      </c>
      <c r="B30" s="7" t="s">
        <v>16</v>
      </c>
      <c r="C30" s="5">
        <v>21.36</v>
      </c>
      <c r="D30" s="8" t="s">
        <v>114</v>
      </c>
      <c r="E30" s="5">
        <f aca="true" t="shared" si="3" ref="E30:E42">C30*1.5</f>
        <v>32.04</v>
      </c>
      <c r="F30" s="8" t="s">
        <v>114</v>
      </c>
      <c r="G30" s="5">
        <v>1</v>
      </c>
      <c r="I30" s="4">
        <f>1767.5+80+230+18.5</f>
        <v>2096</v>
      </c>
      <c r="J30" s="4">
        <v>0</v>
      </c>
      <c r="K30" s="4">
        <v>204.5</v>
      </c>
      <c r="L30" s="4">
        <v>0</v>
      </c>
      <c r="M30" s="4">
        <v>641.5</v>
      </c>
      <c r="N30" s="2">
        <f>(C30*I30)+(E30*K30)+(G30*M30)</f>
        <v>51964.24</v>
      </c>
      <c r="O30" s="2">
        <v>53135.57</v>
      </c>
      <c r="P30" s="2">
        <f t="shared" si="2"/>
        <v>1171.3300000000017</v>
      </c>
      <c r="Q30" s="6" t="s">
        <v>127</v>
      </c>
    </row>
    <row r="31" spans="1:16" ht="12.75">
      <c r="A31" s="1">
        <v>20350</v>
      </c>
      <c r="B31" s="7" t="s">
        <v>17</v>
      </c>
      <c r="C31" s="5">
        <v>20</v>
      </c>
      <c r="D31" s="8" t="s">
        <v>114</v>
      </c>
      <c r="E31" s="5">
        <f t="shared" si="3"/>
        <v>30</v>
      </c>
      <c r="F31" s="8" t="s">
        <v>114</v>
      </c>
      <c r="G31" s="5">
        <v>1</v>
      </c>
      <c r="I31" s="4">
        <v>217</v>
      </c>
      <c r="J31" s="4">
        <v>0</v>
      </c>
      <c r="K31" s="4">
        <v>0</v>
      </c>
      <c r="L31" s="4">
        <v>0</v>
      </c>
      <c r="M31" s="4">
        <v>0</v>
      </c>
      <c r="N31" s="2">
        <f>(C31*I31)+(E31*K31)</f>
        <v>4340</v>
      </c>
      <c r="O31" s="2">
        <v>4340</v>
      </c>
      <c r="P31" s="2">
        <f t="shared" si="2"/>
        <v>0</v>
      </c>
    </row>
    <row r="32" spans="1:17" ht="12.75">
      <c r="A32" s="1">
        <v>60518</v>
      </c>
      <c r="B32" s="7" t="s">
        <v>18</v>
      </c>
      <c r="C32" s="5">
        <v>16.07</v>
      </c>
      <c r="D32" s="8" t="s">
        <v>114</v>
      </c>
      <c r="E32" s="5">
        <f t="shared" si="3"/>
        <v>24.105</v>
      </c>
      <c r="F32" s="8" t="s">
        <v>114</v>
      </c>
      <c r="G32" s="5">
        <v>1</v>
      </c>
      <c r="I32" s="4">
        <f>1864.5+72+84+53</f>
        <v>2073.5</v>
      </c>
      <c r="J32" s="4">
        <v>0</v>
      </c>
      <c r="K32" s="4">
        <v>420.5</v>
      </c>
      <c r="L32" s="4">
        <v>0</v>
      </c>
      <c r="M32" s="4">
        <v>1486</v>
      </c>
      <c r="N32" s="2">
        <f>(15.89*913.5)+((15.89*1.5)*158.5)+(1*456.5)+(16.07*1160)+((16.07*1.5)*262)+(1*1029.5)</f>
        <v>44736.0725</v>
      </c>
      <c r="O32" s="2">
        <v>47727.19</v>
      </c>
      <c r="P32" s="2">
        <f t="shared" si="2"/>
        <v>2991.1175000000003</v>
      </c>
      <c r="Q32" s="6" t="s">
        <v>132</v>
      </c>
    </row>
    <row r="33" spans="1:16" ht="12.75">
      <c r="A33" s="1">
        <v>60541</v>
      </c>
      <c r="B33" s="16" t="s">
        <v>4</v>
      </c>
      <c r="C33" s="5">
        <v>13.82</v>
      </c>
      <c r="D33" s="5" t="s">
        <v>114</v>
      </c>
      <c r="E33" s="5">
        <f t="shared" si="3"/>
        <v>20.73</v>
      </c>
      <c r="F33" s="5" t="s">
        <v>114</v>
      </c>
      <c r="G33" s="5">
        <v>1</v>
      </c>
      <c r="I33" s="4">
        <v>120</v>
      </c>
      <c r="J33" s="4">
        <v>0</v>
      </c>
      <c r="K33" s="4">
        <v>0</v>
      </c>
      <c r="L33" s="4">
        <v>0</v>
      </c>
      <c r="M33" s="4">
        <v>0</v>
      </c>
      <c r="N33" s="2">
        <f>(C33*I33)+(E33*K33)+(G33*M33)</f>
        <v>1658.4</v>
      </c>
      <c r="O33" s="2">
        <v>1658.4</v>
      </c>
      <c r="P33" s="2">
        <f>O33-N33</f>
        <v>0</v>
      </c>
    </row>
    <row r="34" spans="1:16" ht="12.75">
      <c r="A34" s="1">
        <v>20375</v>
      </c>
      <c r="B34" s="7" t="s">
        <v>19</v>
      </c>
      <c r="C34" s="5">
        <v>37.52</v>
      </c>
      <c r="D34" s="8" t="s">
        <v>114</v>
      </c>
      <c r="E34" s="5">
        <f t="shared" si="3"/>
        <v>56.28</v>
      </c>
      <c r="F34" s="8" t="s">
        <v>114</v>
      </c>
      <c r="G34" s="5">
        <v>1</v>
      </c>
      <c r="I34" s="4">
        <f>2080+40</f>
        <v>2120</v>
      </c>
      <c r="J34" s="4">
        <v>0</v>
      </c>
      <c r="K34" s="4">
        <v>0</v>
      </c>
      <c r="L34" s="4">
        <v>0</v>
      </c>
      <c r="M34" s="4">
        <v>0</v>
      </c>
      <c r="N34" s="2">
        <f>(C34*I34)+(E34*K34)+(G34*M34)</f>
        <v>79542.40000000001</v>
      </c>
      <c r="O34" s="2">
        <v>79595.1</v>
      </c>
      <c r="P34" s="2">
        <f t="shared" si="2"/>
        <v>52.69999999999709</v>
      </c>
    </row>
    <row r="35" spans="1:16" ht="12.75">
      <c r="A35" s="1">
        <v>30225</v>
      </c>
      <c r="B35" s="7" t="s">
        <v>7</v>
      </c>
      <c r="C35" s="5">
        <v>23.19</v>
      </c>
      <c r="D35" s="8" t="s">
        <v>114</v>
      </c>
      <c r="E35" s="5">
        <f t="shared" si="3"/>
        <v>34.785000000000004</v>
      </c>
      <c r="F35" s="8" t="s">
        <v>114</v>
      </c>
      <c r="G35" s="5">
        <v>1</v>
      </c>
      <c r="I35" s="4">
        <f>1722+80+188+20+70</f>
        <v>2080</v>
      </c>
      <c r="J35" s="4">
        <v>0</v>
      </c>
      <c r="K35" s="4">
        <v>261.5</v>
      </c>
      <c r="L35" s="4">
        <v>0</v>
      </c>
      <c r="M35" s="4">
        <v>479.75</v>
      </c>
      <c r="N35" s="2">
        <f>(C35*I35)+(E35*K35)+(G35*M35)</f>
        <v>57811.22750000001</v>
      </c>
      <c r="O35" s="2">
        <v>57785.07</v>
      </c>
      <c r="P35" s="2">
        <f t="shared" si="2"/>
        <v>-26.15750000000844</v>
      </c>
    </row>
    <row r="36" spans="1:16" ht="12.75">
      <c r="A36" s="1">
        <v>40330</v>
      </c>
      <c r="B36" s="7" t="s">
        <v>20</v>
      </c>
      <c r="C36" s="5">
        <v>17.77</v>
      </c>
      <c r="D36" s="8" t="s">
        <v>114</v>
      </c>
      <c r="E36" s="5">
        <f t="shared" si="3"/>
        <v>26.655</v>
      </c>
      <c r="F36" s="8" t="s">
        <v>114</v>
      </c>
      <c r="G36" s="5">
        <v>1</v>
      </c>
      <c r="I36" s="4">
        <f>1764+80+210+26</f>
        <v>2080</v>
      </c>
      <c r="J36" s="4">
        <v>0</v>
      </c>
      <c r="K36" s="4">
        <v>266.5</v>
      </c>
      <c r="L36" s="4">
        <v>0</v>
      </c>
      <c r="M36" s="4">
        <v>0</v>
      </c>
      <c r="N36" s="2">
        <f>(C36*I36)+(E36*K36)</f>
        <v>44065.1575</v>
      </c>
      <c r="O36" s="2">
        <v>44044.61</v>
      </c>
      <c r="P36" s="2">
        <f t="shared" si="2"/>
        <v>-20.547500000000582</v>
      </c>
    </row>
    <row r="37" spans="1:16" ht="12.75">
      <c r="A37" s="1">
        <v>20378</v>
      </c>
      <c r="B37" s="7" t="s">
        <v>21</v>
      </c>
      <c r="C37" s="5">
        <v>18.88</v>
      </c>
      <c r="D37" s="8" t="s">
        <v>114</v>
      </c>
      <c r="E37" s="5">
        <f t="shared" si="3"/>
        <v>28.32</v>
      </c>
      <c r="F37" s="8" t="s">
        <v>114</v>
      </c>
      <c r="G37" s="5">
        <v>1</v>
      </c>
      <c r="I37" s="4">
        <f>1676.5+80+219.5+104</f>
        <v>2080</v>
      </c>
      <c r="J37" s="4">
        <v>0</v>
      </c>
      <c r="K37" s="4">
        <v>171</v>
      </c>
      <c r="L37" s="4">
        <v>0</v>
      </c>
      <c r="M37" s="4">
        <v>1688</v>
      </c>
      <c r="N37" s="2">
        <f>(C37*I37)+(E37*K37)+(G37*M37)</f>
        <v>45801.12</v>
      </c>
      <c r="O37" s="2">
        <v>45781.92</v>
      </c>
      <c r="P37" s="2">
        <f t="shared" si="2"/>
        <v>-19.200000000004366</v>
      </c>
    </row>
    <row r="38" spans="1:16" ht="12.75">
      <c r="A38" s="1">
        <v>40350</v>
      </c>
      <c r="B38" s="7" t="s">
        <v>13</v>
      </c>
      <c r="C38" s="5">
        <v>17.37</v>
      </c>
      <c r="D38" s="8" t="s">
        <v>114</v>
      </c>
      <c r="E38" s="5">
        <f t="shared" si="3"/>
        <v>26.055</v>
      </c>
      <c r="F38" s="8" t="s">
        <v>114</v>
      </c>
      <c r="G38" s="5">
        <v>1</v>
      </c>
      <c r="I38" s="4">
        <f>1802+80+198</f>
        <v>2080</v>
      </c>
      <c r="J38" s="4">
        <v>0</v>
      </c>
      <c r="K38" s="4">
        <v>4</v>
      </c>
      <c r="L38" s="4">
        <v>0</v>
      </c>
      <c r="M38" s="4">
        <v>0</v>
      </c>
      <c r="N38" s="2">
        <f>(C38*I38)+(E38*K38)</f>
        <v>36233.82</v>
      </c>
      <c r="O38" s="2">
        <v>36220.22</v>
      </c>
      <c r="P38" s="2">
        <f t="shared" si="2"/>
        <v>-13.599999999998545</v>
      </c>
    </row>
    <row r="39" spans="1:16" ht="12.75">
      <c r="A39" s="1">
        <v>60528</v>
      </c>
      <c r="B39" s="7" t="s">
        <v>22</v>
      </c>
      <c r="C39" s="5">
        <v>15.89</v>
      </c>
      <c r="D39" s="8" t="s">
        <v>114</v>
      </c>
      <c r="E39" s="5">
        <f t="shared" si="3"/>
        <v>23.835</v>
      </c>
      <c r="F39" s="8" t="s">
        <v>114</v>
      </c>
      <c r="G39" s="5">
        <v>1</v>
      </c>
      <c r="I39" s="4">
        <f>1526+48+5+5</f>
        <v>1584</v>
      </c>
      <c r="J39" s="4">
        <v>0</v>
      </c>
      <c r="K39" s="4">
        <v>109.5</v>
      </c>
      <c r="L39" s="4">
        <v>0</v>
      </c>
      <c r="M39" s="4">
        <v>687</v>
      </c>
      <c r="N39" s="2">
        <f>(C39*I39)+(E39*K39)+(G39*M39)</f>
        <v>28466.6925</v>
      </c>
      <c r="O39" s="2">
        <v>28466.74</v>
      </c>
      <c r="P39" s="2">
        <f t="shared" si="2"/>
        <v>0.04750000000058208</v>
      </c>
    </row>
    <row r="40" spans="1:16" ht="12.75">
      <c r="A40" s="1">
        <v>60494</v>
      </c>
      <c r="B40" s="7" t="s">
        <v>21</v>
      </c>
      <c r="C40" s="5">
        <v>17.277</v>
      </c>
      <c r="D40" s="8" t="s">
        <v>114</v>
      </c>
      <c r="E40" s="5">
        <f t="shared" si="3"/>
        <v>25.9155</v>
      </c>
      <c r="F40" s="8" t="s">
        <v>114</v>
      </c>
      <c r="G40" s="5">
        <v>1</v>
      </c>
      <c r="I40" s="4">
        <f>1821+80+137+42</f>
        <v>2080</v>
      </c>
      <c r="J40" s="4">
        <v>0</v>
      </c>
      <c r="K40" s="4">
        <v>154</v>
      </c>
      <c r="L40" s="4">
        <v>0</v>
      </c>
      <c r="M40" s="4">
        <v>1103.5</v>
      </c>
      <c r="N40" s="2">
        <f>(C40*I40)+(E40*K40)+(G40*M40)</f>
        <v>41030.647000000004</v>
      </c>
      <c r="O40" s="2">
        <v>41043.92</v>
      </c>
      <c r="P40" s="2">
        <f t="shared" si="2"/>
        <v>13.272999999993772</v>
      </c>
    </row>
    <row r="41" spans="1:16" ht="12.75">
      <c r="A41" s="1">
        <v>40400</v>
      </c>
      <c r="B41" s="7" t="s">
        <v>8</v>
      </c>
      <c r="C41" s="5">
        <v>21.19</v>
      </c>
      <c r="D41" s="5">
        <v>22.19</v>
      </c>
      <c r="E41" s="5">
        <f t="shared" si="3"/>
        <v>31.785000000000004</v>
      </c>
      <c r="F41" s="5">
        <f>D41*1.5</f>
        <v>33.285000000000004</v>
      </c>
      <c r="G41" s="5">
        <v>1</v>
      </c>
      <c r="I41" s="4">
        <f>80+104+8</f>
        <v>192</v>
      </c>
      <c r="J41" s="4">
        <v>1928</v>
      </c>
      <c r="K41" s="4">
        <v>107</v>
      </c>
      <c r="L41" s="4">
        <v>0</v>
      </c>
      <c r="M41" s="4">
        <v>0</v>
      </c>
      <c r="N41" s="2">
        <f>(C41*I41)+(E41*K41)+(G41*M41)+(D41*J41)+(F41*L41)</f>
        <v>50251.795</v>
      </c>
      <c r="O41" s="2">
        <v>50256.36</v>
      </c>
      <c r="P41" s="2">
        <f t="shared" si="2"/>
        <v>4.565000000002328</v>
      </c>
    </row>
    <row r="42" spans="1:16" ht="12.75">
      <c r="A42" s="1">
        <v>40410</v>
      </c>
      <c r="B42" s="7" t="s">
        <v>23</v>
      </c>
      <c r="C42" s="5">
        <v>21</v>
      </c>
      <c r="D42" s="5" t="s">
        <v>114</v>
      </c>
      <c r="E42" s="5">
        <f t="shared" si="3"/>
        <v>31.5</v>
      </c>
      <c r="F42" s="5" t="s">
        <v>114</v>
      </c>
      <c r="G42" s="5">
        <v>1</v>
      </c>
      <c r="I42" s="4">
        <v>595</v>
      </c>
      <c r="J42" s="4">
        <v>0</v>
      </c>
      <c r="K42" s="4">
        <v>0</v>
      </c>
      <c r="L42" s="4">
        <v>0</v>
      </c>
      <c r="M42" s="4">
        <v>0</v>
      </c>
      <c r="N42" s="2">
        <f>(C42*I42)+(E42*K42)</f>
        <v>12495</v>
      </c>
      <c r="O42" s="2">
        <v>12495</v>
      </c>
      <c r="P42" s="2">
        <f t="shared" si="2"/>
        <v>0</v>
      </c>
    </row>
    <row r="43" spans="1:17" ht="12.75">
      <c r="A43" s="31" t="s">
        <v>95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18"/>
      <c r="P43" s="18"/>
      <c r="Q43" s="18" t="s">
        <v>98</v>
      </c>
    </row>
    <row r="44" spans="1:17" ht="12.75">
      <c r="A44" s="31" t="s">
        <v>96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18"/>
      <c r="P44" s="18"/>
      <c r="Q44" s="19" t="s">
        <v>101</v>
      </c>
    </row>
    <row r="45" spans="1:17" ht="12.75">
      <c r="A45" s="31" t="s">
        <v>97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18"/>
      <c r="P45" s="18"/>
      <c r="Q45" s="19" t="s">
        <v>99</v>
      </c>
    </row>
    <row r="46" spans="1:17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9"/>
    </row>
    <row r="47" spans="1:17" ht="12.75">
      <c r="A47" s="9"/>
      <c r="B47" s="9"/>
      <c r="C47" s="32" t="s">
        <v>84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9"/>
      <c r="O47" s="9"/>
      <c r="P47" s="9"/>
      <c r="Q47" s="19"/>
    </row>
    <row r="48" spans="3:16" ht="12.75">
      <c r="C48" s="32" t="s">
        <v>86</v>
      </c>
      <c r="D48" s="32"/>
      <c r="E48" s="32"/>
      <c r="F48" s="32"/>
      <c r="G48" s="32"/>
      <c r="H48" s="11"/>
      <c r="I48" s="32" t="s">
        <v>85</v>
      </c>
      <c r="J48" s="32"/>
      <c r="K48" s="32"/>
      <c r="L48" s="32"/>
      <c r="M48" s="32"/>
      <c r="N48" s="20"/>
      <c r="O48" s="8"/>
      <c r="P48" s="8"/>
    </row>
    <row r="49" spans="3:16" ht="12.75">
      <c r="C49" s="10"/>
      <c r="D49" s="10" t="s">
        <v>117</v>
      </c>
      <c r="E49" s="10" t="s">
        <v>82</v>
      </c>
      <c r="F49" s="10" t="s">
        <v>120</v>
      </c>
      <c r="G49" s="10"/>
      <c r="H49" s="11"/>
      <c r="I49" s="10"/>
      <c r="J49" s="10"/>
      <c r="K49" s="10"/>
      <c r="L49" s="10"/>
      <c r="M49" s="10"/>
      <c r="N49" s="20" t="s">
        <v>87</v>
      </c>
      <c r="O49" s="8" t="s">
        <v>89</v>
      </c>
      <c r="P49" s="8" t="s">
        <v>92</v>
      </c>
    </row>
    <row r="50" spans="3:16" ht="12.75">
      <c r="C50" s="5" t="s">
        <v>82</v>
      </c>
      <c r="D50" s="8" t="s">
        <v>118</v>
      </c>
      <c r="E50" s="5" t="s">
        <v>83</v>
      </c>
      <c r="F50" s="5" t="s">
        <v>83</v>
      </c>
      <c r="G50" s="5" t="s">
        <v>121</v>
      </c>
      <c r="J50" s="5" t="s">
        <v>119</v>
      </c>
      <c r="L50" s="5" t="s">
        <v>120</v>
      </c>
      <c r="N50" s="20" t="s">
        <v>84</v>
      </c>
      <c r="O50" s="8" t="s">
        <v>90</v>
      </c>
      <c r="P50" s="8" t="s">
        <v>93</v>
      </c>
    </row>
    <row r="51" spans="1:17" ht="12.75">
      <c r="A51" s="11" t="s">
        <v>0</v>
      </c>
      <c r="B51" s="11" t="s">
        <v>1</v>
      </c>
      <c r="C51" s="12" t="s">
        <v>122</v>
      </c>
      <c r="D51" s="12" t="s">
        <v>122</v>
      </c>
      <c r="E51" s="12" t="s">
        <v>122</v>
      </c>
      <c r="F51" s="12" t="s">
        <v>122</v>
      </c>
      <c r="G51" s="12" t="s">
        <v>122</v>
      </c>
      <c r="H51" s="12"/>
      <c r="I51" s="22" t="s">
        <v>82</v>
      </c>
      <c r="J51" s="12" t="s">
        <v>118</v>
      </c>
      <c r="K51" s="22" t="s">
        <v>83</v>
      </c>
      <c r="L51" s="12" t="s">
        <v>83</v>
      </c>
      <c r="M51" s="22" t="s">
        <v>121</v>
      </c>
      <c r="N51" s="11" t="s">
        <v>88</v>
      </c>
      <c r="O51" s="12" t="s">
        <v>91</v>
      </c>
      <c r="P51" s="12" t="s">
        <v>89</v>
      </c>
      <c r="Q51" s="20" t="s">
        <v>94</v>
      </c>
    </row>
    <row r="52" spans="1:16" ht="12.75">
      <c r="A52" s="1">
        <v>40405</v>
      </c>
      <c r="B52" s="7" t="s">
        <v>24</v>
      </c>
      <c r="C52" s="5">
        <v>35.98</v>
      </c>
      <c r="D52" s="8" t="s">
        <v>114</v>
      </c>
      <c r="E52" s="5">
        <v>0</v>
      </c>
      <c r="F52" s="8" t="s">
        <v>114</v>
      </c>
      <c r="G52" s="5">
        <v>1</v>
      </c>
      <c r="I52" s="4">
        <f>2080+40</f>
        <v>2120</v>
      </c>
      <c r="J52" s="4">
        <v>0</v>
      </c>
      <c r="K52" s="4">
        <v>0</v>
      </c>
      <c r="L52" s="4">
        <v>0</v>
      </c>
      <c r="M52" s="4">
        <v>0</v>
      </c>
      <c r="N52" s="2">
        <f>(C52*I52)+(E52*K52)</f>
        <v>76277.59999999999</v>
      </c>
      <c r="O52" s="2">
        <v>76289.68</v>
      </c>
      <c r="P52" s="2">
        <f>O52-N52</f>
        <v>12.080000000001746</v>
      </c>
    </row>
    <row r="53" spans="1:16" ht="12.75">
      <c r="A53" s="1">
        <v>60487</v>
      </c>
      <c r="B53" s="7" t="s">
        <v>8</v>
      </c>
      <c r="C53" s="5">
        <v>18.7</v>
      </c>
      <c r="D53" s="8">
        <v>19.7</v>
      </c>
      <c r="E53" s="5">
        <f aca="true" t="shared" si="4" ref="E53:F88">C53*1.5</f>
        <v>28.049999999999997</v>
      </c>
      <c r="F53" s="5">
        <f t="shared" si="4"/>
        <v>29.549999999999997</v>
      </c>
      <c r="G53" s="5">
        <v>1</v>
      </c>
      <c r="I53" s="4">
        <f>(1883.5+80+156.5)-J53</f>
        <v>2024</v>
      </c>
      <c r="J53" s="4">
        <v>96</v>
      </c>
      <c r="K53" s="4">
        <v>56.5</v>
      </c>
      <c r="L53" s="4">
        <v>74</v>
      </c>
      <c r="M53" s="4">
        <v>0</v>
      </c>
      <c r="N53" s="2">
        <f>(C53*I53)+(E53*K53)+(G53*M53)+(D53*J53)+(F53*L53)</f>
        <v>43511.52499999999</v>
      </c>
      <c r="O53" s="2">
        <v>43531.34</v>
      </c>
      <c r="P53" s="2">
        <f aca="true" t="shared" si="5" ref="P53:P88">O53-N53</f>
        <v>19.815000000009604</v>
      </c>
    </row>
    <row r="54" spans="1:16" ht="12.75">
      <c r="A54" s="1">
        <v>60525</v>
      </c>
      <c r="B54" s="3" t="s">
        <v>22</v>
      </c>
      <c r="C54" s="5">
        <v>15.89</v>
      </c>
      <c r="D54" s="8" t="s">
        <v>114</v>
      </c>
      <c r="E54" s="5">
        <f t="shared" si="4"/>
        <v>23.835</v>
      </c>
      <c r="F54" s="8" t="s">
        <v>114</v>
      </c>
      <c r="G54" s="5">
        <v>1</v>
      </c>
      <c r="I54" s="4">
        <f>1703+56+36+2.5+2.5</f>
        <v>1800</v>
      </c>
      <c r="J54" s="4">
        <v>0</v>
      </c>
      <c r="K54" s="4">
        <v>29.75</v>
      </c>
      <c r="L54" s="4">
        <v>0</v>
      </c>
      <c r="M54" s="4">
        <v>0</v>
      </c>
      <c r="N54" s="2">
        <f aca="true" t="shared" si="6" ref="N54:N88">(C54*I54)+(E54*K54)+(G54*M54)</f>
        <v>29311.09125</v>
      </c>
      <c r="O54" s="2">
        <v>29311.11</v>
      </c>
      <c r="P54" s="2">
        <f t="shared" si="5"/>
        <v>0.018749999999272404</v>
      </c>
    </row>
    <row r="55" spans="1:16" ht="12.75">
      <c r="A55" s="1">
        <v>20450</v>
      </c>
      <c r="B55" s="3" t="s">
        <v>21</v>
      </c>
      <c r="C55" s="5">
        <v>24.64</v>
      </c>
      <c r="D55" s="8" t="s">
        <v>114</v>
      </c>
      <c r="E55" s="5">
        <f t="shared" si="4"/>
        <v>36.96</v>
      </c>
      <c r="F55" s="8" t="s">
        <v>114</v>
      </c>
      <c r="G55" s="5">
        <v>1</v>
      </c>
      <c r="I55" s="4">
        <f>1768+80+216+56</f>
        <v>2120</v>
      </c>
      <c r="J55" s="4">
        <v>0</v>
      </c>
      <c r="K55" s="4">
        <v>365.5</v>
      </c>
      <c r="L55" s="4">
        <v>0</v>
      </c>
      <c r="M55" s="4">
        <v>0</v>
      </c>
      <c r="N55" s="2">
        <f t="shared" si="6"/>
        <v>65745.68000000001</v>
      </c>
      <c r="O55" s="2">
        <v>65724.08</v>
      </c>
      <c r="P55" s="2">
        <f t="shared" si="5"/>
        <v>-21.60000000000582</v>
      </c>
    </row>
    <row r="56" spans="1:16" ht="12.75">
      <c r="A56" s="1">
        <v>30325</v>
      </c>
      <c r="B56" s="3" t="s">
        <v>25</v>
      </c>
      <c r="C56" s="5">
        <v>32.81</v>
      </c>
      <c r="D56" s="5" t="s">
        <v>114</v>
      </c>
      <c r="E56" s="5">
        <f t="shared" si="4"/>
        <v>49.215</v>
      </c>
      <c r="F56" s="5" t="s">
        <v>114</v>
      </c>
      <c r="G56" s="5">
        <v>1</v>
      </c>
      <c r="I56" s="4">
        <v>2080</v>
      </c>
      <c r="J56" s="4">
        <v>0</v>
      </c>
      <c r="K56" s="4">
        <v>0</v>
      </c>
      <c r="L56" s="4">
        <v>0</v>
      </c>
      <c r="M56" s="4">
        <v>0</v>
      </c>
      <c r="N56" s="2">
        <f t="shared" si="6"/>
        <v>68244.8</v>
      </c>
      <c r="O56" s="2">
        <v>68269.32</v>
      </c>
      <c r="P56" s="2">
        <f t="shared" si="5"/>
        <v>24.520000000004075</v>
      </c>
    </row>
    <row r="57" spans="1:16" ht="12.75">
      <c r="A57" s="1">
        <v>60531</v>
      </c>
      <c r="B57" s="3" t="s">
        <v>26</v>
      </c>
      <c r="C57" s="5">
        <v>16.25</v>
      </c>
      <c r="D57" s="5" t="s">
        <v>114</v>
      </c>
      <c r="E57" s="5">
        <f t="shared" si="4"/>
        <v>24.375</v>
      </c>
      <c r="F57" s="5" t="s">
        <v>114</v>
      </c>
      <c r="G57" s="5">
        <v>1</v>
      </c>
      <c r="I57" s="4">
        <f>1190.5+32+8</f>
        <v>1230.5</v>
      </c>
      <c r="J57" s="4">
        <v>0</v>
      </c>
      <c r="K57" s="4">
        <v>51.5</v>
      </c>
      <c r="L57" s="4">
        <v>0</v>
      </c>
      <c r="M57" s="4">
        <v>594</v>
      </c>
      <c r="N57" s="2">
        <f t="shared" si="6"/>
        <v>21844.9375</v>
      </c>
      <c r="O57" s="2">
        <v>21844.98</v>
      </c>
      <c r="P57" s="2">
        <f t="shared" si="5"/>
        <v>0.04249999999956344</v>
      </c>
    </row>
    <row r="58" spans="1:16" ht="12.75">
      <c r="A58" s="1">
        <v>60488</v>
      </c>
      <c r="B58" s="3" t="s">
        <v>4</v>
      </c>
      <c r="C58" s="5">
        <v>14.44</v>
      </c>
      <c r="D58" s="5" t="s">
        <v>114</v>
      </c>
      <c r="E58" s="5">
        <f t="shared" si="4"/>
        <v>21.66</v>
      </c>
      <c r="F58" s="5" t="s">
        <v>114</v>
      </c>
      <c r="G58" s="5">
        <v>1</v>
      </c>
      <c r="I58" s="4">
        <f>1757+163.5+79.5+80</f>
        <v>2080</v>
      </c>
      <c r="J58" s="4">
        <v>0</v>
      </c>
      <c r="K58" s="4">
        <v>4.5</v>
      </c>
      <c r="L58" s="4">
        <v>0</v>
      </c>
      <c r="M58" s="4">
        <v>0</v>
      </c>
      <c r="N58" s="2">
        <f>(C58*I58)+(E58*K58)</f>
        <v>30132.670000000002</v>
      </c>
      <c r="O58" s="2">
        <v>30117.9</v>
      </c>
      <c r="P58" s="2">
        <f t="shared" si="5"/>
        <v>-14.770000000000437</v>
      </c>
    </row>
    <row r="59" spans="1:16" ht="12.75">
      <c r="A59" s="1">
        <v>20500</v>
      </c>
      <c r="B59" s="3" t="s">
        <v>27</v>
      </c>
      <c r="C59" s="5">
        <v>20</v>
      </c>
      <c r="D59" s="5" t="s">
        <v>114</v>
      </c>
      <c r="E59" s="5">
        <f t="shared" si="4"/>
        <v>30</v>
      </c>
      <c r="F59" s="5" t="s">
        <v>114</v>
      </c>
      <c r="G59" s="5">
        <v>1</v>
      </c>
      <c r="I59" s="4">
        <v>760</v>
      </c>
      <c r="J59" s="4">
        <v>0</v>
      </c>
      <c r="K59" s="4">
        <v>0</v>
      </c>
      <c r="L59" s="4">
        <v>0</v>
      </c>
      <c r="M59" s="4">
        <v>0</v>
      </c>
      <c r="N59" s="2">
        <f t="shared" si="6"/>
        <v>15200</v>
      </c>
      <c r="O59" s="2">
        <v>15200</v>
      </c>
      <c r="P59" s="2">
        <f t="shared" si="5"/>
        <v>0</v>
      </c>
    </row>
    <row r="60" spans="1:16" ht="12.75">
      <c r="A60" s="1">
        <v>60465</v>
      </c>
      <c r="B60" s="3" t="s">
        <v>28</v>
      </c>
      <c r="C60" s="5">
        <v>15.11</v>
      </c>
      <c r="D60" s="5" t="s">
        <v>114</v>
      </c>
      <c r="E60" s="5">
        <f t="shared" si="4"/>
        <v>22.665</v>
      </c>
      <c r="F60" s="5" t="s">
        <v>114</v>
      </c>
      <c r="G60" s="5">
        <v>1</v>
      </c>
      <c r="I60" s="4">
        <f>1789.25+80+153.75+57</f>
        <v>2080</v>
      </c>
      <c r="J60" s="4">
        <v>0</v>
      </c>
      <c r="K60" s="4">
        <v>52.5</v>
      </c>
      <c r="L60" s="4">
        <v>0</v>
      </c>
      <c r="M60" s="4">
        <v>0</v>
      </c>
      <c r="N60" s="2">
        <f t="shared" si="6"/>
        <v>32618.712499999998</v>
      </c>
      <c r="O60" s="2">
        <v>32605.52</v>
      </c>
      <c r="P60" s="2">
        <f t="shared" si="5"/>
        <v>-13.19249999999738</v>
      </c>
    </row>
    <row r="61" spans="1:16" ht="12.75">
      <c r="A61" s="1">
        <v>40435</v>
      </c>
      <c r="B61" s="3" t="s">
        <v>29</v>
      </c>
      <c r="C61" s="5">
        <v>21.72</v>
      </c>
      <c r="D61" s="5" t="s">
        <v>114</v>
      </c>
      <c r="E61" s="5">
        <f t="shared" si="4"/>
        <v>32.58</v>
      </c>
      <c r="F61" s="5" t="s">
        <v>114</v>
      </c>
      <c r="G61" s="5">
        <v>1</v>
      </c>
      <c r="I61" s="4">
        <f>1801.5+80+161+20.25+57.25</f>
        <v>2120</v>
      </c>
      <c r="J61" s="4">
        <v>0</v>
      </c>
      <c r="K61" s="4">
        <v>242.75</v>
      </c>
      <c r="L61" s="4">
        <v>0</v>
      </c>
      <c r="M61" s="4">
        <v>297.75</v>
      </c>
      <c r="N61" s="2">
        <f>(22.86*1120)+(21.72*1000)+(1*297.75)+(34.29*188)+(32.58*54.75)</f>
        <v>55851.22499999999</v>
      </c>
      <c r="O61" s="2">
        <v>55861.04</v>
      </c>
      <c r="P61" s="2">
        <f t="shared" si="5"/>
        <v>9.815000000009604</v>
      </c>
    </row>
    <row r="62" spans="1:16" ht="12.75">
      <c r="A62" s="1">
        <v>30350</v>
      </c>
      <c r="B62" s="23" t="s">
        <v>29</v>
      </c>
      <c r="C62" s="5">
        <v>25.94</v>
      </c>
      <c r="D62" s="5" t="s">
        <v>114</v>
      </c>
      <c r="E62" s="5">
        <f t="shared" si="4"/>
        <v>38.910000000000004</v>
      </c>
      <c r="F62" s="5" t="s">
        <v>114</v>
      </c>
      <c r="G62" s="5">
        <v>1</v>
      </c>
      <c r="I62" s="4">
        <f>1828.75+80+199+2.5+16.5</f>
        <v>2126.75</v>
      </c>
      <c r="J62" s="4">
        <v>0</v>
      </c>
      <c r="K62" s="4">
        <v>69.5</v>
      </c>
      <c r="L62" s="4">
        <v>0</v>
      </c>
      <c r="M62" s="4">
        <v>0</v>
      </c>
      <c r="N62" s="2">
        <f t="shared" si="6"/>
        <v>57872.14000000001</v>
      </c>
      <c r="O62" s="2">
        <v>57850.47</v>
      </c>
      <c r="P62" s="2">
        <f t="shared" si="5"/>
        <v>-21.67000000000553</v>
      </c>
    </row>
    <row r="63" spans="1:16" ht="12.75">
      <c r="A63" s="1">
        <v>60529</v>
      </c>
      <c r="B63" s="7" t="s">
        <v>7</v>
      </c>
      <c r="C63" s="5">
        <v>15.89</v>
      </c>
      <c r="D63" s="5" t="s">
        <v>114</v>
      </c>
      <c r="E63" s="5">
        <f t="shared" si="4"/>
        <v>23.835</v>
      </c>
      <c r="F63" s="5" t="s">
        <v>114</v>
      </c>
      <c r="G63" s="5">
        <v>1</v>
      </c>
      <c r="I63" s="4">
        <f>1317.5+56+24+5.25+13.25</f>
        <v>1416</v>
      </c>
      <c r="J63" s="4">
        <v>0</v>
      </c>
      <c r="K63" s="4">
        <v>92.75</v>
      </c>
      <c r="L63" s="4">
        <v>0</v>
      </c>
      <c r="M63" s="4">
        <v>403.25</v>
      </c>
      <c r="N63" s="2">
        <f t="shared" si="6"/>
        <v>25114.186250000002</v>
      </c>
      <c r="O63" s="2">
        <v>25114.23</v>
      </c>
      <c r="P63" s="2">
        <f t="shared" si="5"/>
        <v>0.04374999999708962</v>
      </c>
    </row>
    <row r="64" spans="1:16" ht="12.75">
      <c r="A64" s="1">
        <v>60484</v>
      </c>
      <c r="B64" s="7" t="s">
        <v>8</v>
      </c>
      <c r="C64" s="5">
        <v>18.27</v>
      </c>
      <c r="D64" s="5">
        <v>19.27</v>
      </c>
      <c r="E64" s="5">
        <f t="shared" si="4"/>
        <v>27.405</v>
      </c>
      <c r="F64" s="5">
        <f>D64*1.5</f>
        <v>28.905</v>
      </c>
      <c r="G64" s="5">
        <v>1</v>
      </c>
      <c r="I64" s="4">
        <f>72+144</f>
        <v>216</v>
      </c>
      <c r="J64" s="4">
        <v>1864</v>
      </c>
      <c r="K64" s="4">
        <f>153.67-L64</f>
        <v>74.16999999999999</v>
      </c>
      <c r="L64" s="4">
        <v>79.5</v>
      </c>
      <c r="M64" s="4">
        <v>0</v>
      </c>
      <c r="N64" s="2">
        <f>(16.34*104)+(17.34*216)+((17.34*1.5)*32)+(19.27*1760)+((18.27*1.5)*42.17)+((19.27*1.5)*79.5)</f>
        <v>43645.93635</v>
      </c>
      <c r="O64" s="2">
        <v>43320.59</v>
      </c>
      <c r="P64" s="2">
        <f t="shared" si="5"/>
        <v>-325.3463500000071</v>
      </c>
    </row>
    <row r="65" spans="1:16" ht="12.75">
      <c r="A65" s="1">
        <v>20650</v>
      </c>
      <c r="B65" s="7" t="s">
        <v>30</v>
      </c>
      <c r="C65" s="5">
        <v>11</v>
      </c>
      <c r="D65" s="5" t="s">
        <v>114</v>
      </c>
      <c r="E65" s="5">
        <f t="shared" si="4"/>
        <v>16.5</v>
      </c>
      <c r="F65" s="5" t="s">
        <v>114</v>
      </c>
      <c r="G65" s="5">
        <v>1</v>
      </c>
      <c r="I65" s="4">
        <v>400</v>
      </c>
      <c r="J65" s="4">
        <v>0</v>
      </c>
      <c r="K65" s="4">
        <v>0</v>
      </c>
      <c r="L65" s="4">
        <v>0</v>
      </c>
      <c r="M65" s="4">
        <v>0</v>
      </c>
      <c r="N65" s="2">
        <f t="shared" si="6"/>
        <v>4400</v>
      </c>
      <c r="O65" s="2">
        <v>4400</v>
      </c>
      <c r="P65" s="2">
        <f t="shared" si="5"/>
        <v>0</v>
      </c>
    </row>
    <row r="66" spans="1:16" ht="12.75">
      <c r="A66" s="1">
        <v>30415</v>
      </c>
      <c r="B66" s="7" t="s">
        <v>7</v>
      </c>
      <c r="C66" s="5">
        <v>24.73</v>
      </c>
      <c r="D66" s="5" t="s">
        <v>114</v>
      </c>
      <c r="E66" s="5">
        <f t="shared" si="4"/>
        <v>37.095</v>
      </c>
      <c r="F66" s="5" t="s">
        <v>114</v>
      </c>
      <c r="G66" s="5">
        <v>1</v>
      </c>
      <c r="I66" s="4">
        <f>1644.5+80+220+68+67.5</f>
        <v>2080</v>
      </c>
      <c r="J66" s="4">
        <v>0</v>
      </c>
      <c r="K66" s="4">
        <v>395.5</v>
      </c>
      <c r="L66" s="4">
        <v>0</v>
      </c>
      <c r="M66" s="4">
        <v>574.25</v>
      </c>
      <c r="N66" s="2">
        <f t="shared" si="6"/>
        <v>66683.7225</v>
      </c>
      <c r="O66" s="2">
        <v>66657.1</v>
      </c>
      <c r="P66" s="2">
        <f t="shared" si="5"/>
        <v>-26.62249999999767</v>
      </c>
    </row>
    <row r="67" spans="1:16" ht="12.75">
      <c r="A67" s="1">
        <v>60466</v>
      </c>
      <c r="B67" s="7" t="s">
        <v>31</v>
      </c>
      <c r="C67" s="5">
        <v>23.31</v>
      </c>
      <c r="D67" s="5" t="s">
        <v>114</v>
      </c>
      <c r="E67" s="5">
        <f t="shared" si="4"/>
        <v>34.964999999999996</v>
      </c>
      <c r="F67" s="5" t="s">
        <v>114</v>
      </c>
      <c r="G67" s="5">
        <v>1</v>
      </c>
      <c r="I67" s="4">
        <f>1860+80+113.5+63.5</f>
        <v>2117</v>
      </c>
      <c r="J67" s="4">
        <v>0</v>
      </c>
      <c r="K67" s="4">
        <v>639</v>
      </c>
      <c r="L67" s="4">
        <v>0</v>
      </c>
      <c r="M67" s="4">
        <v>0</v>
      </c>
      <c r="N67" s="2">
        <f>(22.2*1080)+(33.3*339.5)+(23.31*1037)+(34.965*299.5)</f>
        <v>69925.8375</v>
      </c>
      <c r="O67" s="2">
        <v>69824.63</v>
      </c>
      <c r="P67" s="2">
        <f t="shared" si="5"/>
        <v>-101.20749999998952</v>
      </c>
    </row>
    <row r="68" spans="1:16" ht="12.75">
      <c r="A68" s="1">
        <v>60460</v>
      </c>
      <c r="B68" s="7" t="s">
        <v>4</v>
      </c>
      <c r="C68" s="5">
        <v>14.9</v>
      </c>
      <c r="D68" s="5" t="s">
        <v>114</v>
      </c>
      <c r="E68" s="5">
        <f t="shared" si="4"/>
        <v>22.35</v>
      </c>
      <c r="F68" s="5" t="s">
        <v>114</v>
      </c>
      <c r="G68" s="5">
        <v>1</v>
      </c>
      <c r="I68" s="4">
        <f>1344.5+80+139.75+45</f>
        <v>1609.25</v>
      </c>
      <c r="J68" s="4">
        <v>0</v>
      </c>
      <c r="K68" s="4">
        <v>0</v>
      </c>
      <c r="L68" s="4">
        <v>0</v>
      </c>
      <c r="M68" s="4">
        <v>0</v>
      </c>
      <c r="N68" s="2">
        <f t="shared" si="6"/>
        <v>23977.825</v>
      </c>
      <c r="O68" s="2">
        <v>23964.71</v>
      </c>
      <c r="P68" s="2">
        <f t="shared" si="5"/>
        <v>-13.1150000000016</v>
      </c>
    </row>
    <row r="69" spans="1:16" ht="12.75">
      <c r="A69" s="1">
        <v>60534</v>
      </c>
      <c r="B69" s="7" t="s">
        <v>7</v>
      </c>
      <c r="C69" s="5">
        <v>15.89</v>
      </c>
      <c r="D69" s="5" t="s">
        <v>114</v>
      </c>
      <c r="E69" s="5">
        <f t="shared" si="4"/>
        <v>23.835</v>
      </c>
      <c r="F69" s="5" t="s">
        <v>114</v>
      </c>
      <c r="G69" s="5">
        <v>1</v>
      </c>
      <c r="I69" s="4">
        <f>681+24+7.5</f>
        <v>712.5</v>
      </c>
      <c r="J69" s="4">
        <v>0</v>
      </c>
      <c r="K69" s="4">
        <v>100.75</v>
      </c>
      <c r="L69" s="4">
        <v>0</v>
      </c>
      <c r="M69" s="4">
        <v>177.5</v>
      </c>
      <c r="N69" s="2">
        <f t="shared" si="6"/>
        <v>13900.501250000001</v>
      </c>
      <c r="O69" s="2">
        <v>13900.53</v>
      </c>
      <c r="P69" s="2">
        <f t="shared" si="5"/>
        <v>0.028749999999490683</v>
      </c>
    </row>
    <row r="70" spans="1:16" ht="12.75">
      <c r="A70" s="1">
        <v>60512</v>
      </c>
      <c r="B70" s="7" t="s">
        <v>7</v>
      </c>
      <c r="C70" s="5">
        <v>16.21</v>
      </c>
      <c r="D70" s="5" t="s">
        <v>114</v>
      </c>
      <c r="E70" s="5">
        <f t="shared" si="4"/>
        <v>24.315</v>
      </c>
      <c r="F70" s="5" t="s">
        <v>114</v>
      </c>
      <c r="G70" s="5">
        <v>1</v>
      </c>
      <c r="I70" s="4">
        <f>1843.5+80+81+65.5+5</f>
        <v>2075</v>
      </c>
      <c r="J70" s="4">
        <v>0</v>
      </c>
      <c r="K70" s="4">
        <v>541</v>
      </c>
      <c r="L70" s="4">
        <v>0</v>
      </c>
      <c r="M70" s="4">
        <v>472</v>
      </c>
      <c r="N70" s="2">
        <f t="shared" si="6"/>
        <v>47262.165</v>
      </c>
      <c r="O70" s="2">
        <v>47236.23</v>
      </c>
      <c r="P70" s="2">
        <f t="shared" si="5"/>
        <v>-25.93499999999767</v>
      </c>
    </row>
    <row r="71" spans="1:16" ht="12.75">
      <c r="A71" s="1">
        <v>30425</v>
      </c>
      <c r="B71" s="7" t="s">
        <v>22</v>
      </c>
      <c r="C71" s="5">
        <v>24.73</v>
      </c>
      <c r="D71" s="5" t="s">
        <v>114</v>
      </c>
      <c r="E71" s="5">
        <f t="shared" si="4"/>
        <v>37.095</v>
      </c>
      <c r="F71" s="5" t="s">
        <v>114</v>
      </c>
      <c r="G71" s="5">
        <v>1</v>
      </c>
      <c r="I71" s="4">
        <f>1845.5+80+134+5+55.5</f>
        <v>2120</v>
      </c>
      <c r="J71" s="4">
        <v>0</v>
      </c>
      <c r="K71" s="4">
        <v>82.75</v>
      </c>
      <c r="L71" s="4">
        <v>0</v>
      </c>
      <c r="M71" s="4">
        <v>0</v>
      </c>
      <c r="N71" s="2">
        <f t="shared" si="6"/>
        <v>55497.21125</v>
      </c>
      <c r="O71" s="2">
        <v>55472.15</v>
      </c>
      <c r="P71" s="2">
        <f t="shared" si="5"/>
        <v>-25.061249999998836</v>
      </c>
    </row>
    <row r="72" spans="1:16" ht="12.75">
      <c r="A72" s="1">
        <v>20660</v>
      </c>
      <c r="B72" s="7" t="s">
        <v>13</v>
      </c>
      <c r="C72" s="5">
        <v>14.54</v>
      </c>
      <c r="D72" s="5" t="s">
        <v>114</v>
      </c>
      <c r="E72" s="5">
        <f t="shared" si="4"/>
        <v>21.81</v>
      </c>
      <c r="F72" s="5" t="s">
        <v>114</v>
      </c>
      <c r="G72" s="5">
        <v>1</v>
      </c>
      <c r="I72" s="4">
        <f>1818.5+72+154.5+35</f>
        <v>2080</v>
      </c>
      <c r="J72" s="4">
        <v>0</v>
      </c>
      <c r="K72" s="4">
        <v>152.5</v>
      </c>
      <c r="L72" s="4">
        <v>0</v>
      </c>
      <c r="M72" s="4">
        <v>0</v>
      </c>
      <c r="N72" s="2">
        <f>(13.85*1040)+(20.775*107)+(14.54*1040)+(21.81*45.5)</f>
        <v>32740.879999999997</v>
      </c>
      <c r="O72" s="2">
        <v>32700.94</v>
      </c>
      <c r="P72" s="2">
        <f t="shared" si="5"/>
        <v>-39.93999999999869</v>
      </c>
    </row>
    <row r="73" spans="1:16" ht="12.75">
      <c r="A73" s="1">
        <v>40420</v>
      </c>
      <c r="B73" s="7" t="s">
        <v>32</v>
      </c>
      <c r="C73" s="5">
        <v>18.62</v>
      </c>
      <c r="D73" s="5" t="s">
        <v>114</v>
      </c>
      <c r="E73" s="5">
        <f t="shared" si="4"/>
        <v>27.93</v>
      </c>
      <c r="F73" s="5" t="s">
        <v>114</v>
      </c>
      <c r="G73" s="5">
        <v>1</v>
      </c>
      <c r="I73" s="4">
        <f>1103.09+6+48+130+42.5+50.5</f>
        <v>1380.09</v>
      </c>
      <c r="J73" s="4">
        <v>0</v>
      </c>
      <c r="K73" s="4">
        <v>165.5</v>
      </c>
      <c r="L73" s="4">
        <v>0</v>
      </c>
      <c r="M73" s="4">
        <v>272.25</v>
      </c>
      <c r="N73" s="2">
        <f>(C73*I73)+(E73*K73)+(G73*M73)</f>
        <v>30591.9408</v>
      </c>
      <c r="O73" s="2">
        <v>30462.13</v>
      </c>
      <c r="P73" s="2">
        <f t="shared" si="5"/>
        <v>-129.8107999999993</v>
      </c>
    </row>
    <row r="74" spans="1:16" ht="12.75">
      <c r="A74" s="1">
        <v>60375</v>
      </c>
      <c r="B74" s="7" t="s">
        <v>33</v>
      </c>
      <c r="C74" s="5">
        <v>9.75</v>
      </c>
      <c r="D74" s="5" t="s">
        <v>114</v>
      </c>
      <c r="E74" s="5">
        <f t="shared" si="4"/>
        <v>14.625</v>
      </c>
      <c r="F74" s="5" t="s">
        <v>114</v>
      </c>
      <c r="G74" s="5">
        <v>1</v>
      </c>
      <c r="I74" s="4">
        <v>522</v>
      </c>
      <c r="J74" s="4">
        <v>0</v>
      </c>
      <c r="K74" s="4">
        <v>0</v>
      </c>
      <c r="L74" s="4">
        <v>0</v>
      </c>
      <c r="M74" s="4">
        <v>0</v>
      </c>
      <c r="N74" s="2">
        <f t="shared" si="6"/>
        <v>5089.5</v>
      </c>
      <c r="O74" s="2">
        <v>5089.5</v>
      </c>
      <c r="P74" s="2">
        <f t="shared" si="5"/>
        <v>0</v>
      </c>
    </row>
    <row r="75" spans="1:16" ht="12.75">
      <c r="A75" s="1">
        <v>40425</v>
      </c>
      <c r="B75" s="7" t="s">
        <v>22</v>
      </c>
      <c r="C75" s="5">
        <v>18.59</v>
      </c>
      <c r="D75" s="5" t="s">
        <v>114</v>
      </c>
      <c r="E75" s="5">
        <f t="shared" si="4"/>
        <v>27.884999999999998</v>
      </c>
      <c r="F75" s="5" t="s">
        <v>114</v>
      </c>
      <c r="G75" s="5">
        <v>1</v>
      </c>
      <c r="I75" s="4">
        <f>1508.75+80+152.28+2.5+75.02</f>
        <v>1818.55</v>
      </c>
      <c r="J75" s="4">
        <v>0</v>
      </c>
      <c r="K75" s="4">
        <v>76</v>
      </c>
      <c r="L75" s="4">
        <v>0</v>
      </c>
      <c r="M75" s="4">
        <v>90.75</v>
      </c>
      <c r="N75" s="2">
        <f t="shared" si="6"/>
        <v>36016.8545</v>
      </c>
      <c r="O75" s="2">
        <v>35998.12</v>
      </c>
      <c r="P75" s="2">
        <f t="shared" si="5"/>
        <v>-18.73449999999866</v>
      </c>
    </row>
    <row r="76" spans="1:17" ht="12.75">
      <c r="A76" s="1">
        <v>10300</v>
      </c>
      <c r="B76" s="7" t="s">
        <v>34</v>
      </c>
      <c r="C76" s="5">
        <v>69.73</v>
      </c>
      <c r="D76" s="5" t="s">
        <v>114</v>
      </c>
      <c r="E76" s="5">
        <f t="shared" si="4"/>
        <v>104.595</v>
      </c>
      <c r="F76" s="5" t="s">
        <v>114</v>
      </c>
      <c r="G76" s="5">
        <v>1</v>
      </c>
      <c r="I76" s="4">
        <f>2080+48</f>
        <v>2128</v>
      </c>
      <c r="J76" s="4">
        <v>0</v>
      </c>
      <c r="K76" s="4">
        <v>0</v>
      </c>
      <c r="L76" s="4">
        <v>0</v>
      </c>
      <c r="M76" s="4">
        <v>0</v>
      </c>
      <c r="N76" s="2">
        <f t="shared" si="6"/>
        <v>148385.44</v>
      </c>
      <c r="O76" s="2">
        <v>148537.72</v>
      </c>
      <c r="P76" s="2">
        <f t="shared" si="5"/>
        <v>152.27999999999884</v>
      </c>
      <c r="Q76" s="6" t="s">
        <v>128</v>
      </c>
    </row>
    <row r="77" spans="1:16" ht="12.75">
      <c r="A77" s="1">
        <v>40450</v>
      </c>
      <c r="B77" s="7" t="s">
        <v>35</v>
      </c>
      <c r="C77" s="5">
        <v>34.69</v>
      </c>
      <c r="D77" s="5" t="s">
        <v>114</v>
      </c>
      <c r="E77" s="5">
        <f t="shared" si="4"/>
        <v>52.035</v>
      </c>
      <c r="F77" s="5" t="s">
        <v>114</v>
      </c>
      <c r="G77" s="5">
        <v>1</v>
      </c>
      <c r="I77" s="4">
        <f>2080+40</f>
        <v>2120</v>
      </c>
      <c r="J77" s="4">
        <v>0</v>
      </c>
      <c r="K77" s="4">
        <v>0</v>
      </c>
      <c r="L77" s="4">
        <v>0</v>
      </c>
      <c r="M77" s="4">
        <v>0</v>
      </c>
      <c r="N77" s="2">
        <f t="shared" si="6"/>
        <v>73542.79999999999</v>
      </c>
      <c r="O77" s="2">
        <v>73550.36</v>
      </c>
      <c r="P77" s="2">
        <f t="shared" si="5"/>
        <v>7.560000000012224</v>
      </c>
    </row>
    <row r="78" spans="1:16" ht="12.75">
      <c r="A78" s="1">
        <v>40475</v>
      </c>
      <c r="B78" s="7" t="s">
        <v>22</v>
      </c>
      <c r="C78" s="5">
        <v>18.63</v>
      </c>
      <c r="D78" s="5" t="s">
        <v>114</v>
      </c>
      <c r="E78" s="5">
        <f t="shared" si="4"/>
        <v>27.945</v>
      </c>
      <c r="F78" s="5" t="s">
        <v>114</v>
      </c>
      <c r="G78" s="5">
        <v>1</v>
      </c>
      <c r="I78" s="4">
        <v>2079.5</v>
      </c>
      <c r="J78" s="4">
        <v>0</v>
      </c>
      <c r="K78" s="4">
        <v>183</v>
      </c>
      <c r="L78" s="4">
        <v>0</v>
      </c>
      <c r="M78" s="4">
        <v>139.25</v>
      </c>
      <c r="N78" s="2">
        <f t="shared" si="6"/>
        <v>43994.27</v>
      </c>
      <c r="O78" s="2">
        <v>43977.78</v>
      </c>
      <c r="P78" s="2">
        <f t="shared" si="5"/>
        <v>-16.489999999997963</v>
      </c>
    </row>
    <row r="79" spans="1:16" ht="12.75">
      <c r="A79" s="1">
        <v>40460</v>
      </c>
      <c r="B79" s="7" t="s">
        <v>36</v>
      </c>
      <c r="C79" s="5">
        <v>19.5</v>
      </c>
      <c r="D79" s="5" t="s">
        <v>114</v>
      </c>
      <c r="E79" s="5">
        <f t="shared" si="4"/>
        <v>29.25</v>
      </c>
      <c r="F79" s="5" t="s">
        <v>114</v>
      </c>
      <c r="G79" s="5">
        <v>1</v>
      </c>
      <c r="I79" s="4">
        <f>1816.5+80+162.5+21</f>
        <v>2080</v>
      </c>
      <c r="J79" s="4">
        <v>0</v>
      </c>
      <c r="K79" s="4">
        <v>30.5</v>
      </c>
      <c r="L79" s="4">
        <v>0</v>
      </c>
      <c r="M79" s="4">
        <v>0</v>
      </c>
      <c r="N79" s="2">
        <f t="shared" si="6"/>
        <v>41452.125</v>
      </c>
      <c r="O79" s="2">
        <v>41432.59</v>
      </c>
      <c r="P79" s="2">
        <f t="shared" si="5"/>
        <v>-19.535000000003492</v>
      </c>
    </row>
    <row r="80" spans="1:16" ht="12.75">
      <c r="A80" s="1">
        <v>30450</v>
      </c>
      <c r="B80" s="7" t="s">
        <v>37</v>
      </c>
      <c r="C80" s="5">
        <v>32.6</v>
      </c>
      <c r="D80" s="5" t="s">
        <v>114</v>
      </c>
      <c r="E80" s="5">
        <f t="shared" si="4"/>
        <v>48.900000000000006</v>
      </c>
      <c r="F80" s="5" t="s">
        <v>114</v>
      </c>
      <c r="G80" s="5">
        <v>1</v>
      </c>
      <c r="I80" s="4">
        <f>1627+88+219.5+10+135.5</f>
        <v>2080</v>
      </c>
      <c r="J80" s="4">
        <v>0</v>
      </c>
      <c r="K80" s="4">
        <v>234.75</v>
      </c>
      <c r="L80" s="4">
        <v>0</v>
      </c>
      <c r="M80" s="4">
        <v>100.75</v>
      </c>
      <c r="N80" s="2">
        <f t="shared" si="6"/>
        <v>79388.025</v>
      </c>
      <c r="O80" s="2">
        <v>79467.91</v>
      </c>
      <c r="P80" s="2">
        <f t="shared" si="5"/>
        <v>79.88500000000931</v>
      </c>
    </row>
    <row r="81" spans="1:16" ht="12.75">
      <c r="A81" s="1">
        <v>20670</v>
      </c>
      <c r="B81" s="7" t="s">
        <v>8</v>
      </c>
      <c r="C81" s="5">
        <v>20.4</v>
      </c>
      <c r="D81" s="5">
        <v>21.4</v>
      </c>
      <c r="E81" s="5">
        <f t="shared" si="4"/>
        <v>30.599999999999998</v>
      </c>
      <c r="F81" s="5">
        <f t="shared" si="4"/>
        <v>32.099999999999994</v>
      </c>
      <c r="G81" s="5">
        <v>1</v>
      </c>
      <c r="I81" s="4">
        <f>80+128</f>
        <v>208</v>
      </c>
      <c r="J81" s="4">
        <v>1912</v>
      </c>
      <c r="K81" s="4">
        <v>23.5</v>
      </c>
      <c r="L81" s="4">
        <v>0</v>
      </c>
      <c r="M81" s="4">
        <v>0</v>
      </c>
      <c r="N81" s="2">
        <f>(C81*I81)+(E81*K81)+(G81*M81)+(D81*J81)+(F81*L81)</f>
        <v>45879.09999999999</v>
      </c>
      <c r="O81" s="2">
        <v>45847.89</v>
      </c>
      <c r="P81" s="2">
        <f t="shared" si="5"/>
        <v>-31.20999999999185</v>
      </c>
    </row>
    <row r="82" spans="1:16" ht="12.75">
      <c r="A82" s="1">
        <v>60510</v>
      </c>
      <c r="B82" s="7" t="s">
        <v>38</v>
      </c>
      <c r="C82" s="5">
        <v>16.25</v>
      </c>
      <c r="D82" s="5" t="s">
        <v>114</v>
      </c>
      <c r="E82" s="5">
        <f t="shared" si="4"/>
        <v>24.375</v>
      </c>
      <c r="F82" s="5" t="s">
        <v>114</v>
      </c>
      <c r="G82" s="5">
        <v>1</v>
      </c>
      <c r="I82" s="4">
        <f>1829.5+24+80+131.5+15</f>
        <v>2080</v>
      </c>
      <c r="J82" s="4">
        <v>0</v>
      </c>
      <c r="K82" s="4">
        <v>454</v>
      </c>
      <c r="L82" s="4">
        <v>0</v>
      </c>
      <c r="M82" s="4">
        <v>1892</v>
      </c>
      <c r="N82" s="2">
        <f t="shared" si="6"/>
        <v>46758.25</v>
      </c>
      <c r="O82" s="2">
        <v>46726.07</v>
      </c>
      <c r="P82" s="2">
        <f t="shared" si="5"/>
        <v>-32.18000000000029</v>
      </c>
    </row>
    <row r="83" spans="1:16" ht="12.75">
      <c r="A83" s="1">
        <v>60524</v>
      </c>
      <c r="B83" s="7" t="s">
        <v>7</v>
      </c>
      <c r="C83" s="5">
        <v>15.89</v>
      </c>
      <c r="D83" s="5" t="s">
        <v>114</v>
      </c>
      <c r="E83" s="5">
        <f t="shared" si="4"/>
        <v>23.835</v>
      </c>
      <c r="F83" s="5" t="s">
        <v>114</v>
      </c>
      <c r="G83" s="5">
        <v>1</v>
      </c>
      <c r="I83" s="4">
        <f>1672.5+48+12+33.25+13</f>
        <v>1778.75</v>
      </c>
      <c r="J83" s="4">
        <v>0</v>
      </c>
      <c r="K83" s="4">
        <v>335.25</v>
      </c>
      <c r="L83" s="4">
        <v>0</v>
      </c>
      <c r="M83" s="4">
        <v>722</v>
      </c>
      <c r="N83" s="2">
        <f t="shared" si="6"/>
        <v>36977.021250000005</v>
      </c>
      <c r="O83" s="2">
        <v>36977.16</v>
      </c>
      <c r="P83" s="2">
        <f t="shared" si="5"/>
        <v>0.13874999999825377</v>
      </c>
    </row>
    <row r="84" spans="1:16" ht="12.75">
      <c r="A84" s="1">
        <v>40515</v>
      </c>
      <c r="B84" s="7" t="s">
        <v>7</v>
      </c>
      <c r="C84" s="5">
        <v>21.61</v>
      </c>
      <c r="D84" s="5" t="s">
        <v>114</v>
      </c>
      <c r="E84" s="5">
        <f t="shared" si="4"/>
        <v>32.415</v>
      </c>
      <c r="F84" s="5" t="s">
        <v>114</v>
      </c>
      <c r="G84" s="5">
        <v>1</v>
      </c>
      <c r="I84" s="4">
        <f>1828.75+24+80+99.75+20.25+24.5</f>
        <v>2077.25</v>
      </c>
      <c r="J84" s="4">
        <v>0</v>
      </c>
      <c r="K84" s="4">
        <v>179</v>
      </c>
      <c r="L84" s="4">
        <v>0</v>
      </c>
      <c r="M84" s="4">
        <v>518</v>
      </c>
      <c r="N84" s="2">
        <f t="shared" si="6"/>
        <v>51209.6575</v>
      </c>
      <c r="O84" s="2">
        <v>51187.33</v>
      </c>
      <c r="P84" s="2">
        <f t="shared" si="5"/>
        <v>-22.327499999999418</v>
      </c>
    </row>
    <row r="85" spans="1:16" ht="12.75">
      <c r="A85" s="1">
        <v>30460</v>
      </c>
      <c r="B85" s="7" t="s">
        <v>7</v>
      </c>
      <c r="C85" s="5">
        <v>24.73</v>
      </c>
      <c r="D85" s="5" t="s">
        <v>114</v>
      </c>
      <c r="E85" s="5">
        <f t="shared" si="4"/>
        <v>37.095</v>
      </c>
      <c r="F85" s="5" t="s">
        <v>114</v>
      </c>
      <c r="G85" s="5">
        <v>1</v>
      </c>
      <c r="I85" s="4">
        <f>712+48+370.91+10+52.25</f>
        <v>1193.16</v>
      </c>
      <c r="J85" s="4">
        <v>0</v>
      </c>
      <c r="K85" s="4">
        <v>132</v>
      </c>
      <c r="L85" s="4">
        <v>0</v>
      </c>
      <c r="M85" s="4">
        <v>243.25</v>
      </c>
      <c r="N85" s="2">
        <f t="shared" si="6"/>
        <v>34646.6368</v>
      </c>
      <c r="O85" s="2">
        <v>34621.51</v>
      </c>
      <c r="P85" s="2">
        <f t="shared" si="5"/>
        <v>-25.126799999998184</v>
      </c>
    </row>
    <row r="86" spans="1:16" ht="12.75">
      <c r="A86" s="1">
        <v>60485</v>
      </c>
      <c r="B86" s="7" t="s">
        <v>4</v>
      </c>
      <c r="C86" s="5">
        <v>14.26</v>
      </c>
      <c r="D86" s="5" t="s">
        <v>114</v>
      </c>
      <c r="E86" s="5">
        <f t="shared" si="4"/>
        <v>21.39</v>
      </c>
      <c r="F86" s="5" t="s">
        <v>114</v>
      </c>
      <c r="G86" s="5">
        <v>1</v>
      </c>
      <c r="I86" s="4">
        <f>1760+80+182.75+57.25</f>
        <v>2080</v>
      </c>
      <c r="J86" s="4">
        <v>0</v>
      </c>
      <c r="K86" s="4">
        <v>11.25</v>
      </c>
      <c r="L86" s="4">
        <v>0</v>
      </c>
      <c r="M86" s="4">
        <v>0</v>
      </c>
      <c r="N86" s="2">
        <f t="shared" si="6"/>
        <v>29901.4375</v>
      </c>
      <c r="O86" s="2">
        <v>29889.15</v>
      </c>
      <c r="P86" s="2">
        <f t="shared" si="5"/>
        <v>-12.287499999998545</v>
      </c>
    </row>
    <row r="87" spans="1:16" ht="12.75">
      <c r="A87" s="1">
        <v>60479</v>
      </c>
      <c r="B87" s="7" t="s">
        <v>3</v>
      </c>
      <c r="C87" s="5">
        <v>16.7</v>
      </c>
      <c r="D87" s="5" t="s">
        <v>114</v>
      </c>
      <c r="E87" s="5">
        <f t="shared" si="4"/>
        <v>25.049999999999997</v>
      </c>
      <c r="F87" s="5" t="s">
        <v>114</v>
      </c>
      <c r="G87" s="5">
        <v>1</v>
      </c>
      <c r="I87" s="4">
        <f>1727+80+153+70+50</f>
        <v>2080</v>
      </c>
      <c r="J87" s="4">
        <v>0</v>
      </c>
      <c r="K87" s="4">
        <v>446</v>
      </c>
      <c r="L87" s="4">
        <v>0</v>
      </c>
      <c r="M87" s="4">
        <f>695.75+88.25</f>
        <v>784</v>
      </c>
      <c r="N87" s="2">
        <f t="shared" si="6"/>
        <v>46692.3</v>
      </c>
      <c r="O87" s="2">
        <v>46676.16</v>
      </c>
      <c r="P87" s="2">
        <f t="shared" si="5"/>
        <v>-16.139999999999418</v>
      </c>
    </row>
    <row r="88" spans="1:16" ht="12.75">
      <c r="A88" s="1">
        <v>30475</v>
      </c>
      <c r="B88" s="7" t="s">
        <v>39</v>
      </c>
      <c r="C88" s="5">
        <v>23.6</v>
      </c>
      <c r="D88" s="5" t="s">
        <v>114</v>
      </c>
      <c r="E88" s="5">
        <f t="shared" si="4"/>
        <v>35.400000000000006</v>
      </c>
      <c r="F88" s="5" t="s">
        <v>114</v>
      </c>
      <c r="G88" s="5">
        <v>1</v>
      </c>
      <c r="I88" s="4">
        <f>1173.5+72+186.52+43.98</f>
        <v>1476</v>
      </c>
      <c r="J88" s="4">
        <v>0</v>
      </c>
      <c r="K88" s="4">
        <v>102.5</v>
      </c>
      <c r="L88" s="4">
        <v>0</v>
      </c>
      <c r="M88" s="4">
        <v>516</v>
      </c>
      <c r="N88" s="2">
        <f t="shared" si="6"/>
        <v>38978.1</v>
      </c>
      <c r="O88" s="2">
        <v>38894.51</v>
      </c>
      <c r="P88" s="2">
        <f t="shared" si="5"/>
        <v>-83.58999999999651</v>
      </c>
    </row>
    <row r="89" spans="1:17" ht="12.75">
      <c r="A89" s="31" t="s">
        <v>95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18"/>
      <c r="P89" s="18"/>
      <c r="Q89" s="18" t="s">
        <v>98</v>
      </c>
    </row>
    <row r="90" spans="1:17" ht="12.75">
      <c r="A90" s="31" t="s">
        <v>96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18"/>
      <c r="P90" s="18"/>
      <c r="Q90" s="19" t="s">
        <v>102</v>
      </c>
    </row>
    <row r="91" spans="1:17" ht="12.75">
      <c r="A91" s="31" t="s">
        <v>97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18"/>
      <c r="P91" s="18"/>
      <c r="Q91" s="19" t="s">
        <v>99</v>
      </c>
    </row>
    <row r="92" spans="1:17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9"/>
    </row>
    <row r="93" spans="1:17" ht="12.75">
      <c r="A93" s="9"/>
      <c r="B93" s="9"/>
      <c r="C93" s="32" t="s">
        <v>84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9"/>
      <c r="O93" s="9"/>
      <c r="P93" s="9"/>
      <c r="Q93" s="19"/>
    </row>
    <row r="94" spans="3:16" ht="12.75">
      <c r="C94" s="32" t="s">
        <v>86</v>
      </c>
      <c r="D94" s="32"/>
      <c r="E94" s="32"/>
      <c r="F94" s="32"/>
      <c r="G94" s="32"/>
      <c r="H94" s="11"/>
      <c r="I94" s="32" t="s">
        <v>85</v>
      </c>
      <c r="J94" s="32"/>
      <c r="K94" s="32"/>
      <c r="L94" s="32"/>
      <c r="M94" s="32"/>
      <c r="N94" s="20"/>
      <c r="O94" s="8"/>
      <c r="P94" s="8"/>
    </row>
    <row r="95" spans="3:16" ht="12.75">
      <c r="C95" s="10"/>
      <c r="D95" s="10" t="s">
        <v>117</v>
      </c>
      <c r="E95" s="10" t="s">
        <v>82</v>
      </c>
      <c r="F95" s="10" t="s">
        <v>120</v>
      </c>
      <c r="G95" s="10"/>
      <c r="H95" s="11"/>
      <c r="I95" s="10"/>
      <c r="J95" s="10"/>
      <c r="K95" s="10"/>
      <c r="L95" s="10"/>
      <c r="M95" s="10"/>
      <c r="N95" s="20" t="s">
        <v>87</v>
      </c>
      <c r="O95" s="8" t="s">
        <v>89</v>
      </c>
      <c r="P95" s="8" t="s">
        <v>92</v>
      </c>
    </row>
    <row r="96" spans="3:16" ht="12.75">
      <c r="C96" s="5" t="s">
        <v>82</v>
      </c>
      <c r="D96" s="8" t="s">
        <v>118</v>
      </c>
      <c r="E96" s="5" t="s">
        <v>83</v>
      </c>
      <c r="F96" s="5" t="s">
        <v>83</v>
      </c>
      <c r="G96" s="5" t="s">
        <v>121</v>
      </c>
      <c r="J96" s="5" t="s">
        <v>119</v>
      </c>
      <c r="L96" s="5" t="s">
        <v>120</v>
      </c>
      <c r="N96" s="20" t="s">
        <v>84</v>
      </c>
      <c r="O96" s="8" t="s">
        <v>90</v>
      </c>
      <c r="P96" s="8" t="s">
        <v>93</v>
      </c>
    </row>
    <row r="97" spans="1:17" ht="12.75">
      <c r="A97" s="11" t="s">
        <v>0</v>
      </c>
      <c r="B97" s="11" t="s">
        <v>1</v>
      </c>
      <c r="C97" s="12" t="s">
        <v>122</v>
      </c>
      <c r="D97" s="12" t="s">
        <v>122</v>
      </c>
      <c r="E97" s="12" t="s">
        <v>122</v>
      </c>
      <c r="F97" s="12" t="s">
        <v>122</v>
      </c>
      <c r="G97" s="12" t="s">
        <v>122</v>
      </c>
      <c r="H97" s="12"/>
      <c r="I97" s="22" t="s">
        <v>82</v>
      </c>
      <c r="J97" s="12" t="s">
        <v>118</v>
      </c>
      <c r="K97" s="22" t="s">
        <v>83</v>
      </c>
      <c r="L97" s="12" t="s">
        <v>83</v>
      </c>
      <c r="M97" s="22" t="s">
        <v>121</v>
      </c>
      <c r="N97" s="11" t="s">
        <v>88</v>
      </c>
      <c r="O97" s="12" t="s">
        <v>91</v>
      </c>
      <c r="P97" s="12" t="s">
        <v>89</v>
      </c>
      <c r="Q97" s="20" t="s">
        <v>94</v>
      </c>
    </row>
    <row r="98" spans="1:16" ht="12.75">
      <c r="A98" s="1">
        <v>60489</v>
      </c>
      <c r="B98" s="7" t="s">
        <v>40</v>
      </c>
      <c r="C98" s="5">
        <v>21.65</v>
      </c>
      <c r="D98" s="5">
        <v>22.65</v>
      </c>
      <c r="E98" s="5">
        <f>C98*1.5</f>
        <v>32.474999999999994</v>
      </c>
      <c r="F98" s="5">
        <f>D98*1.5</f>
        <v>33.974999999999994</v>
      </c>
      <c r="G98" s="5">
        <v>1</v>
      </c>
      <c r="I98" s="4">
        <f>1794.5+80+143.5+62</f>
        <v>2080</v>
      </c>
      <c r="J98" s="4">
        <v>0</v>
      </c>
      <c r="K98" s="4">
        <f>211-L98</f>
        <v>157.5</v>
      </c>
      <c r="L98" s="4">
        <v>53.5</v>
      </c>
      <c r="M98" s="4">
        <v>3247</v>
      </c>
      <c r="N98" s="2">
        <f>(21.57*1080)+(32.355*105.5)+(1*1666)+(22.65*1000)+(33.975*105.5)+(1*1581)</f>
        <v>56190.415</v>
      </c>
      <c r="O98" s="2">
        <v>56143.23</v>
      </c>
      <c r="P98" s="2">
        <f aca="true" t="shared" si="7" ref="P98:P135">O98-N98</f>
        <v>-47.18499999999767</v>
      </c>
    </row>
    <row r="99" spans="1:16" ht="12.75">
      <c r="A99" s="1">
        <v>40520</v>
      </c>
      <c r="B99" s="7" t="s">
        <v>41</v>
      </c>
      <c r="C99" s="5">
        <v>26.12</v>
      </c>
      <c r="D99" s="5" t="s">
        <v>114</v>
      </c>
      <c r="E99" s="5">
        <f aca="true" t="shared" si="8" ref="E99:F107">C99*1.5</f>
        <v>39.18</v>
      </c>
      <c r="F99" s="5" t="s">
        <v>114</v>
      </c>
      <c r="G99" s="5">
        <v>1</v>
      </c>
      <c r="I99" s="4">
        <f>1893.5+80+125+21.5</f>
        <v>2120</v>
      </c>
      <c r="J99" s="4">
        <v>0</v>
      </c>
      <c r="K99" s="4">
        <v>0</v>
      </c>
      <c r="L99" s="4">
        <v>0</v>
      </c>
      <c r="M99" s="4">
        <v>0</v>
      </c>
      <c r="N99" s="2">
        <f aca="true" t="shared" si="9" ref="N99:N135">(C99*I99)+(E99*K99)+(G99*M99)</f>
        <v>55374.4</v>
      </c>
      <c r="O99" s="2">
        <v>55352.12</v>
      </c>
      <c r="P99" s="2">
        <f t="shared" si="7"/>
        <v>-22.279999999998836</v>
      </c>
    </row>
    <row r="100" spans="1:16" ht="12.75">
      <c r="A100" s="1">
        <v>20678</v>
      </c>
      <c r="B100" s="7" t="s">
        <v>8</v>
      </c>
      <c r="C100" s="5">
        <v>19.12</v>
      </c>
      <c r="D100" s="5">
        <f>+C100+1</f>
        <v>20.12</v>
      </c>
      <c r="E100" s="5">
        <f t="shared" si="8"/>
        <v>28.68</v>
      </c>
      <c r="F100" s="5">
        <f t="shared" si="8"/>
        <v>30.18</v>
      </c>
      <c r="G100" s="5">
        <v>1</v>
      </c>
      <c r="I100" s="4">
        <f>1820+80+140+32</f>
        <v>2072</v>
      </c>
      <c r="J100" s="4">
        <v>0</v>
      </c>
      <c r="K100" s="4">
        <v>100</v>
      </c>
      <c r="L100" s="4">
        <v>0</v>
      </c>
      <c r="M100" s="4">
        <v>0</v>
      </c>
      <c r="N100" s="2">
        <f t="shared" si="9"/>
        <v>42484.64</v>
      </c>
      <c r="O100" s="2">
        <v>42522.48</v>
      </c>
      <c r="P100" s="2">
        <f t="shared" si="7"/>
        <v>37.84000000000378</v>
      </c>
    </row>
    <row r="101" spans="1:16" ht="12.75">
      <c r="A101" s="1">
        <v>41340</v>
      </c>
      <c r="B101" s="7" t="s">
        <v>42</v>
      </c>
      <c r="C101" s="5">
        <v>20</v>
      </c>
      <c r="D101" s="5" t="s">
        <v>114</v>
      </c>
      <c r="E101" s="5">
        <f t="shared" si="8"/>
        <v>30</v>
      </c>
      <c r="F101" s="5" t="s">
        <v>114</v>
      </c>
      <c r="G101" s="5">
        <v>1</v>
      </c>
      <c r="I101" s="4">
        <v>84</v>
      </c>
      <c r="J101" s="4">
        <v>0</v>
      </c>
      <c r="K101" s="4">
        <v>0</v>
      </c>
      <c r="L101" s="4">
        <v>0</v>
      </c>
      <c r="M101" s="4">
        <v>0</v>
      </c>
      <c r="N101" s="2">
        <f t="shared" si="9"/>
        <v>1680</v>
      </c>
      <c r="O101" s="2">
        <v>1680</v>
      </c>
      <c r="P101" s="2">
        <f t="shared" si="7"/>
        <v>0</v>
      </c>
    </row>
    <row r="102" spans="1:16" ht="12.75">
      <c r="A102" s="1">
        <v>60533</v>
      </c>
      <c r="B102" s="7" t="s">
        <v>43</v>
      </c>
      <c r="C102" s="5">
        <v>18.3</v>
      </c>
      <c r="D102" s="5" t="s">
        <v>114</v>
      </c>
      <c r="E102" s="5">
        <f t="shared" si="8"/>
        <v>27.450000000000003</v>
      </c>
      <c r="F102" s="5" t="s">
        <v>114</v>
      </c>
      <c r="G102" s="5">
        <v>1</v>
      </c>
      <c r="I102" s="4">
        <f>816+24</f>
        <v>840</v>
      </c>
      <c r="J102" s="4">
        <v>0</v>
      </c>
      <c r="K102" s="4">
        <v>10.5</v>
      </c>
      <c r="L102" s="4">
        <v>0</v>
      </c>
      <c r="M102" s="4">
        <v>0</v>
      </c>
      <c r="N102" s="2">
        <f t="shared" si="9"/>
        <v>15660.225</v>
      </c>
      <c r="O102" s="2">
        <v>15660.23</v>
      </c>
      <c r="P102" s="2">
        <f t="shared" si="7"/>
        <v>0.004999999999199645</v>
      </c>
    </row>
    <row r="103" spans="1:16" ht="12.75">
      <c r="A103" s="1">
        <v>30560</v>
      </c>
      <c r="B103" s="7" t="s">
        <v>3</v>
      </c>
      <c r="C103" s="5">
        <v>22.73</v>
      </c>
      <c r="D103" s="5" t="s">
        <v>114</v>
      </c>
      <c r="E103" s="5">
        <f t="shared" si="8"/>
        <v>34.095</v>
      </c>
      <c r="F103" s="5" t="s">
        <v>114</v>
      </c>
      <c r="G103" s="5">
        <v>1</v>
      </c>
      <c r="I103" s="4">
        <f>1666+80+176+57.5+61</f>
        <v>2040.5</v>
      </c>
      <c r="J103" s="4">
        <v>0</v>
      </c>
      <c r="K103" s="4">
        <v>481.5</v>
      </c>
      <c r="L103" s="4">
        <v>0</v>
      </c>
      <c r="M103" s="4">
        <v>441.5</v>
      </c>
      <c r="N103" s="2">
        <f>(21.65*1072.5)+(32.475*266.25)+(1*257)+(22.73*968)+(34.095*215.25)+(1*184.5)</f>
        <v>61649.182499999995</v>
      </c>
      <c r="O103" s="2">
        <v>61570.6</v>
      </c>
      <c r="P103" s="2">
        <f t="shared" si="7"/>
        <v>-78.5824999999968</v>
      </c>
    </row>
    <row r="104" spans="1:16" ht="12.75">
      <c r="A104" s="1">
        <v>30550</v>
      </c>
      <c r="B104" s="7" t="s">
        <v>30</v>
      </c>
      <c r="C104" s="5">
        <v>11</v>
      </c>
      <c r="D104" s="5" t="s">
        <v>114</v>
      </c>
      <c r="E104" s="5">
        <f t="shared" si="8"/>
        <v>16.5</v>
      </c>
      <c r="F104" s="5" t="s">
        <v>114</v>
      </c>
      <c r="G104" s="5">
        <v>1</v>
      </c>
      <c r="I104" s="4">
        <v>176</v>
      </c>
      <c r="J104" s="4">
        <v>0</v>
      </c>
      <c r="K104" s="4">
        <v>0</v>
      </c>
      <c r="L104" s="4">
        <v>0</v>
      </c>
      <c r="M104" s="4">
        <v>0</v>
      </c>
      <c r="N104" s="2">
        <f t="shared" si="9"/>
        <v>1936</v>
      </c>
      <c r="O104" s="2">
        <v>1936</v>
      </c>
      <c r="P104" s="2">
        <f t="shared" si="7"/>
        <v>0</v>
      </c>
    </row>
    <row r="105" spans="1:17" ht="12.75">
      <c r="A105" s="1">
        <v>60504</v>
      </c>
      <c r="B105" s="7" t="s">
        <v>4</v>
      </c>
      <c r="C105" s="5">
        <v>14.26</v>
      </c>
      <c r="D105" s="5" t="s">
        <v>114</v>
      </c>
      <c r="E105" s="5">
        <f t="shared" si="8"/>
        <v>21.39</v>
      </c>
      <c r="F105" s="5" t="s">
        <v>114</v>
      </c>
      <c r="G105" s="5">
        <v>1</v>
      </c>
      <c r="I105" s="4">
        <f>1745+80+192+63</f>
        <v>2080</v>
      </c>
      <c r="J105" s="4">
        <v>0</v>
      </c>
      <c r="K105" s="4">
        <v>5.5</v>
      </c>
      <c r="L105" s="4">
        <v>0</v>
      </c>
      <c r="M105" s="4">
        <v>0</v>
      </c>
      <c r="N105" s="2">
        <f t="shared" si="9"/>
        <v>29778.445</v>
      </c>
      <c r="O105" s="2">
        <v>30966.14</v>
      </c>
      <c r="P105" s="2">
        <f t="shared" si="7"/>
        <v>1187.6949999999997</v>
      </c>
      <c r="Q105" s="6" t="s">
        <v>123</v>
      </c>
    </row>
    <row r="106" spans="1:16" ht="12.75">
      <c r="A106" s="1">
        <v>60456</v>
      </c>
      <c r="B106" s="7" t="s">
        <v>8</v>
      </c>
      <c r="C106" s="5">
        <v>18.89</v>
      </c>
      <c r="D106" s="5">
        <v>19.89</v>
      </c>
      <c r="E106" s="5">
        <f t="shared" si="8"/>
        <v>28.335</v>
      </c>
      <c r="F106" s="5">
        <f t="shared" si="8"/>
        <v>29.835</v>
      </c>
      <c r="G106" s="5">
        <v>1</v>
      </c>
      <c r="I106" s="4">
        <f>(1792+24+80+184)-J106</f>
        <v>376</v>
      </c>
      <c r="J106" s="4">
        <v>1704</v>
      </c>
      <c r="K106" s="4">
        <f>76.6-L106</f>
        <v>18.249999999999993</v>
      </c>
      <c r="L106" s="4">
        <v>58.35</v>
      </c>
      <c r="M106" s="4">
        <v>0</v>
      </c>
      <c r="N106" s="2">
        <f>(C106*I106)+(E106*K106)+(G106*M106)+(D106*J106)+(F106*L106)</f>
        <v>43253.186</v>
      </c>
      <c r="O106" s="2">
        <v>43270.32</v>
      </c>
      <c r="P106" s="2">
        <f t="shared" si="7"/>
        <v>17.133999999998196</v>
      </c>
    </row>
    <row r="107" spans="1:16" ht="12.75">
      <c r="A107" s="1">
        <v>30610</v>
      </c>
      <c r="B107" s="7" t="s">
        <v>29</v>
      </c>
      <c r="C107" s="5">
        <v>27.37</v>
      </c>
      <c r="D107" s="5" t="s">
        <v>114</v>
      </c>
      <c r="E107" s="5">
        <f t="shared" si="8"/>
        <v>41.055</v>
      </c>
      <c r="F107" s="5" t="s">
        <v>114</v>
      </c>
      <c r="G107" s="5">
        <v>1</v>
      </c>
      <c r="I107" s="4">
        <f>1748+80+16+219+2.5+54.5</f>
        <v>2120</v>
      </c>
      <c r="J107" s="4">
        <v>0</v>
      </c>
      <c r="K107" s="4">
        <v>228.58</v>
      </c>
      <c r="L107" s="4">
        <v>0</v>
      </c>
      <c r="M107" s="4">
        <v>0</v>
      </c>
      <c r="N107" s="2">
        <f t="shared" si="9"/>
        <v>67408.7519</v>
      </c>
      <c r="O107" s="2">
        <v>67380.7</v>
      </c>
      <c r="P107" s="2">
        <f t="shared" si="7"/>
        <v>-28.051900000005844</v>
      </c>
    </row>
    <row r="108" spans="1:16" ht="12.75">
      <c r="A108" s="1">
        <v>60505</v>
      </c>
      <c r="B108" s="7" t="s">
        <v>8</v>
      </c>
      <c r="C108" s="5">
        <v>18.68</v>
      </c>
      <c r="D108" s="5">
        <v>19.68</v>
      </c>
      <c r="E108" s="5">
        <f>C108*1.5</f>
        <v>28.02</v>
      </c>
      <c r="F108" s="5">
        <f>D108*1.5</f>
        <v>29.52</v>
      </c>
      <c r="G108" s="5">
        <v>1</v>
      </c>
      <c r="I108" s="4">
        <f>(1936+80+104)-J108</f>
        <v>312</v>
      </c>
      <c r="J108" s="4">
        <v>1808</v>
      </c>
      <c r="K108" s="4">
        <f>150-L108</f>
        <v>34</v>
      </c>
      <c r="L108" s="4">
        <v>116</v>
      </c>
      <c r="M108" s="4">
        <v>0</v>
      </c>
      <c r="N108" s="2">
        <f>(C108*I108)+(E108*K108)+(G108*M108)+(D108*J108)+(F108*L108)</f>
        <v>45786.6</v>
      </c>
      <c r="O108" s="2">
        <v>45738.48</v>
      </c>
      <c r="P108" s="2">
        <f t="shared" si="7"/>
        <v>-48.11999999999534</v>
      </c>
    </row>
    <row r="109" spans="1:16" ht="12.75">
      <c r="A109" s="1">
        <v>60515</v>
      </c>
      <c r="B109" s="7" t="s">
        <v>7</v>
      </c>
      <c r="C109" s="5">
        <v>16.13</v>
      </c>
      <c r="D109" s="5" t="s">
        <v>114</v>
      </c>
      <c r="E109" s="5">
        <f aca="true" t="shared" si="10" ref="E109:E135">C109*1.5</f>
        <v>24.195</v>
      </c>
      <c r="F109" s="5" t="s">
        <v>114</v>
      </c>
      <c r="G109" s="5">
        <v>1</v>
      </c>
      <c r="I109" s="4">
        <f>1728.5+8+80+114.25+105+44.5</f>
        <v>2080.25</v>
      </c>
      <c r="J109" s="4">
        <v>0</v>
      </c>
      <c r="K109" s="4">
        <v>818.25</v>
      </c>
      <c r="L109" s="4">
        <v>0</v>
      </c>
      <c r="M109" s="4">
        <f>992.5+274</f>
        <v>1266.5</v>
      </c>
      <c r="N109" s="2">
        <f t="shared" si="9"/>
        <v>54618.49124999999</v>
      </c>
      <c r="O109" s="2">
        <v>54570.47</v>
      </c>
      <c r="P109" s="2">
        <f t="shared" si="7"/>
        <v>-48.02124999999069</v>
      </c>
    </row>
    <row r="110" spans="1:16" ht="12.75">
      <c r="A110" s="1">
        <v>60522</v>
      </c>
      <c r="B110" s="7" t="s">
        <v>4</v>
      </c>
      <c r="C110" s="5">
        <v>13.82</v>
      </c>
      <c r="D110" s="5" t="s">
        <v>114</v>
      </c>
      <c r="E110" s="5">
        <f t="shared" si="10"/>
        <v>20.73</v>
      </c>
      <c r="F110" s="5" t="s">
        <v>114</v>
      </c>
      <c r="G110" s="5">
        <v>1</v>
      </c>
      <c r="I110" s="4">
        <f>1719.75+56+66.5+34.25</f>
        <v>1876.5</v>
      </c>
      <c r="J110" s="4">
        <v>0</v>
      </c>
      <c r="K110" s="4">
        <v>3.75</v>
      </c>
      <c r="L110" s="4">
        <v>0</v>
      </c>
      <c r="M110" s="4">
        <v>0</v>
      </c>
      <c r="N110" s="2">
        <f t="shared" si="9"/>
        <v>26010.9675</v>
      </c>
      <c r="O110" s="2">
        <v>26010.97</v>
      </c>
      <c r="P110" s="2">
        <f t="shared" si="7"/>
        <v>0.0025000000023283064</v>
      </c>
    </row>
    <row r="111" spans="1:16" ht="12.75">
      <c r="A111" s="1">
        <v>40615</v>
      </c>
      <c r="B111" s="7" t="s">
        <v>44</v>
      </c>
      <c r="C111" s="5">
        <v>52.42</v>
      </c>
      <c r="D111" s="5" t="s">
        <v>114</v>
      </c>
      <c r="E111" s="5">
        <f t="shared" si="10"/>
        <v>78.63</v>
      </c>
      <c r="F111" s="5" t="s">
        <v>114</v>
      </c>
      <c r="G111" s="5">
        <v>1</v>
      </c>
      <c r="I111" s="4">
        <v>2080</v>
      </c>
      <c r="J111" s="4">
        <v>0</v>
      </c>
      <c r="K111" s="4">
        <v>0</v>
      </c>
      <c r="L111" s="4">
        <v>0</v>
      </c>
      <c r="M111" s="4">
        <v>0</v>
      </c>
      <c r="N111" s="2">
        <f t="shared" si="9"/>
        <v>109033.6</v>
      </c>
      <c r="O111" s="2">
        <v>109060.48</v>
      </c>
      <c r="P111" s="2">
        <f t="shared" si="7"/>
        <v>26.879999999990105</v>
      </c>
    </row>
    <row r="112" spans="1:16" ht="12.75">
      <c r="A112" s="1">
        <v>60521</v>
      </c>
      <c r="B112" s="7" t="s">
        <v>7</v>
      </c>
      <c r="C112" s="5">
        <v>16.07</v>
      </c>
      <c r="D112" s="5" t="s">
        <v>114</v>
      </c>
      <c r="E112" s="5">
        <f t="shared" si="10"/>
        <v>24.105</v>
      </c>
      <c r="F112" s="5" t="s">
        <v>114</v>
      </c>
      <c r="G112" s="5">
        <v>1</v>
      </c>
      <c r="I112" s="4">
        <f>1865+80+75+50+10</f>
        <v>2080</v>
      </c>
      <c r="J112" s="4">
        <v>0</v>
      </c>
      <c r="K112" s="4">
        <v>383.5</v>
      </c>
      <c r="L112" s="4">
        <v>0</v>
      </c>
      <c r="M112" s="4">
        <v>657.75</v>
      </c>
      <c r="N112" s="2">
        <f>(15.89*1000)+(1*141.5)+((15.89*1.5)*92.75)+(16.07*1080)+(1*516.25)+((16.07*1.5)*290.75)</f>
        <v>43122.575</v>
      </c>
      <c r="O112" s="2">
        <v>43096.06</v>
      </c>
      <c r="P112" s="2">
        <f t="shared" si="7"/>
        <v>-26.514999999999418</v>
      </c>
    </row>
    <row r="113" spans="1:16" ht="12.75">
      <c r="A113" s="1">
        <v>40825</v>
      </c>
      <c r="B113" s="7" t="s">
        <v>4</v>
      </c>
      <c r="C113" s="5">
        <v>16.07</v>
      </c>
      <c r="D113" s="5" t="s">
        <v>114</v>
      </c>
      <c r="E113" s="5">
        <f t="shared" si="10"/>
        <v>24.105</v>
      </c>
      <c r="F113" s="5" t="s">
        <v>114</v>
      </c>
      <c r="G113" s="5">
        <v>1</v>
      </c>
      <c r="I113" s="4">
        <f>1742.25+80+200.5+57.25</f>
        <v>2080</v>
      </c>
      <c r="J113" s="4">
        <v>0</v>
      </c>
      <c r="K113" s="4">
        <v>14.25</v>
      </c>
      <c r="L113" s="4">
        <v>0</v>
      </c>
      <c r="M113" s="4">
        <v>0</v>
      </c>
      <c r="N113" s="2">
        <f t="shared" si="9"/>
        <v>33769.096249999995</v>
      </c>
      <c r="O113" s="2">
        <v>33755.21</v>
      </c>
      <c r="P113" s="2">
        <f t="shared" si="7"/>
        <v>-13.886249999995925</v>
      </c>
    </row>
    <row r="114" spans="1:16" ht="12.75">
      <c r="A114" s="1">
        <v>20700</v>
      </c>
      <c r="B114" s="7" t="s">
        <v>45</v>
      </c>
      <c r="C114" s="5">
        <v>19.81</v>
      </c>
      <c r="D114" s="5" t="s">
        <v>114</v>
      </c>
      <c r="E114" s="5">
        <f t="shared" si="10"/>
        <v>29.714999999999996</v>
      </c>
      <c r="F114" s="5" t="s">
        <v>114</v>
      </c>
      <c r="G114" s="5">
        <v>1</v>
      </c>
      <c r="I114" s="4">
        <f>1758+80+224.5+17.5</f>
        <v>2080</v>
      </c>
      <c r="J114" s="4">
        <v>0</v>
      </c>
      <c r="K114" s="4">
        <v>59.5</v>
      </c>
      <c r="L114" s="4">
        <v>0</v>
      </c>
      <c r="M114" s="4">
        <v>0</v>
      </c>
      <c r="N114" s="2">
        <f>(18.87*1080)+(28.305*43.5)+(19.81*1000)+(29.715*16)</f>
        <v>41896.3075</v>
      </c>
      <c r="O114" s="2">
        <v>41839.87</v>
      </c>
      <c r="P114" s="2">
        <f t="shared" si="7"/>
        <v>-56.4375</v>
      </c>
    </row>
    <row r="115" spans="1:16" ht="12.75">
      <c r="A115" s="1">
        <v>40805</v>
      </c>
      <c r="B115" s="7" t="s">
        <v>7</v>
      </c>
      <c r="C115" s="5">
        <v>24.01</v>
      </c>
      <c r="D115" s="5" t="s">
        <v>114</v>
      </c>
      <c r="E115" s="5">
        <f t="shared" si="10"/>
        <v>36.015</v>
      </c>
      <c r="F115" s="5" t="s">
        <v>114</v>
      </c>
      <c r="G115" s="5">
        <v>1</v>
      </c>
      <c r="I115" s="4">
        <f>1805+80+169+5+18.5</f>
        <v>2077.5</v>
      </c>
      <c r="J115" s="4">
        <v>0</v>
      </c>
      <c r="K115" s="4">
        <v>196</v>
      </c>
      <c r="L115" s="4">
        <v>0</v>
      </c>
      <c r="M115" s="4">
        <v>741</v>
      </c>
      <c r="N115" s="2">
        <f t="shared" si="9"/>
        <v>57680.715000000004</v>
      </c>
      <c r="O115" s="2">
        <v>57659.58</v>
      </c>
      <c r="P115" s="2">
        <f t="shared" si="7"/>
        <v>-21.135000000002037</v>
      </c>
    </row>
    <row r="116" spans="1:16" ht="12.75">
      <c r="A116" s="1">
        <v>40810</v>
      </c>
      <c r="B116" s="7" t="s">
        <v>39</v>
      </c>
      <c r="C116" s="5">
        <v>24.64</v>
      </c>
      <c r="D116" s="5" t="s">
        <v>114</v>
      </c>
      <c r="E116" s="5">
        <f t="shared" si="10"/>
        <v>36.96</v>
      </c>
      <c r="F116" s="5" t="s">
        <v>114</v>
      </c>
      <c r="G116" s="5">
        <v>1</v>
      </c>
      <c r="I116" s="4">
        <f>1843.5+80+125+31.5</f>
        <v>2080</v>
      </c>
      <c r="J116" s="4">
        <v>0</v>
      </c>
      <c r="K116" s="4">
        <v>131.25</v>
      </c>
      <c r="L116" s="4">
        <v>0</v>
      </c>
      <c r="M116" s="4">
        <v>1867</v>
      </c>
      <c r="N116" s="2">
        <f t="shared" si="9"/>
        <v>57969.200000000004</v>
      </c>
      <c r="O116" s="2">
        <v>57948.64</v>
      </c>
      <c r="P116" s="2">
        <f t="shared" si="7"/>
        <v>-20.560000000004948</v>
      </c>
    </row>
    <row r="117" spans="1:16" ht="12.75">
      <c r="A117" s="1">
        <v>30630</v>
      </c>
      <c r="B117" s="7" t="s">
        <v>7</v>
      </c>
      <c r="C117" s="5">
        <v>22.37</v>
      </c>
      <c r="D117" s="5" t="s">
        <v>114</v>
      </c>
      <c r="E117" s="5">
        <f t="shared" si="10"/>
        <v>33.555</v>
      </c>
      <c r="F117" s="5" t="s">
        <v>114</v>
      </c>
      <c r="G117" s="5">
        <v>1</v>
      </c>
      <c r="I117" s="4">
        <f>1671+80+239+5+85</f>
        <v>2080</v>
      </c>
      <c r="J117" s="4">
        <v>0</v>
      </c>
      <c r="K117" s="4">
        <v>142.75</v>
      </c>
      <c r="L117" s="4">
        <v>0</v>
      </c>
      <c r="M117" s="4">
        <v>372.25</v>
      </c>
      <c r="N117" s="2">
        <f t="shared" si="9"/>
        <v>51691.82625</v>
      </c>
      <c r="O117" s="2">
        <v>51670.1</v>
      </c>
      <c r="P117" s="2">
        <f t="shared" si="7"/>
        <v>-21.72624999999971</v>
      </c>
    </row>
    <row r="118" spans="1:16" ht="12.75">
      <c r="A118" s="1">
        <v>20775</v>
      </c>
      <c r="B118" s="7" t="s">
        <v>46</v>
      </c>
      <c r="C118" s="5">
        <v>57.22</v>
      </c>
      <c r="D118" s="5" t="s">
        <v>114</v>
      </c>
      <c r="E118" s="5">
        <f t="shared" si="10"/>
        <v>85.83</v>
      </c>
      <c r="F118" s="5" t="s">
        <v>114</v>
      </c>
      <c r="G118" s="5">
        <v>1</v>
      </c>
      <c r="I118" s="4">
        <v>609.6</v>
      </c>
      <c r="J118" s="4">
        <v>0</v>
      </c>
      <c r="K118" s="4">
        <v>0</v>
      </c>
      <c r="L118" s="4">
        <v>0</v>
      </c>
      <c r="M118" s="4">
        <v>0</v>
      </c>
      <c r="N118" s="2">
        <f t="shared" si="9"/>
        <v>34881.312</v>
      </c>
      <c r="O118" s="2">
        <v>34888.94</v>
      </c>
      <c r="P118" s="2">
        <f t="shared" si="7"/>
        <v>7.628000000004249</v>
      </c>
    </row>
    <row r="119" spans="1:17" ht="12.75">
      <c r="A119" s="1">
        <v>10130</v>
      </c>
      <c r="B119" s="7" t="s">
        <v>47</v>
      </c>
      <c r="C119" s="5">
        <v>119.71</v>
      </c>
      <c r="D119" s="8" t="s">
        <v>114</v>
      </c>
      <c r="E119" s="5">
        <v>0</v>
      </c>
      <c r="F119" s="5" t="s">
        <v>114</v>
      </c>
      <c r="G119" s="5">
        <v>1</v>
      </c>
      <c r="I119" s="4">
        <v>2080</v>
      </c>
      <c r="J119" s="4">
        <v>0</v>
      </c>
      <c r="K119" s="4">
        <v>0</v>
      </c>
      <c r="L119" s="4">
        <v>0</v>
      </c>
      <c r="M119" s="4">
        <v>0</v>
      </c>
      <c r="N119" s="2">
        <f t="shared" si="9"/>
        <v>248996.8</v>
      </c>
      <c r="O119" s="2">
        <v>272455.79</v>
      </c>
      <c r="P119" s="2">
        <f t="shared" si="7"/>
        <v>23458.98999999999</v>
      </c>
      <c r="Q119" s="6" t="s">
        <v>124</v>
      </c>
    </row>
    <row r="120" spans="1:16" ht="12.75">
      <c r="A120" s="1">
        <v>60527</v>
      </c>
      <c r="B120" s="3" t="s">
        <v>4</v>
      </c>
      <c r="C120" s="5">
        <v>13.82</v>
      </c>
      <c r="D120" s="5" t="s">
        <v>114</v>
      </c>
      <c r="E120" s="5">
        <f t="shared" si="10"/>
        <v>20.73</v>
      </c>
      <c r="F120" s="5" t="s">
        <v>114</v>
      </c>
      <c r="G120" s="5">
        <v>1</v>
      </c>
      <c r="I120" s="4">
        <f>671.75+24</f>
        <v>695.75</v>
      </c>
      <c r="J120" s="4">
        <v>0</v>
      </c>
      <c r="K120" s="4">
        <v>3.75</v>
      </c>
      <c r="L120" s="4">
        <v>0</v>
      </c>
      <c r="M120" s="4">
        <v>0</v>
      </c>
      <c r="N120" s="2">
        <f t="shared" si="9"/>
        <v>9693.002499999999</v>
      </c>
      <c r="O120" s="2">
        <v>9693.02</v>
      </c>
      <c r="P120" s="2">
        <f t="shared" si="7"/>
        <v>0.01750000000174623</v>
      </c>
    </row>
    <row r="121" spans="1:16" ht="12.75">
      <c r="A121" s="1">
        <v>40645</v>
      </c>
      <c r="B121" s="3" t="s">
        <v>48</v>
      </c>
      <c r="C121" s="5">
        <v>17.28</v>
      </c>
      <c r="D121" s="5" t="s">
        <v>114</v>
      </c>
      <c r="E121" s="5">
        <f t="shared" si="10"/>
        <v>25.92</v>
      </c>
      <c r="F121" s="5" t="s">
        <v>114</v>
      </c>
      <c r="G121" s="5">
        <v>1</v>
      </c>
      <c r="I121" s="4">
        <f>1908+80+132</f>
        <v>2120</v>
      </c>
      <c r="J121" s="4">
        <v>0</v>
      </c>
      <c r="K121" s="4">
        <v>126</v>
      </c>
      <c r="L121" s="4">
        <v>0</v>
      </c>
      <c r="M121" s="4">
        <v>0</v>
      </c>
      <c r="N121" s="2">
        <f t="shared" si="9"/>
        <v>39899.520000000004</v>
      </c>
      <c r="O121" s="2">
        <v>39880.6</v>
      </c>
      <c r="P121" s="2">
        <f t="shared" si="7"/>
        <v>-18.92000000000553</v>
      </c>
    </row>
    <row r="122" spans="1:16" ht="12.75">
      <c r="A122" s="1">
        <v>60457</v>
      </c>
      <c r="B122" s="3" t="s">
        <v>49</v>
      </c>
      <c r="C122" s="5">
        <v>18.27</v>
      </c>
      <c r="D122" s="5" t="s">
        <v>114</v>
      </c>
      <c r="E122" s="5">
        <f t="shared" si="10"/>
        <v>27.405</v>
      </c>
      <c r="F122" s="5" t="s">
        <v>114</v>
      </c>
      <c r="G122" s="5">
        <v>1</v>
      </c>
      <c r="I122" s="4">
        <f>1860.5+24+80+101+5+50</f>
        <v>2120.5</v>
      </c>
      <c r="J122" s="4">
        <v>0</v>
      </c>
      <c r="K122" s="4">
        <v>75</v>
      </c>
      <c r="L122" s="4">
        <v>0</v>
      </c>
      <c r="M122" s="4">
        <v>0</v>
      </c>
      <c r="N122" s="2">
        <f>(17.24*1200)+(25.86*33)+(18.27*920.5)+(27.405*42)</f>
        <v>39509.924999999996</v>
      </c>
      <c r="O122" s="2">
        <v>39449.86</v>
      </c>
      <c r="P122" s="2">
        <f t="shared" si="7"/>
        <v>-60.06499999999505</v>
      </c>
    </row>
    <row r="123" spans="1:16" ht="12.75">
      <c r="A123" s="1">
        <v>40655</v>
      </c>
      <c r="B123" s="3" t="s">
        <v>50</v>
      </c>
      <c r="C123" s="5">
        <v>13.85</v>
      </c>
      <c r="D123" s="8" t="s">
        <v>114</v>
      </c>
      <c r="E123" s="5">
        <f t="shared" si="10"/>
        <v>20.775</v>
      </c>
      <c r="F123" s="5" t="s">
        <v>114</v>
      </c>
      <c r="G123" s="5">
        <v>1</v>
      </c>
      <c r="I123" s="4">
        <f>1588.25+80+27.5+78+50.25</f>
        <v>1824</v>
      </c>
      <c r="J123" s="4">
        <v>0</v>
      </c>
      <c r="K123" s="4">
        <v>233.25</v>
      </c>
      <c r="L123" s="4">
        <v>0</v>
      </c>
      <c r="M123" s="4">
        <v>0</v>
      </c>
      <c r="N123" s="2">
        <f t="shared" si="9"/>
        <v>30108.168749999997</v>
      </c>
      <c r="O123" s="2">
        <v>30103.58</v>
      </c>
      <c r="P123" s="2">
        <f t="shared" si="7"/>
        <v>-4.588749999995343</v>
      </c>
    </row>
    <row r="124" spans="1:16" ht="12.75">
      <c r="A124" s="1">
        <v>40640</v>
      </c>
      <c r="B124" s="3" t="s">
        <v>36</v>
      </c>
      <c r="C124" s="5">
        <v>17.808</v>
      </c>
      <c r="D124" s="5" t="s">
        <v>114</v>
      </c>
      <c r="E124" s="5">
        <f t="shared" si="10"/>
        <v>26.712</v>
      </c>
      <c r="F124" s="5" t="s">
        <v>114</v>
      </c>
      <c r="G124" s="5">
        <v>1</v>
      </c>
      <c r="I124" s="4">
        <f>1721+80+221.5+57</f>
        <v>2079.5</v>
      </c>
      <c r="J124" s="4">
        <v>0</v>
      </c>
      <c r="K124" s="4">
        <v>45.75</v>
      </c>
      <c r="L124" s="4">
        <v>0</v>
      </c>
      <c r="M124" s="4">
        <v>0</v>
      </c>
      <c r="N124" s="2">
        <f t="shared" si="9"/>
        <v>38253.81</v>
      </c>
      <c r="O124" s="2">
        <v>38240.28</v>
      </c>
      <c r="P124" s="2">
        <f t="shared" si="7"/>
        <v>-13.529999999998836</v>
      </c>
    </row>
    <row r="125" spans="1:16" ht="12.75">
      <c r="A125" s="1">
        <v>40675</v>
      </c>
      <c r="B125" s="3" t="s">
        <v>130</v>
      </c>
      <c r="C125" s="5">
        <v>24.1</v>
      </c>
      <c r="D125" s="5" t="s">
        <v>114</v>
      </c>
      <c r="E125" s="5">
        <f t="shared" si="10"/>
        <v>36.150000000000006</v>
      </c>
      <c r="F125" s="5" t="s">
        <v>114</v>
      </c>
      <c r="G125" s="5">
        <v>1</v>
      </c>
      <c r="I125" s="4">
        <f>53.5+16+272.94+70</f>
        <v>412.44</v>
      </c>
      <c r="J125" s="4">
        <v>0</v>
      </c>
      <c r="K125" s="4">
        <v>0</v>
      </c>
      <c r="L125" s="4">
        <v>0</v>
      </c>
      <c r="M125" s="4">
        <v>0</v>
      </c>
      <c r="N125" s="2">
        <f t="shared" si="9"/>
        <v>9939.804</v>
      </c>
      <c r="O125" s="2">
        <v>9939.8</v>
      </c>
      <c r="P125" s="2">
        <f t="shared" si="7"/>
        <v>-0.004000000000814907</v>
      </c>
    </row>
    <row r="126" spans="1:16" ht="12.75">
      <c r="A126" s="1">
        <v>20200</v>
      </c>
      <c r="B126" s="3" t="s">
        <v>51</v>
      </c>
      <c r="C126" s="5">
        <v>32.7</v>
      </c>
      <c r="D126" s="5" t="s">
        <v>114</v>
      </c>
      <c r="E126" s="5">
        <f t="shared" si="10"/>
        <v>49.050000000000004</v>
      </c>
      <c r="F126" s="5" t="s">
        <v>114</v>
      </c>
      <c r="G126" s="5">
        <v>1</v>
      </c>
      <c r="I126" s="4">
        <v>1308</v>
      </c>
      <c r="J126" s="4">
        <v>0</v>
      </c>
      <c r="K126" s="4">
        <v>0</v>
      </c>
      <c r="L126" s="4">
        <v>0</v>
      </c>
      <c r="M126" s="4">
        <v>0</v>
      </c>
      <c r="N126" s="2">
        <f t="shared" si="9"/>
        <v>42771.600000000006</v>
      </c>
      <c r="O126" s="2">
        <v>42757.52</v>
      </c>
      <c r="P126" s="2">
        <f t="shared" si="7"/>
        <v>-14.080000000009022</v>
      </c>
    </row>
    <row r="127" spans="1:16" ht="12.75">
      <c r="A127" s="1">
        <v>30635</v>
      </c>
      <c r="B127" s="3" t="s">
        <v>52</v>
      </c>
      <c r="C127" s="5">
        <v>24.592</v>
      </c>
      <c r="D127" s="5" t="s">
        <v>114</v>
      </c>
      <c r="E127" s="5">
        <f t="shared" si="10"/>
        <v>36.888</v>
      </c>
      <c r="F127" s="5" t="s">
        <v>114</v>
      </c>
      <c r="G127" s="5">
        <v>1</v>
      </c>
      <c r="I127" s="4">
        <f>1866.5+80+114+59.5</f>
        <v>2120</v>
      </c>
      <c r="J127" s="4">
        <v>0</v>
      </c>
      <c r="K127" s="4">
        <v>81.25</v>
      </c>
      <c r="L127" s="4">
        <v>0</v>
      </c>
      <c r="M127" s="4">
        <v>0</v>
      </c>
      <c r="N127" s="2">
        <f t="shared" si="9"/>
        <v>55132.19</v>
      </c>
      <c r="O127" s="2">
        <v>55125.33</v>
      </c>
      <c r="P127" s="2">
        <f t="shared" si="7"/>
        <v>-6.860000000000582</v>
      </c>
    </row>
    <row r="128" spans="1:16" ht="12.75">
      <c r="A128" s="1">
        <v>60471</v>
      </c>
      <c r="B128" s="3" t="s">
        <v>53</v>
      </c>
      <c r="C128" s="5">
        <v>21.54</v>
      </c>
      <c r="D128" s="8" t="s">
        <v>114</v>
      </c>
      <c r="E128" s="5">
        <f t="shared" si="10"/>
        <v>32.31</v>
      </c>
      <c r="F128" s="5" t="s">
        <v>114</v>
      </c>
      <c r="G128" s="5">
        <v>1</v>
      </c>
      <c r="I128" s="4">
        <f>1760+80+179.5+60.5</f>
        <v>2080</v>
      </c>
      <c r="J128" s="4">
        <v>0</v>
      </c>
      <c r="K128" s="4">
        <v>159</v>
      </c>
      <c r="L128" s="4">
        <v>0</v>
      </c>
      <c r="M128" s="4">
        <v>0</v>
      </c>
      <c r="N128" s="2">
        <f t="shared" si="9"/>
        <v>49940.49</v>
      </c>
      <c r="O128" s="2">
        <v>49916.12</v>
      </c>
      <c r="P128" s="2">
        <f t="shared" si="7"/>
        <v>-24.369999999995343</v>
      </c>
    </row>
    <row r="129" spans="1:16" ht="12.75">
      <c r="A129" s="1">
        <v>30670</v>
      </c>
      <c r="B129" s="3" t="s">
        <v>30</v>
      </c>
      <c r="C129" s="5">
        <v>11</v>
      </c>
      <c r="D129" s="5" t="s">
        <v>114</v>
      </c>
      <c r="E129" s="5">
        <f t="shared" si="10"/>
        <v>16.5</v>
      </c>
      <c r="F129" s="5" t="s">
        <v>114</v>
      </c>
      <c r="G129" s="5">
        <v>1</v>
      </c>
      <c r="I129" s="4">
        <v>384</v>
      </c>
      <c r="J129" s="4">
        <v>0</v>
      </c>
      <c r="K129" s="4">
        <v>0</v>
      </c>
      <c r="L129" s="4">
        <v>0</v>
      </c>
      <c r="M129" s="4">
        <v>0</v>
      </c>
      <c r="N129" s="2">
        <f t="shared" si="9"/>
        <v>4224</v>
      </c>
      <c r="O129" s="2">
        <v>4224</v>
      </c>
      <c r="P129" s="2">
        <f t="shared" si="7"/>
        <v>0</v>
      </c>
    </row>
    <row r="130" spans="1:16" ht="12.75">
      <c r="A130" s="1">
        <v>60486</v>
      </c>
      <c r="B130" s="3" t="s">
        <v>22</v>
      </c>
      <c r="C130" s="5">
        <v>16.25</v>
      </c>
      <c r="D130" s="8" t="s">
        <v>114</v>
      </c>
      <c r="E130" s="5">
        <f t="shared" si="10"/>
        <v>24.375</v>
      </c>
      <c r="F130" s="5" t="s">
        <v>114</v>
      </c>
      <c r="G130" s="5">
        <v>1</v>
      </c>
      <c r="I130" s="4">
        <f>1554.5+40+24+7</f>
        <v>1625.5</v>
      </c>
      <c r="J130" s="4">
        <v>0</v>
      </c>
      <c r="K130" s="4">
        <v>3.75</v>
      </c>
      <c r="L130" s="4">
        <v>0</v>
      </c>
      <c r="M130" s="4">
        <v>0</v>
      </c>
      <c r="N130" s="2">
        <f t="shared" si="9"/>
        <v>26505.78125</v>
      </c>
      <c r="O130" s="2">
        <v>26505.79</v>
      </c>
      <c r="P130" s="2">
        <f t="shared" si="7"/>
        <v>0.008750000000873115</v>
      </c>
    </row>
    <row r="131" spans="1:16" ht="12.75">
      <c r="A131" s="1">
        <v>30700</v>
      </c>
      <c r="B131" s="3" t="s">
        <v>54</v>
      </c>
      <c r="C131" s="5">
        <v>28.82</v>
      </c>
      <c r="D131" s="5" t="s">
        <v>114</v>
      </c>
      <c r="E131" s="5">
        <f t="shared" si="10"/>
        <v>43.230000000000004</v>
      </c>
      <c r="F131" s="5" t="s">
        <v>114</v>
      </c>
      <c r="G131" s="5">
        <v>1</v>
      </c>
      <c r="I131" s="4">
        <f>1814.5+80+184+41.5</f>
        <v>2120</v>
      </c>
      <c r="J131" s="4">
        <v>0</v>
      </c>
      <c r="K131" s="4">
        <v>65</v>
      </c>
      <c r="L131" s="4">
        <v>0</v>
      </c>
      <c r="M131" s="4">
        <v>62.5</v>
      </c>
      <c r="N131" s="2">
        <f t="shared" si="9"/>
        <v>63970.85</v>
      </c>
      <c r="O131" s="2">
        <v>63956.01</v>
      </c>
      <c r="P131" s="2">
        <f t="shared" si="7"/>
        <v>-14.839999999996508</v>
      </c>
    </row>
    <row r="132" spans="1:16" ht="12.75">
      <c r="A132" s="1">
        <v>30715</v>
      </c>
      <c r="B132" s="3" t="s">
        <v>37</v>
      </c>
      <c r="C132" s="5">
        <v>27.85</v>
      </c>
      <c r="D132" s="5" t="s">
        <v>114</v>
      </c>
      <c r="E132" s="5">
        <f t="shared" si="10"/>
        <v>41.775000000000006</v>
      </c>
      <c r="F132" s="5" t="s">
        <v>114</v>
      </c>
      <c r="G132" s="5">
        <v>1</v>
      </c>
      <c r="I132" s="4">
        <f>1784.5+80+161+7.5+47</f>
        <v>2080</v>
      </c>
      <c r="J132" s="4">
        <v>0</v>
      </c>
      <c r="K132" s="4">
        <v>191.5</v>
      </c>
      <c r="L132" s="4">
        <v>0</v>
      </c>
      <c r="M132" s="4">
        <v>179</v>
      </c>
      <c r="N132" s="2">
        <f t="shared" si="9"/>
        <v>66106.9125</v>
      </c>
      <c r="O132" s="2">
        <v>66071.82</v>
      </c>
      <c r="P132" s="2">
        <f t="shared" si="7"/>
        <v>-35.092499999998836</v>
      </c>
    </row>
    <row r="133" spans="1:16" ht="12.75">
      <c r="A133" s="1">
        <v>60459</v>
      </c>
      <c r="B133" s="3" t="s">
        <v>3</v>
      </c>
      <c r="C133" s="5">
        <v>19.18</v>
      </c>
      <c r="D133" s="5" t="s">
        <v>114</v>
      </c>
      <c r="E133" s="5">
        <f t="shared" si="10"/>
        <v>28.77</v>
      </c>
      <c r="F133" s="5" t="s">
        <v>114</v>
      </c>
      <c r="G133" s="5">
        <v>1</v>
      </c>
      <c r="I133" s="4">
        <f>1740.5+80+135.5+72.5+49</f>
        <v>2077.5</v>
      </c>
      <c r="J133" s="4">
        <v>0</v>
      </c>
      <c r="K133" s="4">
        <v>432</v>
      </c>
      <c r="L133" s="4">
        <v>0</v>
      </c>
      <c r="M133" s="4">
        <v>424.75</v>
      </c>
      <c r="N133" s="2">
        <f>(17.23*200)+(1*117.5)+(25.845*13.5)+(18.09*757.5)+(1*166.5)+(27.135*214.25)+(18.27*120)+(1*21)+(27.405*29.5)+(19.18*1000)+(1*119.75)+(28.77*174.75)</f>
        <v>50944.91125</v>
      </c>
      <c r="O133" s="2">
        <v>50953.96</v>
      </c>
      <c r="P133" s="2">
        <f t="shared" si="7"/>
        <v>9.048750000001746</v>
      </c>
    </row>
    <row r="134" spans="1:16" ht="12.75">
      <c r="A134" s="1">
        <v>30800</v>
      </c>
      <c r="B134" s="3" t="s">
        <v>37</v>
      </c>
      <c r="C134" s="5">
        <v>32.6</v>
      </c>
      <c r="D134" s="5" t="s">
        <v>114</v>
      </c>
      <c r="E134" s="5">
        <f t="shared" si="10"/>
        <v>48.900000000000006</v>
      </c>
      <c r="F134" s="5" t="s">
        <v>114</v>
      </c>
      <c r="G134" s="5">
        <v>1</v>
      </c>
      <c r="I134" s="4">
        <f>1855.5+80+145.5+48.5</f>
        <v>2129.5</v>
      </c>
      <c r="J134" s="4">
        <v>0</v>
      </c>
      <c r="K134" s="4">
        <v>884.5</v>
      </c>
      <c r="L134" s="4">
        <v>0</v>
      </c>
      <c r="M134" s="4">
        <v>226.25</v>
      </c>
      <c r="N134" s="2">
        <f t="shared" si="9"/>
        <v>112900</v>
      </c>
      <c r="O134" s="2">
        <v>112891.94</v>
      </c>
      <c r="P134" s="2">
        <f t="shared" si="7"/>
        <v>-8.059999999997672</v>
      </c>
    </row>
    <row r="135" spans="1:16" ht="12.75">
      <c r="A135" s="1">
        <v>40750</v>
      </c>
      <c r="B135" s="3" t="s">
        <v>55</v>
      </c>
      <c r="C135" s="5">
        <v>24.73</v>
      </c>
      <c r="D135" s="5" t="s">
        <v>114</v>
      </c>
      <c r="E135" s="5">
        <f t="shared" si="10"/>
        <v>37.095</v>
      </c>
      <c r="F135" s="5" t="s">
        <v>114</v>
      </c>
      <c r="G135" s="5">
        <v>1</v>
      </c>
      <c r="I135" s="4">
        <f>1798.75+80+4+212+32</f>
        <v>2126.75</v>
      </c>
      <c r="J135" s="4">
        <v>0</v>
      </c>
      <c r="K135" s="4">
        <v>325.5</v>
      </c>
      <c r="L135" s="4">
        <v>0</v>
      </c>
      <c r="M135" s="4">
        <v>1656.25</v>
      </c>
      <c r="N135" s="2">
        <f t="shared" si="9"/>
        <v>66325.20000000001</v>
      </c>
      <c r="O135" s="2">
        <v>66289.56</v>
      </c>
      <c r="P135" s="2">
        <f t="shared" si="7"/>
        <v>-35.64000000001397</v>
      </c>
    </row>
    <row r="136" spans="1:17" ht="12.75">
      <c r="A136" s="31" t="s">
        <v>95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18"/>
      <c r="P136" s="18"/>
      <c r="Q136" s="18" t="s">
        <v>98</v>
      </c>
    </row>
    <row r="137" spans="1:17" ht="12.75">
      <c r="A137" s="31" t="s">
        <v>96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18"/>
      <c r="P137" s="18"/>
      <c r="Q137" s="19" t="s">
        <v>103</v>
      </c>
    </row>
    <row r="138" spans="1:17" ht="12.75">
      <c r="A138" s="31" t="s">
        <v>97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18"/>
      <c r="P138" s="18"/>
      <c r="Q138" s="19" t="s">
        <v>99</v>
      </c>
    </row>
    <row r="139" spans="1:17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9"/>
    </row>
    <row r="140" spans="1:17" ht="12.75">
      <c r="A140" s="9"/>
      <c r="B140" s="9"/>
      <c r="C140" s="32" t="s">
        <v>84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9"/>
      <c r="O140" s="9"/>
      <c r="P140" s="9"/>
      <c r="Q140" s="19"/>
    </row>
    <row r="141" spans="3:16" ht="12.75">
      <c r="C141" s="32" t="s">
        <v>86</v>
      </c>
      <c r="D141" s="32"/>
      <c r="E141" s="32"/>
      <c r="F141" s="32"/>
      <c r="G141" s="32"/>
      <c r="H141" s="11"/>
      <c r="I141" s="32" t="s">
        <v>85</v>
      </c>
      <c r="J141" s="32"/>
      <c r="K141" s="32"/>
      <c r="L141" s="32"/>
      <c r="M141" s="32"/>
      <c r="N141" s="20"/>
      <c r="O141" s="8"/>
      <c r="P141" s="8"/>
    </row>
    <row r="142" spans="3:16" ht="12.75">
      <c r="C142" s="10"/>
      <c r="D142" s="10" t="s">
        <v>117</v>
      </c>
      <c r="E142" s="10" t="s">
        <v>82</v>
      </c>
      <c r="F142" s="10" t="s">
        <v>120</v>
      </c>
      <c r="G142" s="10"/>
      <c r="H142" s="11"/>
      <c r="I142" s="10"/>
      <c r="J142" s="10"/>
      <c r="K142" s="10"/>
      <c r="L142" s="10"/>
      <c r="M142" s="10"/>
      <c r="N142" s="20" t="s">
        <v>87</v>
      </c>
      <c r="O142" s="8" t="s">
        <v>89</v>
      </c>
      <c r="P142" s="8" t="s">
        <v>92</v>
      </c>
    </row>
    <row r="143" spans="3:16" ht="12.75">
      <c r="C143" s="5" t="s">
        <v>82</v>
      </c>
      <c r="D143" s="8" t="s">
        <v>118</v>
      </c>
      <c r="E143" s="5" t="s">
        <v>83</v>
      </c>
      <c r="F143" s="5" t="s">
        <v>83</v>
      </c>
      <c r="G143" s="5" t="s">
        <v>121</v>
      </c>
      <c r="J143" s="5" t="s">
        <v>119</v>
      </c>
      <c r="L143" s="5" t="s">
        <v>120</v>
      </c>
      <c r="N143" s="20" t="s">
        <v>84</v>
      </c>
      <c r="O143" s="8" t="s">
        <v>90</v>
      </c>
      <c r="P143" s="8" t="s">
        <v>93</v>
      </c>
    </row>
    <row r="144" spans="1:17" ht="12.75">
      <c r="A144" s="11" t="s">
        <v>0</v>
      </c>
      <c r="B144" s="11" t="s">
        <v>1</v>
      </c>
      <c r="C144" s="12" t="s">
        <v>122</v>
      </c>
      <c r="D144" s="12" t="s">
        <v>122</v>
      </c>
      <c r="E144" s="12" t="s">
        <v>122</v>
      </c>
      <c r="F144" s="12" t="s">
        <v>122</v>
      </c>
      <c r="G144" s="12" t="s">
        <v>122</v>
      </c>
      <c r="H144" s="12"/>
      <c r="I144" s="22" t="s">
        <v>82</v>
      </c>
      <c r="J144" s="12" t="s">
        <v>118</v>
      </c>
      <c r="K144" s="22" t="s">
        <v>83</v>
      </c>
      <c r="L144" s="12" t="s">
        <v>83</v>
      </c>
      <c r="M144" s="22" t="s">
        <v>121</v>
      </c>
      <c r="N144" s="11" t="s">
        <v>88</v>
      </c>
      <c r="O144" s="12" t="s">
        <v>91</v>
      </c>
      <c r="P144" s="12" t="s">
        <v>89</v>
      </c>
      <c r="Q144" s="20" t="s">
        <v>94</v>
      </c>
    </row>
    <row r="145" spans="1:16" ht="12.75">
      <c r="A145" s="1">
        <v>20875</v>
      </c>
      <c r="B145" s="3" t="s">
        <v>56</v>
      </c>
      <c r="C145" s="5">
        <v>35.58</v>
      </c>
      <c r="D145" s="8" t="s">
        <v>114</v>
      </c>
      <c r="E145" s="5">
        <f>C145*1.5</f>
        <v>53.37</v>
      </c>
      <c r="F145" s="8" t="s">
        <v>114</v>
      </c>
      <c r="G145" s="5">
        <v>1</v>
      </c>
      <c r="I145" s="4">
        <f>2080+40</f>
        <v>2120</v>
      </c>
      <c r="J145" s="4">
        <v>0</v>
      </c>
      <c r="K145" s="4">
        <v>0</v>
      </c>
      <c r="L145" s="4">
        <v>0</v>
      </c>
      <c r="M145" s="4">
        <v>0</v>
      </c>
      <c r="N145" s="2">
        <f aca="true" t="shared" si="11" ref="N145:N183">(C145*I145)+(E145*K145)+(G145*M145)</f>
        <v>75429.59999999999</v>
      </c>
      <c r="O145" s="2">
        <v>75447.98</v>
      </c>
      <c r="P145" s="2">
        <f aca="true" t="shared" si="12" ref="P145:P183">O145-N145</f>
        <v>18.380000000004657</v>
      </c>
    </row>
    <row r="146" spans="1:16" ht="12.75">
      <c r="A146" s="1">
        <v>30825</v>
      </c>
      <c r="B146" s="3" t="s">
        <v>11</v>
      </c>
      <c r="C146" s="5">
        <v>21.69</v>
      </c>
      <c r="D146" s="8" t="s">
        <v>114</v>
      </c>
      <c r="E146" s="5">
        <f aca="true" t="shared" si="13" ref="E146:E183">C146*1.5</f>
        <v>32.535000000000004</v>
      </c>
      <c r="F146" s="8" t="s">
        <v>114</v>
      </c>
      <c r="G146" s="5">
        <v>1</v>
      </c>
      <c r="I146" s="4">
        <f>1797.5+80+185+17.5</f>
        <v>2080</v>
      </c>
      <c r="J146" s="4">
        <v>0</v>
      </c>
      <c r="K146" s="4">
        <v>17</v>
      </c>
      <c r="L146" s="4">
        <v>0</v>
      </c>
      <c r="M146" s="4">
        <v>0</v>
      </c>
      <c r="N146" s="2">
        <f t="shared" si="11"/>
        <v>45668.295000000006</v>
      </c>
      <c r="O146" s="2">
        <v>45650.01</v>
      </c>
      <c r="P146" s="2">
        <f t="shared" si="12"/>
        <v>-18.285000000003492</v>
      </c>
    </row>
    <row r="147" spans="1:16" ht="12.75">
      <c r="A147" s="1">
        <v>60511</v>
      </c>
      <c r="B147" s="3" t="s">
        <v>7</v>
      </c>
      <c r="C147" s="5">
        <v>16.25</v>
      </c>
      <c r="D147" s="8" t="s">
        <v>114</v>
      </c>
      <c r="E147" s="5">
        <f t="shared" si="13"/>
        <v>24.375</v>
      </c>
      <c r="F147" s="8" t="s">
        <v>114</v>
      </c>
      <c r="G147" s="5">
        <v>1</v>
      </c>
      <c r="I147" s="4">
        <f>1836.5+80+83.5+45+35</f>
        <v>2080</v>
      </c>
      <c r="J147" s="4">
        <v>0</v>
      </c>
      <c r="K147" s="4">
        <v>334.5</v>
      </c>
      <c r="L147" s="4">
        <v>0</v>
      </c>
      <c r="M147" s="4">
        <v>575.25</v>
      </c>
      <c r="N147" s="2">
        <f t="shared" si="11"/>
        <v>42528.6875</v>
      </c>
      <c r="O147" s="2">
        <v>42498.85</v>
      </c>
      <c r="P147" s="2">
        <f t="shared" si="12"/>
        <v>-29.837500000001455</v>
      </c>
    </row>
    <row r="148" spans="1:16" ht="12.75">
      <c r="A148" s="1">
        <v>40850</v>
      </c>
      <c r="B148" s="3" t="s">
        <v>57</v>
      </c>
      <c r="C148" s="5">
        <v>26.93</v>
      </c>
      <c r="D148" s="8" t="s">
        <v>114</v>
      </c>
      <c r="E148" s="5">
        <f t="shared" si="13"/>
        <v>40.394999999999996</v>
      </c>
      <c r="F148" s="8" t="s">
        <v>114</v>
      </c>
      <c r="G148" s="5">
        <v>1</v>
      </c>
      <c r="I148" s="4">
        <f>1884+80+95.25+60.75</f>
        <v>2120</v>
      </c>
      <c r="J148" s="4">
        <v>0</v>
      </c>
      <c r="K148" s="4">
        <v>136.75</v>
      </c>
      <c r="L148" s="4">
        <v>0</v>
      </c>
      <c r="M148" s="4">
        <v>0</v>
      </c>
      <c r="N148" s="2">
        <f t="shared" si="11"/>
        <v>62615.61625</v>
      </c>
      <c r="O148" s="2">
        <v>62593.19</v>
      </c>
      <c r="P148" s="2">
        <f t="shared" si="12"/>
        <v>-22.4262499999968</v>
      </c>
    </row>
    <row r="149" spans="1:16" ht="12.75">
      <c r="A149" s="1">
        <v>60513</v>
      </c>
      <c r="B149" s="3" t="s">
        <v>11</v>
      </c>
      <c r="C149" s="5">
        <v>20.89</v>
      </c>
      <c r="D149" s="8" t="s">
        <v>114</v>
      </c>
      <c r="E149" s="5">
        <f t="shared" si="13"/>
        <v>31.335</v>
      </c>
      <c r="F149" s="8" t="s">
        <v>114</v>
      </c>
      <c r="G149" s="5">
        <v>1</v>
      </c>
      <c r="I149" s="4">
        <v>2080</v>
      </c>
      <c r="J149" s="4">
        <v>0</v>
      </c>
      <c r="K149" s="4">
        <v>0</v>
      </c>
      <c r="L149" s="4">
        <v>0</v>
      </c>
      <c r="M149" s="4">
        <v>0</v>
      </c>
      <c r="N149" s="2">
        <f t="shared" si="11"/>
        <v>43451.200000000004</v>
      </c>
      <c r="O149" s="2">
        <v>43432.8</v>
      </c>
      <c r="P149" s="2">
        <f t="shared" si="12"/>
        <v>-18.400000000001455</v>
      </c>
    </row>
    <row r="150" spans="1:16" ht="12.75">
      <c r="A150" s="1">
        <v>60537</v>
      </c>
      <c r="B150" s="3" t="s">
        <v>16</v>
      </c>
      <c r="C150" s="5">
        <v>15.89</v>
      </c>
      <c r="D150" s="8" t="s">
        <v>114</v>
      </c>
      <c r="E150" s="5">
        <f t="shared" si="13"/>
        <v>23.835</v>
      </c>
      <c r="F150" s="8" t="s">
        <v>114</v>
      </c>
      <c r="G150" s="5">
        <v>1</v>
      </c>
      <c r="I150" s="4">
        <f>559+16</f>
        <v>575</v>
      </c>
      <c r="J150" s="4">
        <v>0</v>
      </c>
      <c r="K150" s="4">
        <v>36</v>
      </c>
      <c r="L150" s="4">
        <v>0</v>
      </c>
      <c r="M150" s="4">
        <v>348</v>
      </c>
      <c r="N150" s="2">
        <f t="shared" si="11"/>
        <v>10342.81</v>
      </c>
      <c r="O150" s="2">
        <v>10342.83</v>
      </c>
      <c r="P150" s="2">
        <f t="shared" si="12"/>
        <v>0.020000000000436557</v>
      </c>
    </row>
    <row r="151" spans="1:16" ht="12.75">
      <c r="A151" s="1">
        <v>20900</v>
      </c>
      <c r="B151" s="3" t="s">
        <v>58</v>
      </c>
      <c r="C151" s="5">
        <v>37.32</v>
      </c>
      <c r="D151" s="8" t="s">
        <v>114</v>
      </c>
      <c r="E151" s="5">
        <f t="shared" si="13"/>
        <v>55.980000000000004</v>
      </c>
      <c r="F151" s="8" t="s">
        <v>114</v>
      </c>
      <c r="G151" s="5">
        <v>1</v>
      </c>
      <c r="I151" s="4">
        <f>2080+40</f>
        <v>2120</v>
      </c>
      <c r="J151" s="4">
        <v>0</v>
      </c>
      <c r="K151" s="4">
        <v>0</v>
      </c>
      <c r="L151" s="4">
        <v>0</v>
      </c>
      <c r="M151" s="4">
        <v>0</v>
      </c>
      <c r="N151" s="2">
        <f t="shared" si="11"/>
        <v>79118.4</v>
      </c>
      <c r="O151" s="2">
        <v>79130.32</v>
      </c>
      <c r="P151" s="2">
        <f t="shared" si="12"/>
        <v>11.920000000012806</v>
      </c>
    </row>
    <row r="152" spans="1:16" ht="12.75">
      <c r="A152" s="1">
        <v>40900</v>
      </c>
      <c r="B152" s="3" t="s">
        <v>16</v>
      </c>
      <c r="C152" s="5">
        <v>23.15</v>
      </c>
      <c r="D152" s="8" t="s">
        <v>114</v>
      </c>
      <c r="E152" s="5">
        <f t="shared" si="13"/>
        <v>34.724999999999994</v>
      </c>
      <c r="F152" s="8" t="s">
        <v>114</v>
      </c>
      <c r="G152" s="5">
        <v>1</v>
      </c>
      <c r="I152" s="4">
        <f>1897.5+80+152</f>
        <v>2129.5</v>
      </c>
      <c r="J152" s="4">
        <v>0</v>
      </c>
      <c r="K152" s="4">
        <v>357.75</v>
      </c>
      <c r="L152" s="4">
        <v>0</v>
      </c>
      <c r="M152" s="4">
        <v>2088.5</v>
      </c>
      <c r="N152" s="2">
        <f t="shared" si="11"/>
        <v>63809.29375</v>
      </c>
      <c r="O152" s="2">
        <v>63786.35</v>
      </c>
      <c r="P152" s="2">
        <f t="shared" si="12"/>
        <v>-22.943749999998545</v>
      </c>
    </row>
    <row r="153" spans="1:16" ht="12.75">
      <c r="A153" s="1">
        <v>20910</v>
      </c>
      <c r="B153" s="3" t="s">
        <v>51</v>
      </c>
      <c r="C153" s="5">
        <v>33.38</v>
      </c>
      <c r="D153" s="8" t="s">
        <v>114</v>
      </c>
      <c r="E153" s="5">
        <f t="shared" si="13"/>
        <v>50.07000000000001</v>
      </c>
      <c r="F153" s="8" t="s">
        <v>114</v>
      </c>
      <c r="G153" s="5">
        <v>1</v>
      </c>
      <c r="I153" s="4">
        <f>2080+40</f>
        <v>2120</v>
      </c>
      <c r="J153" s="4">
        <v>0</v>
      </c>
      <c r="K153" s="4">
        <v>0</v>
      </c>
      <c r="L153" s="4">
        <v>0</v>
      </c>
      <c r="M153" s="4">
        <v>0</v>
      </c>
      <c r="N153" s="2">
        <f t="shared" si="11"/>
        <v>70765.6</v>
      </c>
      <c r="O153" s="2">
        <v>70754.08</v>
      </c>
      <c r="P153" s="2">
        <f t="shared" si="12"/>
        <v>-11.520000000004075</v>
      </c>
    </row>
    <row r="154" spans="1:16" ht="12.75">
      <c r="A154" s="1">
        <v>41305</v>
      </c>
      <c r="B154" s="3" t="s">
        <v>57</v>
      </c>
      <c r="C154" s="5">
        <v>21.07</v>
      </c>
      <c r="D154" s="8" t="s">
        <v>114</v>
      </c>
      <c r="E154" s="5">
        <f t="shared" si="13"/>
        <v>31.605</v>
      </c>
      <c r="F154" s="8" t="s">
        <v>114</v>
      </c>
      <c r="G154" s="5">
        <v>1</v>
      </c>
      <c r="I154" s="4">
        <f>1824+80+112+64</f>
        <v>2080</v>
      </c>
      <c r="J154" s="4">
        <v>0</v>
      </c>
      <c r="K154" s="4">
        <v>43.3</v>
      </c>
      <c r="L154" s="4">
        <v>0</v>
      </c>
      <c r="M154" s="4">
        <v>0</v>
      </c>
      <c r="N154" s="2">
        <f t="shared" si="11"/>
        <v>45194.0965</v>
      </c>
      <c r="O154" s="2">
        <v>45175.56</v>
      </c>
      <c r="P154" s="2">
        <f t="shared" si="12"/>
        <v>-18.53650000000198</v>
      </c>
    </row>
    <row r="155" spans="1:16" ht="12.75">
      <c r="A155" s="1">
        <v>20915</v>
      </c>
      <c r="B155" s="3" t="s">
        <v>8</v>
      </c>
      <c r="C155" s="5">
        <v>20.44</v>
      </c>
      <c r="D155" s="8" t="s">
        <v>114</v>
      </c>
      <c r="E155" s="5">
        <f t="shared" si="13"/>
        <v>30.660000000000004</v>
      </c>
      <c r="F155" s="8" t="s">
        <v>114</v>
      </c>
      <c r="G155" s="5">
        <v>1</v>
      </c>
      <c r="I155" s="4">
        <f>1823+80+177</f>
        <v>2080</v>
      </c>
      <c r="J155" s="4">
        <v>0</v>
      </c>
      <c r="K155" s="4">
        <v>36</v>
      </c>
      <c r="L155" s="4">
        <v>0</v>
      </c>
      <c r="M155" s="4">
        <v>0</v>
      </c>
      <c r="N155" s="2">
        <f t="shared" si="11"/>
        <v>43618.96000000001</v>
      </c>
      <c r="O155" s="2">
        <v>43602.96</v>
      </c>
      <c r="P155" s="2">
        <f t="shared" si="12"/>
        <v>-16.000000000007276</v>
      </c>
    </row>
    <row r="156" spans="1:16" ht="12.75">
      <c r="A156" s="1">
        <v>30835</v>
      </c>
      <c r="B156" s="3" t="s">
        <v>3</v>
      </c>
      <c r="C156" s="5">
        <v>25.42</v>
      </c>
      <c r="D156" s="8" t="s">
        <v>114</v>
      </c>
      <c r="E156" s="5">
        <f t="shared" si="13"/>
        <v>38.13</v>
      </c>
      <c r="F156" s="8" t="s">
        <v>114</v>
      </c>
      <c r="G156" s="5">
        <v>1</v>
      </c>
      <c r="I156" s="4">
        <f>1686+80+4+224+40+32</f>
        <v>2066</v>
      </c>
      <c r="J156" s="4">
        <v>0</v>
      </c>
      <c r="K156" s="4">
        <v>239</v>
      </c>
      <c r="L156" s="4">
        <v>0</v>
      </c>
      <c r="M156" s="4">
        <v>448.5</v>
      </c>
      <c r="N156" s="2">
        <f t="shared" si="11"/>
        <v>62079.29</v>
      </c>
      <c r="O156" s="2">
        <v>62055.51</v>
      </c>
      <c r="P156" s="2">
        <f t="shared" si="12"/>
        <v>-23.779999999998836</v>
      </c>
    </row>
    <row r="157" spans="1:16" ht="12.75">
      <c r="A157" s="1">
        <v>60516</v>
      </c>
      <c r="B157" s="3" t="s">
        <v>7</v>
      </c>
      <c r="C157" s="5">
        <v>16.1</v>
      </c>
      <c r="D157" s="8" t="s">
        <v>114</v>
      </c>
      <c r="E157" s="5">
        <f t="shared" si="13"/>
        <v>24.150000000000002</v>
      </c>
      <c r="F157" s="8" t="s">
        <v>114</v>
      </c>
      <c r="G157" s="5">
        <v>1</v>
      </c>
      <c r="I157" s="4">
        <f>1876+16+80+62+17.5+28.5</f>
        <v>2080</v>
      </c>
      <c r="J157" s="4">
        <v>0</v>
      </c>
      <c r="K157" s="4">
        <v>268</v>
      </c>
      <c r="L157" s="4">
        <v>0</v>
      </c>
      <c r="M157" s="4">
        <v>502.75</v>
      </c>
      <c r="N157" s="2">
        <f t="shared" si="11"/>
        <v>40462.95</v>
      </c>
      <c r="O157" s="2">
        <v>40433.02</v>
      </c>
      <c r="P157" s="2">
        <f t="shared" si="12"/>
        <v>-29.93000000000029</v>
      </c>
    </row>
    <row r="158" spans="1:16" ht="12.75">
      <c r="A158" s="1">
        <v>60519</v>
      </c>
      <c r="B158" s="3" t="s">
        <v>7</v>
      </c>
      <c r="C158" s="5">
        <v>16.07</v>
      </c>
      <c r="D158" s="8" t="s">
        <v>114</v>
      </c>
      <c r="E158" s="5">
        <f t="shared" si="13"/>
        <v>24.105</v>
      </c>
      <c r="F158" s="8" t="s">
        <v>114</v>
      </c>
      <c r="G158" s="5">
        <v>1</v>
      </c>
      <c r="I158" s="4">
        <f>(1944+80+37+7.5+11.5)-J158</f>
        <v>2080</v>
      </c>
      <c r="J158" s="4">
        <v>0</v>
      </c>
      <c r="K158" s="4">
        <f>261.75-L158</f>
        <v>261.75</v>
      </c>
      <c r="L158" s="4">
        <v>0</v>
      </c>
      <c r="M158" s="4">
        <v>1386.5</v>
      </c>
      <c r="N158" s="2">
        <f>(15.89*960)+((15.89*1.5)*138.5)+(1*790)+(16.07*1120)+((16.07*1.5)*123.25)+(1*596.5)</f>
        <v>40911.38875</v>
      </c>
      <c r="O158" s="2">
        <v>40872.31</v>
      </c>
      <c r="P158" s="2">
        <f t="shared" si="12"/>
        <v>-39.07875000000058</v>
      </c>
    </row>
    <row r="159" spans="1:16" ht="12.75">
      <c r="A159" s="1">
        <v>20925</v>
      </c>
      <c r="B159" s="3" t="s">
        <v>59</v>
      </c>
      <c r="C159" s="5">
        <v>28.78</v>
      </c>
      <c r="D159" s="8" t="s">
        <v>114</v>
      </c>
      <c r="E159" s="5">
        <f t="shared" si="13"/>
        <v>43.17</v>
      </c>
      <c r="F159" s="8" t="s">
        <v>114</v>
      </c>
      <c r="G159" s="5">
        <v>1</v>
      </c>
      <c r="I159" s="4">
        <f>2080+40</f>
        <v>2120</v>
      </c>
      <c r="J159" s="4">
        <v>0</v>
      </c>
      <c r="K159" s="4">
        <v>0</v>
      </c>
      <c r="L159" s="4">
        <v>0</v>
      </c>
      <c r="M159" s="4">
        <v>0</v>
      </c>
      <c r="N159" s="2">
        <f t="shared" si="11"/>
        <v>61013.600000000006</v>
      </c>
      <c r="O159" s="2">
        <v>60987.52</v>
      </c>
      <c r="P159" s="2">
        <f t="shared" si="12"/>
        <v>-26.080000000009022</v>
      </c>
    </row>
    <row r="160" spans="1:16" ht="12.75">
      <c r="A160" s="1">
        <v>60475</v>
      </c>
      <c r="B160" s="3" t="s">
        <v>60</v>
      </c>
      <c r="C160" s="5">
        <v>14.58</v>
      </c>
      <c r="D160" s="8" t="s">
        <v>114</v>
      </c>
      <c r="E160" s="5">
        <f t="shared" si="13"/>
        <v>21.87</v>
      </c>
      <c r="F160" s="8" t="s">
        <v>114</v>
      </c>
      <c r="G160" s="5">
        <v>1</v>
      </c>
      <c r="I160" s="4">
        <f>1510.06+64+10.75+124+61</f>
        <v>1769.81</v>
      </c>
      <c r="J160" s="4">
        <v>0</v>
      </c>
      <c r="K160" s="4">
        <v>123.25</v>
      </c>
      <c r="L160" s="4">
        <v>0</v>
      </c>
      <c r="M160" s="4">
        <v>0</v>
      </c>
      <c r="N160" s="2">
        <f t="shared" si="11"/>
        <v>28499.3073</v>
      </c>
      <c r="O160" s="2">
        <v>28486.57</v>
      </c>
      <c r="P160" s="2">
        <f t="shared" si="12"/>
        <v>-12.737300000000687</v>
      </c>
    </row>
    <row r="161" spans="1:16" ht="12.75">
      <c r="A161" s="1">
        <v>40975</v>
      </c>
      <c r="B161" s="3" t="s">
        <v>4</v>
      </c>
      <c r="C161" s="5">
        <v>17.91</v>
      </c>
      <c r="D161" s="8" t="s">
        <v>114</v>
      </c>
      <c r="E161" s="5">
        <f t="shared" si="13"/>
        <v>26.865000000000002</v>
      </c>
      <c r="F161" s="8" t="s">
        <v>114</v>
      </c>
      <c r="G161" s="5">
        <v>1</v>
      </c>
      <c r="I161" s="4">
        <f>1695+80+239+66</f>
        <v>2080</v>
      </c>
      <c r="J161" s="4">
        <v>0</v>
      </c>
      <c r="K161" s="4">
        <v>0.25</v>
      </c>
      <c r="L161" s="4">
        <v>0</v>
      </c>
      <c r="M161" s="4">
        <v>0</v>
      </c>
      <c r="N161" s="2">
        <f t="shared" si="11"/>
        <v>37259.51625</v>
      </c>
      <c r="O161" s="2">
        <v>37243.96</v>
      </c>
      <c r="P161" s="2">
        <f t="shared" si="12"/>
        <v>-15.556250000001455</v>
      </c>
    </row>
    <row r="162" spans="1:16" ht="12.75">
      <c r="A162" s="1">
        <v>20930</v>
      </c>
      <c r="B162" s="3" t="s">
        <v>61</v>
      </c>
      <c r="C162" s="5">
        <v>31.78</v>
      </c>
      <c r="D162" s="8" t="s">
        <v>114</v>
      </c>
      <c r="E162" s="5">
        <f t="shared" si="13"/>
        <v>47.67</v>
      </c>
      <c r="F162" s="8" t="s">
        <v>114</v>
      </c>
      <c r="G162" s="5">
        <v>1</v>
      </c>
      <c r="I162" s="4">
        <f>2080+20</f>
        <v>2100</v>
      </c>
      <c r="J162" s="4">
        <v>0</v>
      </c>
      <c r="K162" s="4">
        <v>0</v>
      </c>
      <c r="L162" s="4">
        <v>0</v>
      </c>
      <c r="M162" s="4">
        <v>0</v>
      </c>
      <c r="N162" s="2">
        <f t="shared" si="11"/>
        <v>66738</v>
      </c>
      <c r="O162" s="2">
        <v>66741.51</v>
      </c>
      <c r="P162" s="2">
        <f t="shared" si="12"/>
        <v>3.5099999999947613</v>
      </c>
    </row>
    <row r="163" spans="1:16" ht="12.75">
      <c r="A163" s="1">
        <v>20950</v>
      </c>
      <c r="B163" s="3" t="s">
        <v>131</v>
      </c>
      <c r="C163" s="5">
        <v>24.1</v>
      </c>
      <c r="D163" s="8" t="s">
        <v>114</v>
      </c>
      <c r="E163" s="5">
        <f t="shared" si="13"/>
        <v>36.150000000000006</v>
      </c>
      <c r="F163" s="8" t="s">
        <v>114</v>
      </c>
      <c r="G163" s="5">
        <v>1</v>
      </c>
      <c r="I163" s="4">
        <f>45.5+16+184.8+60.1</f>
        <v>306.40000000000003</v>
      </c>
      <c r="J163" s="4">
        <v>0</v>
      </c>
      <c r="K163" s="4">
        <v>0</v>
      </c>
      <c r="L163" s="4">
        <v>0</v>
      </c>
      <c r="M163" s="4">
        <v>24</v>
      </c>
      <c r="N163" s="2">
        <f t="shared" si="11"/>
        <v>7408.240000000002</v>
      </c>
      <c r="O163" s="2">
        <v>7405.84</v>
      </c>
      <c r="P163" s="2">
        <f t="shared" si="12"/>
        <v>-2.400000000001455</v>
      </c>
    </row>
    <row r="164" spans="1:16" ht="12.75">
      <c r="A164" s="1">
        <v>60517</v>
      </c>
      <c r="B164" s="3" t="s">
        <v>62</v>
      </c>
      <c r="C164" s="5">
        <v>31.64</v>
      </c>
      <c r="D164" s="8" t="s">
        <v>114</v>
      </c>
      <c r="E164" s="5">
        <v>0</v>
      </c>
      <c r="F164" s="8" t="s">
        <v>114</v>
      </c>
      <c r="G164" s="5">
        <v>1</v>
      </c>
      <c r="I164" s="4">
        <v>1671</v>
      </c>
      <c r="J164" s="4">
        <v>0</v>
      </c>
      <c r="K164" s="4">
        <v>0</v>
      </c>
      <c r="L164" s="4">
        <v>0</v>
      </c>
      <c r="M164" s="4">
        <v>0</v>
      </c>
      <c r="N164" s="2">
        <f t="shared" si="11"/>
        <v>52870.44</v>
      </c>
      <c r="O164" s="2">
        <v>52874.4</v>
      </c>
      <c r="P164" s="2">
        <f t="shared" si="12"/>
        <v>3.959999999999127</v>
      </c>
    </row>
    <row r="165" spans="1:16" ht="12.75">
      <c r="A165" s="1">
        <v>41010</v>
      </c>
      <c r="B165" s="3" t="s">
        <v>57</v>
      </c>
      <c r="C165" s="5">
        <v>24.89</v>
      </c>
      <c r="D165" s="8" t="s">
        <v>114</v>
      </c>
      <c r="E165" s="5">
        <f t="shared" si="13"/>
        <v>37.335</v>
      </c>
      <c r="F165" s="8" t="s">
        <v>114</v>
      </c>
      <c r="G165" s="5">
        <v>1</v>
      </c>
      <c r="I165" s="4">
        <f>1652.5+80+236+111.5</f>
        <v>2080</v>
      </c>
      <c r="J165" s="4">
        <v>0</v>
      </c>
      <c r="K165" s="4">
        <v>57.25</v>
      </c>
      <c r="L165" s="4">
        <v>0</v>
      </c>
      <c r="M165" s="4">
        <v>0</v>
      </c>
      <c r="N165" s="2">
        <f t="shared" si="11"/>
        <v>53908.62875</v>
      </c>
      <c r="O165" s="2">
        <v>53886.69</v>
      </c>
      <c r="P165" s="2">
        <f t="shared" si="12"/>
        <v>-21.938750000001164</v>
      </c>
    </row>
    <row r="166" spans="1:16" ht="12.75">
      <c r="A166" s="1">
        <v>60538</v>
      </c>
      <c r="B166" s="3" t="s">
        <v>39</v>
      </c>
      <c r="C166" s="5">
        <v>15.89</v>
      </c>
      <c r="D166" s="8" t="s">
        <v>114</v>
      </c>
      <c r="E166" s="5">
        <f t="shared" si="13"/>
        <v>23.835</v>
      </c>
      <c r="F166" s="8" t="s">
        <v>114</v>
      </c>
      <c r="G166" s="5">
        <v>1</v>
      </c>
      <c r="I166" s="4">
        <f>576+24</f>
        <v>600</v>
      </c>
      <c r="J166" s="4">
        <v>0</v>
      </c>
      <c r="K166" s="4">
        <v>40.5</v>
      </c>
      <c r="L166" s="4">
        <v>0</v>
      </c>
      <c r="M166" s="4">
        <v>0</v>
      </c>
      <c r="N166" s="2">
        <f t="shared" si="11"/>
        <v>10499.3175</v>
      </c>
      <c r="O166" s="2">
        <v>10499.33</v>
      </c>
      <c r="P166" s="2">
        <f t="shared" si="12"/>
        <v>0.012500000000727596</v>
      </c>
    </row>
    <row r="167" spans="1:16" ht="12.75">
      <c r="A167" s="1">
        <v>41125</v>
      </c>
      <c r="B167" s="3" t="s">
        <v>63</v>
      </c>
      <c r="C167" s="5">
        <v>20.19</v>
      </c>
      <c r="D167" s="8" t="s">
        <v>114</v>
      </c>
      <c r="E167" s="5">
        <f t="shared" si="13"/>
        <v>30.285000000000004</v>
      </c>
      <c r="F167" s="8" t="s">
        <v>114</v>
      </c>
      <c r="G167" s="5">
        <v>1</v>
      </c>
      <c r="I167" s="4">
        <f>1813+80+180+7</f>
        <v>2080</v>
      </c>
      <c r="J167" s="4">
        <v>0</v>
      </c>
      <c r="K167" s="4">
        <v>49.5</v>
      </c>
      <c r="L167" s="4">
        <v>0</v>
      </c>
      <c r="M167" s="4">
        <v>0</v>
      </c>
      <c r="N167" s="2">
        <f t="shared" si="11"/>
        <v>43494.3075</v>
      </c>
      <c r="O167" s="2">
        <v>43476.79</v>
      </c>
      <c r="P167" s="2">
        <f t="shared" si="12"/>
        <v>-17.517500000001746</v>
      </c>
    </row>
    <row r="168" spans="1:16" ht="12.75">
      <c r="A168" s="1">
        <v>60474</v>
      </c>
      <c r="B168" s="3" t="s">
        <v>64</v>
      </c>
      <c r="C168" s="5">
        <v>17.75</v>
      </c>
      <c r="D168" s="8" t="s">
        <v>114</v>
      </c>
      <c r="E168" s="5">
        <f t="shared" si="13"/>
        <v>26.625</v>
      </c>
      <c r="F168" s="8" t="s">
        <v>114</v>
      </c>
      <c r="G168" s="5">
        <v>1</v>
      </c>
      <c r="I168" s="4">
        <v>586.5</v>
      </c>
      <c r="J168" s="4">
        <v>0</v>
      </c>
      <c r="K168" s="4">
        <v>0</v>
      </c>
      <c r="L168" s="4">
        <v>0</v>
      </c>
      <c r="M168" s="4">
        <v>0</v>
      </c>
      <c r="N168" s="2">
        <f t="shared" si="11"/>
        <v>10410.375</v>
      </c>
      <c r="O168" s="2">
        <v>10410.38</v>
      </c>
      <c r="P168" s="2">
        <f t="shared" si="12"/>
        <v>0.004999999999199645</v>
      </c>
    </row>
    <row r="169" spans="1:16" ht="12.75">
      <c r="A169" s="1">
        <v>60526</v>
      </c>
      <c r="B169" s="3" t="s">
        <v>7</v>
      </c>
      <c r="C169" s="5">
        <v>15.89</v>
      </c>
      <c r="D169" s="8" t="s">
        <v>114</v>
      </c>
      <c r="E169" s="5">
        <f t="shared" si="13"/>
        <v>23.835</v>
      </c>
      <c r="F169" s="8" t="s">
        <v>114</v>
      </c>
      <c r="G169" s="5">
        <v>1</v>
      </c>
      <c r="I169" s="4">
        <f>1602+24+56+13+23+18</f>
        <v>1736</v>
      </c>
      <c r="J169" s="4">
        <v>0</v>
      </c>
      <c r="K169" s="4">
        <v>268.25</v>
      </c>
      <c r="L169" s="4">
        <v>0</v>
      </c>
      <c r="M169" s="4">
        <v>441.25</v>
      </c>
      <c r="N169" s="2">
        <f t="shared" si="11"/>
        <v>34420.02875</v>
      </c>
      <c r="O169" s="2">
        <v>34420.18</v>
      </c>
      <c r="P169" s="2">
        <f t="shared" si="12"/>
        <v>0.15125000000261934</v>
      </c>
    </row>
    <row r="170" spans="1:16" ht="12.75">
      <c r="A170" s="1">
        <v>21075</v>
      </c>
      <c r="B170" s="3" t="s">
        <v>27</v>
      </c>
      <c r="C170" s="5">
        <v>20</v>
      </c>
      <c r="D170" s="8" t="s">
        <v>114</v>
      </c>
      <c r="E170" s="5">
        <f t="shared" si="13"/>
        <v>30</v>
      </c>
      <c r="F170" s="8" t="s">
        <v>114</v>
      </c>
      <c r="G170" s="5">
        <v>1</v>
      </c>
      <c r="I170" s="4">
        <v>824</v>
      </c>
      <c r="J170" s="4">
        <v>0</v>
      </c>
      <c r="K170" s="4">
        <v>11.5</v>
      </c>
      <c r="L170" s="4">
        <v>0</v>
      </c>
      <c r="M170" s="4">
        <v>0</v>
      </c>
      <c r="N170" s="2">
        <f t="shared" si="11"/>
        <v>16825</v>
      </c>
      <c r="O170" s="2">
        <v>16825</v>
      </c>
      <c r="P170" s="2">
        <f t="shared" si="12"/>
        <v>0</v>
      </c>
    </row>
    <row r="171" spans="1:16" ht="12.75">
      <c r="A171" s="1">
        <v>60493</v>
      </c>
      <c r="B171" s="3" t="s">
        <v>7</v>
      </c>
      <c r="C171" s="5">
        <v>16.39</v>
      </c>
      <c r="D171" s="8" t="s">
        <v>114</v>
      </c>
      <c r="E171" s="5">
        <f t="shared" si="13"/>
        <v>24.585</v>
      </c>
      <c r="F171" s="8" t="s">
        <v>114</v>
      </c>
      <c r="G171" s="5">
        <v>1</v>
      </c>
      <c r="I171" s="4">
        <f>1770.75+80+146.25+67.5+22</f>
        <v>2086.5</v>
      </c>
      <c r="J171" s="4">
        <v>0</v>
      </c>
      <c r="K171" s="4">
        <v>372.75</v>
      </c>
      <c r="L171" s="4">
        <v>0</v>
      </c>
      <c r="M171" s="4">
        <v>452</v>
      </c>
      <c r="N171" s="2">
        <f t="shared" si="11"/>
        <v>43813.79375</v>
      </c>
      <c r="O171" s="2">
        <v>43793.61</v>
      </c>
      <c r="P171" s="2">
        <f t="shared" si="12"/>
        <v>-20.183749999996508</v>
      </c>
    </row>
    <row r="172" spans="1:16" ht="12.75">
      <c r="A172" s="1">
        <v>41150</v>
      </c>
      <c r="B172" s="3" t="s">
        <v>4</v>
      </c>
      <c r="C172" s="5">
        <v>20.96</v>
      </c>
      <c r="D172" s="8" t="s">
        <v>114</v>
      </c>
      <c r="E172" s="5">
        <f t="shared" si="13"/>
        <v>31.44</v>
      </c>
      <c r="F172" s="8" t="s">
        <v>114</v>
      </c>
      <c r="G172" s="5">
        <v>1</v>
      </c>
      <c r="I172" s="4">
        <f>13.2+16+53.2+11.75</f>
        <v>94.15</v>
      </c>
      <c r="J172" s="4">
        <v>0</v>
      </c>
      <c r="K172" s="4">
        <v>0</v>
      </c>
      <c r="L172" s="4">
        <v>0</v>
      </c>
      <c r="M172" s="4">
        <v>0</v>
      </c>
      <c r="N172" s="2">
        <f t="shared" si="11"/>
        <v>1973.3840000000002</v>
      </c>
      <c r="O172" s="2">
        <v>1973.38</v>
      </c>
      <c r="P172" s="2">
        <f t="shared" si="12"/>
        <v>-0.004000000000132786</v>
      </c>
    </row>
    <row r="173" spans="1:16" ht="12.75">
      <c r="A173" s="1">
        <v>60500</v>
      </c>
      <c r="B173" s="3" t="s">
        <v>65</v>
      </c>
      <c r="C173" s="5">
        <v>26.71</v>
      </c>
      <c r="D173" s="8" t="s">
        <v>114</v>
      </c>
      <c r="E173" s="5">
        <f t="shared" si="13"/>
        <v>40.065</v>
      </c>
      <c r="F173" s="8" t="s">
        <v>114</v>
      </c>
      <c r="G173" s="5">
        <v>1</v>
      </c>
      <c r="I173" s="4">
        <f>2080+40</f>
        <v>2120</v>
      </c>
      <c r="J173" s="4">
        <v>0</v>
      </c>
      <c r="K173" s="4">
        <v>0</v>
      </c>
      <c r="L173" s="4">
        <v>0</v>
      </c>
      <c r="M173" s="4">
        <v>0</v>
      </c>
      <c r="N173" s="2">
        <f t="shared" si="11"/>
        <v>56625.200000000004</v>
      </c>
      <c r="O173" s="2">
        <v>56602.12</v>
      </c>
      <c r="P173" s="2">
        <f t="shared" si="12"/>
        <v>-23.080000000001746</v>
      </c>
    </row>
    <row r="174" spans="1:16" ht="12.75">
      <c r="A174" s="1">
        <v>41160</v>
      </c>
      <c r="B174" s="3" t="s">
        <v>29</v>
      </c>
      <c r="C174" s="5">
        <v>22.6</v>
      </c>
      <c r="D174" s="8" t="s">
        <v>114</v>
      </c>
      <c r="E174" s="5">
        <f t="shared" si="13"/>
        <v>33.900000000000006</v>
      </c>
      <c r="F174" s="8" t="s">
        <v>114</v>
      </c>
      <c r="G174" s="5">
        <v>1</v>
      </c>
      <c r="I174" s="4">
        <f>1731+80+140.5+7+161.5</f>
        <v>2120</v>
      </c>
      <c r="J174" s="4">
        <v>0</v>
      </c>
      <c r="K174" s="4">
        <v>277.5</v>
      </c>
      <c r="L174" s="4">
        <v>0</v>
      </c>
      <c r="M174" s="4">
        <v>0</v>
      </c>
      <c r="N174" s="2">
        <f t="shared" si="11"/>
        <v>57319.25</v>
      </c>
      <c r="O174" s="2">
        <v>57299.25</v>
      </c>
      <c r="P174" s="2">
        <f t="shared" si="12"/>
        <v>-20</v>
      </c>
    </row>
    <row r="175" spans="1:16" ht="12.75">
      <c r="A175" s="1">
        <v>41225</v>
      </c>
      <c r="B175" s="3" t="s">
        <v>3</v>
      </c>
      <c r="C175" s="5">
        <v>19.81</v>
      </c>
      <c r="D175" s="8" t="s">
        <v>114</v>
      </c>
      <c r="E175" s="5">
        <f t="shared" si="13"/>
        <v>29.714999999999996</v>
      </c>
      <c r="F175" s="8" t="s">
        <v>114</v>
      </c>
      <c r="G175" s="5">
        <v>1</v>
      </c>
      <c r="I175" s="4">
        <f>1675.25+80+185.25+101+38.5</f>
        <v>2080</v>
      </c>
      <c r="J175" s="4">
        <v>0</v>
      </c>
      <c r="K175" s="4">
        <v>544.5</v>
      </c>
      <c r="L175" s="4">
        <v>0</v>
      </c>
      <c r="M175" s="4">
        <v>453.75</v>
      </c>
      <c r="N175" s="2">
        <f>(18.87*1080)+((18.87*1.5)*296.25)+(1*243.25)+(19.81*1000)+((19.81*1.5)*248.25)+(1*210.5)</f>
        <v>56405.455</v>
      </c>
      <c r="O175" s="2">
        <v>56331.57</v>
      </c>
      <c r="P175" s="2">
        <f t="shared" si="12"/>
        <v>-73.88500000000204</v>
      </c>
    </row>
    <row r="176" spans="1:16" ht="12.75">
      <c r="A176" s="1">
        <v>41250</v>
      </c>
      <c r="B176" s="3" t="s">
        <v>66</v>
      </c>
      <c r="C176" s="5">
        <v>35.69</v>
      </c>
      <c r="D176" s="8" t="s">
        <v>114</v>
      </c>
      <c r="E176" s="5">
        <f t="shared" si="13"/>
        <v>53.535</v>
      </c>
      <c r="F176" s="8" t="s">
        <v>114</v>
      </c>
      <c r="G176" s="5">
        <v>1</v>
      </c>
      <c r="I176" s="4">
        <f>2080+49.5</f>
        <v>2129.5</v>
      </c>
      <c r="J176" s="4">
        <v>0</v>
      </c>
      <c r="K176" s="4">
        <v>0</v>
      </c>
      <c r="L176" s="4">
        <v>0</v>
      </c>
      <c r="M176" s="4">
        <v>0</v>
      </c>
      <c r="N176" s="2">
        <f t="shared" si="11"/>
        <v>76001.855</v>
      </c>
      <c r="O176" s="2">
        <v>76017.86</v>
      </c>
      <c r="P176" s="2">
        <f t="shared" si="12"/>
        <v>16.005000000004657</v>
      </c>
    </row>
    <row r="177" spans="1:16" ht="12.75">
      <c r="A177" s="1">
        <v>21200</v>
      </c>
      <c r="B177" s="3" t="s">
        <v>67</v>
      </c>
      <c r="C177" s="5">
        <v>25.88</v>
      </c>
      <c r="D177" s="8" t="s">
        <v>114</v>
      </c>
      <c r="E177" s="5">
        <f t="shared" si="13"/>
        <v>38.82</v>
      </c>
      <c r="F177" s="8" t="s">
        <v>114</v>
      </c>
      <c r="G177" s="5">
        <v>1</v>
      </c>
      <c r="I177" s="4">
        <f>1636+72+137+275</f>
        <v>2120</v>
      </c>
      <c r="J177" s="4">
        <v>0</v>
      </c>
      <c r="K177" s="4">
        <v>270</v>
      </c>
      <c r="L177" s="4">
        <v>0</v>
      </c>
      <c r="M177" s="4">
        <v>1829.5</v>
      </c>
      <c r="N177" s="2">
        <f t="shared" si="11"/>
        <v>67176.5</v>
      </c>
      <c r="O177" s="2">
        <v>67153.7</v>
      </c>
      <c r="P177" s="2">
        <f t="shared" si="12"/>
        <v>-22.80000000000291</v>
      </c>
    </row>
    <row r="178" spans="1:16" ht="12.75">
      <c r="A178" s="1">
        <v>60535</v>
      </c>
      <c r="B178" s="3" t="s">
        <v>7</v>
      </c>
      <c r="C178" s="5">
        <v>15.89</v>
      </c>
      <c r="D178" s="8" t="s">
        <v>114</v>
      </c>
      <c r="E178" s="5">
        <f t="shared" si="13"/>
        <v>23.835</v>
      </c>
      <c r="F178" s="8" t="s">
        <v>114</v>
      </c>
      <c r="G178" s="5">
        <v>1</v>
      </c>
      <c r="I178" s="4">
        <f>675+24+10</f>
        <v>709</v>
      </c>
      <c r="J178" s="4">
        <v>0</v>
      </c>
      <c r="K178" s="4">
        <v>153</v>
      </c>
      <c r="L178" s="4">
        <v>0</v>
      </c>
      <c r="M178" s="4">
        <v>318.75</v>
      </c>
      <c r="N178" s="2">
        <f t="shared" si="11"/>
        <v>15231.515</v>
      </c>
      <c r="O178" s="2">
        <v>15231.59</v>
      </c>
      <c r="P178" s="2">
        <f t="shared" si="12"/>
        <v>0.0750000000007276</v>
      </c>
    </row>
    <row r="179" spans="1:16" ht="12.75">
      <c r="A179" s="1">
        <v>60503</v>
      </c>
      <c r="B179" s="3" t="s">
        <v>68</v>
      </c>
      <c r="C179" s="5">
        <v>21.02</v>
      </c>
      <c r="D179" s="8" t="s">
        <v>114</v>
      </c>
      <c r="E179" s="5">
        <f t="shared" si="13"/>
        <v>31.53</v>
      </c>
      <c r="F179" s="8" t="s">
        <v>114</v>
      </c>
      <c r="G179" s="5">
        <v>1</v>
      </c>
      <c r="I179" s="4">
        <f>1007.5+48+35.5+29</f>
        <v>1120</v>
      </c>
      <c r="J179" s="4">
        <v>0</v>
      </c>
      <c r="K179" s="4">
        <v>35</v>
      </c>
      <c r="L179" s="4">
        <v>0</v>
      </c>
      <c r="M179" s="4">
        <v>0</v>
      </c>
      <c r="N179" s="2">
        <f>(18.68*1080)+((18.68*1.5)*35)+(21.02*1040)</f>
        <v>43015.9</v>
      </c>
      <c r="O179" s="2">
        <v>42985.1</v>
      </c>
      <c r="P179" s="2">
        <f t="shared" si="12"/>
        <v>-30.80000000000291</v>
      </c>
    </row>
    <row r="180" spans="1:16" ht="12.75">
      <c r="A180" s="1">
        <v>60455</v>
      </c>
      <c r="B180" s="3" t="s">
        <v>66</v>
      </c>
      <c r="C180" s="5">
        <v>31.65</v>
      </c>
      <c r="D180" s="8" t="s">
        <v>114</v>
      </c>
      <c r="E180" s="5">
        <f t="shared" si="13"/>
        <v>47.474999999999994</v>
      </c>
      <c r="F180" s="8" t="s">
        <v>114</v>
      </c>
      <c r="G180" s="5">
        <v>1</v>
      </c>
      <c r="I180" s="4">
        <v>2080</v>
      </c>
      <c r="J180" s="4">
        <v>0</v>
      </c>
      <c r="K180" s="4">
        <v>0</v>
      </c>
      <c r="L180" s="4">
        <v>0</v>
      </c>
      <c r="M180" s="4">
        <v>0</v>
      </c>
      <c r="N180" s="2">
        <f t="shared" si="11"/>
        <v>65832</v>
      </c>
      <c r="O180" s="2">
        <v>65810.24</v>
      </c>
      <c r="P180" s="2">
        <f t="shared" si="12"/>
        <v>-21.75999999999476</v>
      </c>
    </row>
    <row r="181" spans="1:16" ht="12.75">
      <c r="A181" s="1">
        <v>60483</v>
      </c>
      <c r="B181" s="3" t="s">
        <v>70</v>
      </c>
      <c r="C181" s="5">
        <v>16.37</v>
      </c>
      <c r="D181" s="8" t="s">
        <v>114</v>
      </c>
      <c r="E181" s="5">
        <f t="shared" si="13"/>
        <v>24.555</v>
      </c>
      <c r="F181" s="8" t="s">
        <v>114</v>
      </c>
      <c r="G181" s="5">
        <v>1</v>
      </c>
      <c r="I181" s="4">
        <f>1754+80+162.5+107.5</f>
        <v>2104</v>
      </c>
      <c r="J181" s="4">
        <v>0</v>
      </c>
      <c r="K181" s="4">
        <v>117.75</v>
      </c>
      <c r="L181" s="4">
        <v>0</v>
      </c>
      <c r="M181" s="4">
        <v>1494.75</v>
      </c>
      <c r="N181" s="2">
        <f t="shared" si="11"/>
        <v>38828.58125</v>
      </c>
      <c r="O181" s="2">
        <v>38811.98</v>
      </c>
      <c r="P181" s="2">
        <f t="shared" si="12"/>
        <v>-16.60124999999971</v>
      </c>
    </row>
    <row r="182" spans="1:16" ht="12.75">
      <c r="A182" s="1">
        <v>60453</v>
      </c>
      <c r="B182" s="3" t="s">
        <v>3</v>
      </c>
      <c r="C182" s="5">
        <v>18.83</v>
      </c>
      <c r="D182" s="8" t="s">
        <v>114</v>
      </c>
      <c r="E182" s="5">
        <f t="shared" si="13"/>
        <v>28.244999999999997</v>
      </c>
      <c r="F182" s="8" t="s">
        <v>114</v>
      </c>
      <c r="G182" s="5">
        <v>1</v>
      </c>
      <c r="I182" s="4">
        <f>1700.5+80+192.5+27.5+79.5</f>
        <v>2080</v>
      </c>
      <c r="J182" s="4">
        <v>0</v>
      </c>
      <c r="K182" s="4">
        <v>267.75</v>
      </c>
      <c r="L182" s="4">
        <v>0</v>
      </c>
      <c r="M182" s="4">
        <f>500+40.25</f>
        <v>540.25</v>
      </c>
      <c r="N182" s="2">
        <f>(17.93*1224.25)+((17.93*1.5)*155.25)+(1*347.25)+(18.83*856)+((18.83*1.5)*112.5)+(1*192.75)</f>
        <v>45962.29375</v>
      </c>
      <c r="O182" s="2">
        <v>45918.46</v>
      </c>
      <c r="P182" s="2">
        <f t="shared" si="12"/>
        <v>-43.83374999999796</v>
      </c>
    </row>
    <row r="183" spans="1:16" ht="12.75">
      <c r="A183" s="1">
        <v>20760</v>
      </c>
      <c r="B183" s="3" t="s">
        <v>71</v>
      </c>
      <c r="C183" s="5">
        <v>24.29</v>
      </c>
      <c r="D183" s="8" t="s">
        <v>114</v>
      </c>
      <c r="E183" s="5">
        <f t="shared" si="13"/>
        <v>36.435</v>
      </c>
      <c r="F183" s="8" t="s">
        <v>114</v>
      </c>
      <c r="G183" s="5">
        <v>1</v>
      </c>
      <c r="I183" s="4">
        <f>1724+80+187+89</f>
        <v>2080</v>
      </c>
      <c r="J183" s="4">
        <v>0</v>
      </c>
      <c r="K183" s="4">
        <v>17.5</v>
      </c>
      <c r="L183" s="4">
        <v>0</v>
      </c>
      <c r="M183" s="4">
        <v>0</v>
      </c>
      <c r="N183" s="2">
        <f t="shared" si="11"/>
        <v>51160.8125</v>
      </c>
      <c r="O183" s="2">
        <v>51139.62</v>
      </c>
      <c r="P183" s="2">
        <f t="shared" si="12"/>
        <v>-21.19249999999738</v>
      </c>
    </row>
    <row r="184" spans="1:17" ht="12.75">
      <c r="A184" s="31" t="s">
        <v>95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18"/>
      <c r="P184" s="18"/>
      <c r="Q184" s="18" t="s">
        <v>98</v>
      </c>
    </row>
    <row r="185" spans="1:17" ht="12.75">
      <c r="A185" s="31" t="s">
        <v>96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18"/>
      <c r="P185" s="18"/>
      <c r="Q185" s="19" t="s">
        <v>104</v>
      </c>
    </row>
    <row r="186" spans="1:17" ht="12.75">
      <c r="A186" s="31" t="s">
        <v>97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18"/>
      <c r="P186" s="18"/>
      <c r="Q186" s="19" t="s">
        <v>99</v>
      </c>
    </row>
    <row r="187" spans="1:17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19"/>
    </row>
    <row r="188" spans="1:17" ht="12.75">
      <c r="A188" s="9"/>
      <c r="B188" s="9"/>
      <c r="C188" s="32" t="s">
        <v>84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9"/>
      <c r="O188" s="9"/>
      <c r="P188" s="9"/>
      <c r="Q188" s="19"/>
    </row>
    <row r="189" spans="3:16" ht="12.75">
      <c r="C189" s="32" t="s">
        <v>86</v>
      </c>
      <c r="D189" s="32"/>
      <c r="E189" s="32"/>
      <c r="F189" s="32"/>
      <c r="G189" s="32"/>
      <c r="H189" s="11"/>
      <c r="I189" s="32" t="s">
        <v>85</v>
      </c>
      <c r="J189" s="32"/>
      <c r="K189" s="32"/>
      <c r="L189" s="32"/>
      <c r="M189" s="32"/>
      <c r="N189" s="20"/>
      <c r="O189" s="8"/>
      <c r="P189" s="8"/>
    </row>
    <row r="190" spans="3:16" ht="12.75">
      <c r="C190" s="10"/>
      <c r="D190" s="10" t="s">
        <v>117</v>
      </c>
      <c r="E190" s="10" t="s">
        <v>82</v>
      </c>
      <c r="F190" s="10" t="s">
        <v>120</v>
      </c>
      <c r="G190" s="10"/>
      <c r="H190" s="11"/>
      <c r="I190" s="10"/>
      <c r="J190" s="10"/>
      <c r="K190" s="10"/>
      <c r="L190" s="10"/>
      <c r="M190" s="10"/>
      <c r="N190" s="20" t="s">
        <v>87</v>
      </c>
      <c r="O190" s="8" t="s">
        <v>89</v>
      </c>
      <c r="P190" s="8" t="s">
        <v>92</v>
      </c>
    </row>
    <row r="191" spans="3:16" ht="12.75">
      <c r="C191" s="5" t="s">
        <v>82</v>
      </c>
      <c r="D191" s="8" t="s">
        <v>118</v>
      </c>
      <c r="E191" s="5" t="s">
        <v>83</v>
      </c>
      <c r="F191" s="5" t="s">
        <v>83</v>
      </c>
      <c r="G191" s="5" t="s">
        <v>121</v>
      </c>
      <c r="J191" s="5" t="s">
        <v>119</v>
      </c>
      <c r="L191" s="5" t="s">
        <v>120</v>
      </c>
      <c r="N191" s="20" t="s">
        <v>84</v>
      </c>
      <c r="O191" s="8" t="s">
        <v>90</v>
      </c>
      <c r="P191" s="8" t="s">
        <v>93</v>
      </c>
    </row>
    <row r="192" spans="1:17" ht="12.75">
      <c r="A192" s="11" t="s">
        <v>0</v>
      </c>
      <c r="B192" s="11" t="s">
        <v>1</v>
      </c>
      <c r="C192" s="12" t="s">
        <v>122</v>
      </c>
      <c r="D192" s="12" t="s">
        <v>122</v>
      </c>
      <c r="E192" s="12" t="s">
        <v>122</v>
      </c>
      <c r="F192" s="12" t="s">
        <v>122</v>
      </c>
      <c r="G192" s="12" t="s">
        <v>122</v>
      </c>
      <c r="H192" s="12"/>
      <c r="I192" s="22" t="s">
        <v>82</v>
      </c>
      <c r="J192" s="12" t="s">
        <v>118</v>
      </c>
      <c r="K192" s="22" t="s">
        <v>83</v>
      </c>
      <c r="L192" s="12" t="s">
        <v>83</v>
      </c>
      <c r="M192" s="22" t="s">
        <v>121</v>
      </c>
      <c r="N192" s="11" t="s">
        <v>88</v>
      </c>
      <c r="O192" s="12" t="s">
        <v>91</v>
      </c>
      <c r="P192" s="12" t="s">
        <v>89</v>
      </c>
      <c r="Q192" s="20" t="s">
        <v>94</v>
      </c>
    </row>
    <row r="193" spans="1:16" ht="12.75">
      <c r="A193" s="1">
        <v>60473</v>
      </c>
      <c r="B193" s="3" t="s">
        <v>3</v>
      </c>
      <c r="C193" s="5">
        <v>18.27</v>
      </c>
      <c r="D193" s="8" t="s">
        <v>114</v>
      </c>
      <c r="E193" s="5">
        <f>C193*1.5</f>
        <v>27.405</v>
      </c>
      <c r="F193" s="8" t="s">
        <v>114</v>
      </c>
      <c r="G193" s="5">
        <v>1</v>
      </c>
      <c r="I193" s="4">
        <f>1820+72+125+47.5+10.5</f>
        <v>2075</v>
      </c>
      <c r="J193" s="4">
        <v>0</v>
      </c>
      <c r="K193" s="4">
        <v>437.75</v>
      </c>
      <c r="L193" s="4">
        <v>0</v>
      </c>
      <c r="M193" s="4">
        <f>498.25+47.75</f>
        <v>546</v>
      </c>
      <c r="N193" s="2">
        <f>(17.08*1115)+(25.62*240.75)+(1*378.75)+(18.27*960)+((27.405*197))+(1*167.25)</f>
        <v>48696.2</v>
      </c>
      <c r="O193" s="2">
        <v>48610.49</v>
      </c>
      <c r="P193" s="2">
        <f>O193-N193</f>
        <v>-85.70999999999913</v>
      </c>
    </row>
    <row r="194" spans="1:16" ht="12.75">
      <c r="A194" s="1">
        <v>60461</v>
      </c>
      <c r="B194" s="3" t="s">
        <v>29</v>
      </c>
      <c r="C194" s="5">
        <v>17.33</v>
      </c>
      <c r="D194" s="8" t="s">
        <v>114</v>
      </c>
      <c r="E194" s="5">
        <f>C194*1.5</f>
        <v>25.994999999999997</v>
      </c>
      <c r="F194" s="8" t="s">
        <v>114</v>
      </c>
      <c r="G194" s="5">
        <v>1</v>
      </c>
      <c r="I194" s="4">
        <f>1867.75+80+98.75+10+23.5</f>
        <v>2080</v>
      </c>
      <c r="J194" s="4">
        <v>0</v>
      </c>
      <c r="K194" s="4">
        <v>156.5</v>
      </c>
      <c r="L194" s="4">
        <v>0</v>
      </c>
      <c r="M194" s="4">
        <v>0</v>
      </c>
      <c r="N194" s="2">
        <f aca="true" t="shared" si="14" ref="N194:N218">(C194*I194)+(E194*K194)+(G194*M194)</f>
        <v>40114.61749999999</v>
      </c>
      <c r="O194" s="2">
        <v>40097.22</v>
      </c>
      <c r="P194" s="2">
        <f aca="true" t="shared" si="15" ref="P194:P218">O194-N194</f>
        <v>-17.39749999999185</v>
      </c>
    </row>
    <row r="195" spans="1:16" ht="12.75">
      <c r="A195" s="1">
        <v>30900</v>
      </c>
      <c r="B195" s="3" t="s">
        <v>16</v>
      </c>
      <c r="C195" s="5">
        <v>23.89</v>
      </c>
      <c r="D195" s="8" t="s">
        <v>114</v>
      </c>
      <c r="E195" s="5">
        <f>C195*1.5</f>
        <v>35.835</v>
      </c>
      <c r="F195" s="8" t="s">
        <v>114</v>
      </c>
      <c r="G195" s="5">
        <v>1</v>
      </c>
      <c r="I195" s="4">
        <f>1758+80+183.5+15+43.5</f>
        <v>2080</v>
      </c>
      <c r="J195" s="4">
        <v>0</v>
      </c>
      <c r="K195" s="4">
        <v>265</v>
      </c>
      <c r="L195" s="4">
        <v>0</v>
      </c>
      <c r="M195" s="4">
        <v>793.5</v>
      </c>
      <c r="N195" s="2">
        <f>(25.14*1200)+((25.14*1.5)*199.5)+(1*269.25)+(23.89*880)+((23.89*1.5)*65.5)+(1*524.25)</f>
        <v>61855.0375</v>
      </c>
      <c r="O195" s="2">
        <v>61872.29</v>
      </c>
      <c r="P195" s="2">
        <f t="shared" si="15"/>
        <v>17.25250000000233</v>
      </c>
    </row>
    <row r="196" spans="1:16" ht="12.75">
      <c r="A196" s="1">
        <v>60481</v>
      </c>
      <c r="B196" s="3" t="s">
        <v>8</v>
      </c>
      <c r="C196" s="5">
        <v>18.79</v>
      </c>
      <c r="D196" s="5">
        <v>19.79</v>
      </c>
      <c r="E196" s="5">
        <f>C196*1.5</f>
        <v>28.185</v>
      </c>
      <c r="F196" s="5">
        <f>D196*1.5</f>
        <v>29.685</v>
      </c>
      <c r="G196" s="5">
        <v>1</v>
      </c>
      <c r="I196" s="4">
        <f>1904.5+80+135.5</f>
        <v>2120</v>
      </c>
      <c r="J196" s="4">
        <v>0</v>
      </c>
      <c r="K196" s="4">
        <f>41.5-L196</f>
        <v>41.5</v>
      </c>
      <c r="L196" s="4">
        <v>0</v>
      </c>
      <c r="M196" s="4">
        <v>0</v>
      </c>
      <c r="N196" s="2">
        <f t="shared" si="14"/>
        <v>41004.47749999999</v>
      </c>
      <c r="O196" s="2">
        <v>41036.1</v>
      </c>
      <c r="P196" s="2">
        <f t="shared" si="15"/>
        <v>31.622500000004948</v>
      </c>
    </row>
    <row r="197" spans="1:16" ht="12.75">
      <c r="A197" s="1">
        <v>60478</v>
      </c>
      <c r="B197" s="3" t="s">
        <v>31</v>
      </c>
      <c r="C197" s="5">
        <v>28.07</v>
      </c>
      <c r="D197" s="8" t="s">
        <v>114</v>
      </c>
      <c r="E197" s="5">
        <f>C197*1.5</f>
        <v>42.105000000000004</v>
      </c>
      <c r="F197" s="8" t="s">
        <v>114</v>
      </c>
      <c r="G197" s="5">
        <v>1</v>
      </c>
      <c r="I197" s="4">
        <f>1834.5+80+161.5+4</f>
        <v>2080</v>
      </c>
      <c r="J197" s="4">
        <v>0</v>
      </c>
      <c r="K197" s="4">
        <v>103.5</v>
      </c>
      <c r="L197" s="4">
        <v>0</v>
      </c>
      <c r="M197" s="4">
        <v>202</v>
      </c>
      <c r="N197" s="2">
        <f t="shared" si="14"/>
        <v>62945.4675</v>
      </c>
      <c r="O197" s="2">
        <v>62923.82</v>
      </c>
      <c r="P197" s="2">
        <f t="shared" si="15"/>
        <v>-21.647499999999127</v>
      </c>
    </row>
    <row r="198" spans="1:16" ht="12.75">
      <c r="A198" s="1">
        <v>60499</v>
      </c>
      <c r="B198" s="3" t="s">
        <v>72</v>
      </c>
      <c r="C198" s="5">
        <v>28.76</v>
      </c>
      <c r="D198" s="8" t="s">
        <v>114</v>
      </c>
      <c r="E198" s="5">
        <v>0</v>
      </c>
      <c r="F198" s="8" t="s">
        <v>114</v>
      </c>
      <c r="G198" s="5">
        <v>1</v>
      </c>
      <c r="I198" s="4">
        <v>2080</v>
      </c>
      <c r="J198" s="4">
        <v>0</v>
      </c>
      <c r="K198" s="4">
        <v>0</v>
      </c>
      <c r="L198" s="4">
        <v>0</v>
      </c>
      <c r="M198" s="4">
        <v>0</v>
      </c>
      <c r="N198" s="2">
        <f t="shared" si="14"/>
        <v>59820.8</v>
      </c>
      <c r="O198" s="2">
        <v>59809.32</v>
      </c>
      <c r="P198" s="2">
        <f t="shared" si="15"/>
        <v>-11.480000000003201</v>
      </c>
    </row>
    <row r="199" spans="1:16" ht="12.75">
      <c r="A199" s="1">
        <v>21375</v>
      </c>
      <c r="B199" s="3" t="s">
        <v>31</v>
      </c>
      <c r="C199" s="5">
        <v>28</v>
      </c>
      <c r="D199" s="8" t="s">
        <v>114</v>
      </c>
      <c r="E199" s="5">
        <f aca="true" t="shared" si="16" ref="E199:E218">C199*1.5</f>
        <v>42</v>
      </c>
      <c r="F199" s="8" t="s">
        <v>114</v>
      </c>
      <c r="G199" s="5">
        <v>1</v>
      </c>
      <c r="I199" s="4">
        <f>1600+80+144.5+295.5</f>
        <v>2120</v>
      </c>
      <c r="J199" s="4">
        <v>0</v>
      </c>
      <c r="K199" s="4">
        <v>510</v>
      </c>
      <c r="L199" s="4">
        <v>0</v>
      </c>
      <c r="M199" s="4">
        <v>0</v>
      </c>
      <c r="N199" s="2">
        <f t="shared" si="14"/>
        <v>80780</v>
      </c>
      <c r="O199" s="2">
        <v>80745.61</v>
      </c>
      <c r="P199" s="2">
        <f t="shared" si="15"/>
        <v>-34.38999999999942</v>
      </c>
    </row>
    <row r="200" spans="1:16" ht="12.75">
      <c r="A200" s="1">
        <v>60539</v>
      </c>
      <c r="B200" s="3" t="s">
        <v>43</v>
      </c>
      <c r="C200" s="5">
        <v>18.3</v>
      </c>
      <c r="D200" s="8" t="s">
        <v>114</v>
      </c>
      <c r="E200" s="5">
        <f t="shared" si="16"/>
        <v>27.450000000000003</v>
      </c>
      <c r="F200" s="8" t="s">
        <v>114</v>
      </c>
      <c r="G200" s="5">
        <v>1</v>
      </c>
      <c r="I200" s="4">
        <f>584+16</f>
        <v>600</v>
      </c>
      <c r="J200" s="4">
        <v>0</v>
      </c>
      <c r="K200" s="4">
        <v>0.5</v>
      </c>
      <c r="L200" s="4">
        <v>0</v>
      </c>
      <c r="M200" s="4">
        <v>0</v>
      </c>
      <c r="N200" s="2">
        <f t="shared" si="14"/>
        <v>10993.725</v>
      </c>
      <c r="O200" s="2">
        <v>10993.73</v>
      </c>
      <c r="P200" s="2">
        <f t="shared" si="15"/>
        <v>0.004999999999199645</v>
      </c>
    </row>
    <row r="201" spans="1:16" ht="12.75">
      <c r="A201" s="1">
        <v>21380</v>
      </c>
      <c r="B201" s="3" t="s">
        <v>21</v>
      </c>
      <c r="C201" s="5">
        <v>24.99</v>
      </c>
      <c r="D201" s="8" t="s">
        <v>114</v>
      </c>
      <c r="E201" s="5">
        <f t="shared" si="16"/>
        <v>37.485</v>
      </c>
      <c r="F201" s="8" t="s">
        <v>114</v>
      </c>
      <c r="G201" s="5">
        <v>1</v>
      </c>
      <c r="I201" s="4">
        <f>1817+80+160+24</f>
        <v>2081</v>
      </c>
      <c r="J201" s="4">
        <v>0</v>
      </c>
      <c r="K201" s="4">
        <v>112</v>
      </c>
      <c r="L201" s="4">
        <v>0</v>
      </c>
      <c r="M201" s="4">
        <v>1681</v>
      </c>
      <c r="N201" s="2">
        <f t="shared" si="14"/>
        <v>57883.509999999995</v>
      </c>
      <c r="O201" s="2">
        <v>57855.96</v>
      </c>
      <c r="P201" s="2">
        <f t="shared" si="15"/>
        <v>-27.549999999995634</v>
      </c>
    </row>
    <row r="202" spans="1:16" ht="12.75">
      <c r="A202" s="1">
        <v>30975</v>
      </c>
      <c r="B202" s="3" t="s">
        <v>73</v>
      </c>
      <c r="C202" s="5">
        <v>20.08</v>
      </c>
      <c r="D202" s="8" t="s">
        <v>114</v>
      </c>
      <c r="E202" s="5">
        <f t="shared" si="16"/>
        <v>30.119999999999997</v>
      </c>
      <c r="F202" s="8" t="s">
        <v>114</v>
      </c>
      <c r="G202" s="5">
        <v>1</v>
      </c>
      <c r="I202" s="4">
        <f>1769+80+175+55.5</f>
        <v>2079.5</v>
      </c>
      <c r="J202" s="4">
        <v>0</v>
      </c>
      <c r="K202" s="4">
        <v>58</v>
      </c>
      <c r="L202" s="4">
        <v>0</v>
      </c>
      <c r="M202" s="4">
        <v>0</v>
      </c>
      <c r="N202" s="2">
        <f t="shared" si="14"/>
        <v>43503.31999999999</v>
      </c>
      <c r="O202" s="2">
        <v>43485.72</v>
      </c>
      <c r="P202" s="2">
        <f t="shared" si="15"/>
        <v>-17.59999999999127</v>
      </c>
    </row>
    <row r="203" spans="1:16" ht="12.75">
      <c r="A203" s="1">
        <v>21390</v>
      </c>
      <c r="B203" s="3" t="s">
        <v>74</v>
      </c>
      <c r="C203" s="5">
        <v>16.75</v>
      </c>
      <c r="D203" s="8" t="s">
        <v>114</v>
      </c>
      <c r="E203" s="5">
        <f t="shared" si="16"/>
        <v>25.125</v>
      </c>
      <c r="F203" s="8" t="s">
        <v>114</v>
      </c>
      <c r="G203" s="5">
        <v>1</v>
      </c>
      <c r="I203" s="4">
        <v>577.75</v>
      </c>
      <c r="J203" s="4">
        <v>0</v>
      </c>
      <c r="K203" s="4">
        <v>0</v>
      </c>
      <c r="L203" s="4">
        <v>0</v>
      </c>
      <c r="M203" s="4">
        <v>0</v>
      </c>
      <c r="N203" s="2">
        <f t="shared" si="14"/>
        <v>9677.3125</v>
      </c>
      <c r="O203" s="2">
        <v>9677.36</v>
      </c>
      <c r="P203" s="2">
        <f t="shared" si="15"/>
        <v>0.04750000000058208</v>
      </c>
    </row>
    <row r="204" spans="1:16" ht="12.75">
      <c r="A204" s="1">
        <v>41320</v>
      </c>
      <c r="B204" s="3" t="s">
        <v>3</v>
      </c>
      <c r="C204" s="5">
        <v>26.94</v>
      </c>
      <c r="D204" s="8" t="s">
        <v>114</v>
      </c>
      <c r="E204" s="5">
        <f t="shared" si="16"/>
        <v>40.410000000000004</v>
      </c>
      <c r="F204" s="8" t="s">
        <v>114</v>
      </c>
      <c r="G204" s="5">
        <v>1</v>
      </c>
      <c r="I204" s="4">
        <f>1680.5+24+80+178+71+44</f>
        <v>2077.5</v>
      </c>
      <c r="J204" s="4">
        <v>0</v>
      </c>
      <c r="K204" s="4">
        <v>486.75</v>
      </c>
      <c r="L204" s="4">
        <v>0</v>
      </c>
      <c r="M204" s="4">
        <v>379.25</v>
      </c>
      <c r="N204" s="2">
        <f t="shared" si="14"/>
        <v>76016.66750000001</v>
      </c>
      <c r="O204" s="2">
        <v>75991.86</v>
      </c>
      <c r="P204" s="2">
        <f t="shared" si="15"/>
        <v>-24.807500000009895</v>
      </c>
    </row>
    <row r="205" spans="1:16" ht="12.75">
      <c r="A205" s="1">
        <v>60490</v>
      </c>
      <c r="B205" s="3" t="s">
        <v>8</v>
      </c>
      <c r="C205" s="5">
        <v>19</v>
      </c>
      <c r="D205" s="8">
        <v>20</v>
      </c>
      <c r="E205" s="5">
        <f t="shared" si="16"/>
        <v>28.5</v>
      </c>
      <c r="F205" s="5">
        <f>D205*1.5</f>
        <v>30</v>
      </c>
      <c r="G205" s="5">
        <v>1</v>
      </c>
      <c r="I205" s="4">
        <f>(1808+80+16+176)-J205</f>
        <v>256</v>
      </c>
      <c r="J205" s="4">
        <v>1824</v>
      </c>
      <c r="K205" s="4">
        <f>4.5-L205</f>
        <v>1.5</v>
      </c>
      <c r="L205" s="4">
        <v>3</v>
      </c>
      <c r="M205" s="4">
        <v>0</v>
      </c>
      <c r="N205" s="2">
        <f>(C205*I205)+(E205*K205)+(G205*M205)+(D205*J205)+(F205*L205)</f>
        <v>41476.75</v>
      </c>
      <c r="O205" s="2">
        <v>41439.95</v>
      </c>
      <c r="P205" s="2">
        <f t="shared" si="15"/>
        <v>-36.80000000000291</v>
      </c>
    </row>
    <row r="206" spans="1:16" ht="12.75">
      <c r="A206" s="1">
        <v>21415</v>
      </c>
      <c r="B206" s="3" t="s">
        <v>75</v>
      </c>
      <c r="C206" s="5">
        <v>17.34</v>
      </c>
      <c r="D206" s="8" t="s">
        <v>114</v>
      </c>
      <c r="E206" s="5">
        <f t="shared" si="16"/>
        <v>26.009999999999998</v>
      </c>
      <c r="F206" s="8" t="s">
        <v>114</v>
      </c>
      <c r="G206" s="5">
        <v>1</v>
      </c>
      <c r="I206" s="4">
        <f>1842.75+80+192+12.5</f>
        <v>2127.25</v>
      </c>
      <c r="J206" s="4">
        <v>0</v>
      </c>
      <c r="K206" s="4">
        <v>54</v>
      </c>
      <c r="L206" s="4">
        <v>0</v>
      </c>
      <c r="M206" s="4">
        <v>0</v>
      </c>
      <c r="N206" s="2">
        <f t="shared" si="14"/>
        <v>38291.055</v>
      </c>
      <c r="O206" s="2">
        <v>38273.53</v>
      </c>
      <c r="P206" s="2">
        <f t="shared" si="15"/>
        <v>-17.525000000001455</v>
      </c>
    </row>
    <row r="207" spans="1:16" ht="12.75">
      <c r="A207" s="1">
        <v>60464</v>
      </c>
      <c r="B207" s="3" t="s">
        <v>8</v>
      </c>
      <c r="C207" s="5">
        <v>18.95</v>
      </c>
      <c r="D207" s="5">
        <v>19.95</v>
      </c>
      <c r="E207" s="5">
        <f t="shared" si="16"/>
        <v>28.424999999999997</v>
      </c>
      <c r="F207" s="5">
        <f>D207*1.5</f>
        <v>29.924999999999997</v>
      </c>
      <c r="G207" s="5">
        <v>1</v>
      </c>
      <c r="I207" s="4">
        <f>(1888+80+96+16)-J207</f>
        <v>192</v>
      </c>
      <c r="J207" s="4">
        <v>1888</v>
      </c>
      <c r="K207" s="4">
        <f>52.5-L207</f>
        <v>7.5</v>
      </c>
      <c r="L207" s="4">
        <v>45</v>
      </c>
      <c r="M207" s="4">
        <v>0</v>
      </c>
      <c r="N207" s="2">
        <f>(C207*I207)+(E207*K207)+(G207*M207)+(D207*J207)+(F207*L207)</f>
        <v>42863.8125</v>
      </c>
      <c r="O207" s="2">
        <v>42849.03</v>
      </c>
      <c r="P207" s="2">
        <f>O207-N207</f>
        <v>-14.782500000001164</v>
      </c>
    </row>
    <row r="208" spans="1:16" ht="12.75">
      <c r="A208" s="1">
        <v>60502</v>
      </c>
      <c r="B208" s="3" t="s">
        <v>76</v>
      </c>
      <c r="C208" s="5">
        <v>9.75</v>
      </c>
      <c r="D208" s="8" t="s">
        <v>114</v>
      </c>
      <c r="E208" s="5">
        <f t="shared" si="16"/>
        <v>14.625</v>
      </c>
      <c r="F208" s="8" t="s">
        <v>114</v>
      </c>
      <c r="G208" s="5">
        <v>1</v>
      </c>
      <c r="I208" s="4">
        <v>459.25</v>
      </c>
      <c r="J208" s="4">
        <v>0</v>
      </c>
      <c r="K208" s="4">
        <v>0</v>
      </c>
      <c r="L208" s="4">
        <v>0</v>
      </c>
      <c r="M208" s="4">
        <v>0</v>
      </c>
      <c r="N208" s="2">
        <f>(C208*I208)+(E208*K208)+(G208*M208)</f>
        <v>4477.6875</v>
      </c>
      <c r="O208" s="2">
        <v>4477.74</v>
      </c>
      <c r="P208" s="2">
        <f>O208-N208</f>
        <v>0.05249999999978172</v>
      </c>
    </row>
    <row r="209" spans="1:16" ht="12.75">
      <c r="A209" s="1">
        <v>21430</v>
      </c>
      <c r="B209" s="3" t="s">
        <v>68</v>
      </c>
      <c r="C209" s="5">
        <v>29.23</v>
      </c>
      <c r="D209" s="8" t="s">
        <v>114</v>
      </c>
      <c r="E209" s="5">
        <f t="shared" si="16"/>
        <v>43.845</v>
      </c>
      <c r="F209" s="8" t="s">
        <v>114</v>
      </c>
      <c r="G209" s="5">
        <v>1</v>
      </c>
      <c r="I209" s="4">
        <f>2080+40</f>
        <v>2120</v>
      </c>
      <c r="J209" s="4">
        <v>0</v>
      </c>
      <c r="K209" s="4">
        <v>0</v>
      </c>
      <c r="L209" s="4">
        <v>0</v>
      </c>
      <c r="M209" s="4">
        <v>0</v>
      </c>
      <c r="N209" s="2">
        <f t="shared" si="14"/>
        <v>61967.6</v>
      </c>
      <c r="O209" s="2">
        <v>61959.68</v>
      </c>
      <c r="P209" s="2">
        <f t="shared" si="15"/>
        <v>-7.919999999998254</v>
      </c>
    </row>
    <row r="210" spans="1:16" ht="12.75">
      <c r="A210" s="1">
        <v>21450</v>
      </c>
      <c r="B210" s="3" t="s">
        <v>77</v>
      </c>
      <c r="C210" s="5">
        <v>47.26</v>
      </c>
      <c r="D210" s="8" t="s">
        <v>114</v>
      </c>
      <c r="E210" s="5">
        <f t="shared" si="16"/>
        <v>70.89</v>
      </c>
      <c r="F210" s="8" t="s">
        <v>114</v>
      </c>
      <c r="G210" s="5">
        <v>1</v>
      </c>
      <c r="I210" s="4">
        <f>2080+40</f>
        <v>2120</v>
      </c>
      <c r="J210" s="4">
        <v>0</v>
      </c>
      <c r="K210" s="4">
        <v>0</v>
      </c>
      <c r="L210" s="4">
        <v>0</v>
      </c>
      <c r="M210" s="4">
        <v>0</v>
      </c>
      <c r="N210" s="2">
        <f t="shared" si="14"/>
        <v>100191.2</v>
      </c>
      <c r="O210" s="2">
        <v>100253.96</v>
      </c>
      <c r="P210" s="2">
        <f t="shared" si="15"/>
        <v>62.76000000000931</v>
      </c>
    </row>
    <row r="211" spans="1:16" ht="12.75">
      <c r="A211" s="1">
        <v>41510</v>
      </c>
      <c r="B211" s="3" t="s">
        <v>7</v>
      </c>
      <c r="C211" s="5">
        <v>20.62</v>
      </c>
      <c r="D211" s="8" t="s">
        <v>114</v>
      </c>
      <c r="E211" s="5">
        <f t="shared" si="16"/>
        <v>30.93</v>
      </c>
      <c r="F211" s="8" t="s">
        <v>114</v>
      </c>
      <c r="G211" s="5">
        <v>1</v>
      </c>
      <c r="I211" s="4">
        <f>1743.25+24+80+164+20+48.75</f>
        <v>2080</v>
      </c>
      <c r="J211" s="4">
        <v>0</v>
      </c>
      <c r="K211" s="4">
        <v>193.75</v>
      </c>
      <c r="L211" s="4">
        <v>0</v>
      </c>
      <c r="M211" s="4">
        <v>438.5</v>
      </c>
      <c r="N211" s="2">
        <f t="shared" si="14"/>
        <v>49320.7875</v>
      </c>
      <c r="O211" s="2">
        <v>49302.91</v>
      </c>
      <c r="P211" s="2">
        <f t="shared" si="15"/>
        <v>-17.877499999995052</v>
      </c>
    </row>
    <row r="212" spans="1:16" ht="12.75">
      <c r="A212" s="1">
        <v>21475</v>
      </c>
      <c r="B212" s="3" t="s">
        <v>21</v>
      </c>
      <c r="C212" s="5">
        <v>24.96</v>
      </c>
      <c r="D212" s="8" t="s">
        <v>114</v>
      </c>
      <c r="E212" s="5">
        <f t="shared" si="16"/>
        <v>37.44</v>
      </c>
      <c r="F212" s="8" t="s">
        <v>114</v>
      </c>
      <c r="G212" s="5">
        <v>1</v>
      </c>
      <c r="I212" s="4">
        <f>1698+80+246+56</f>
        <v>2080</v>
      </c>
      <c r="J212" s="4">
        <v>0</v>
      </c>
      <c r="K212" s="4">
        <v>71.5</v>
      </c>
      <c r="L212" s="4">
        <v>0</v>
      </c>
      <c r="M212" s="4">
        <v>1740</v>
      </c>
      <c r="N212" s="2">
        <f t="shared" si="14"/>
        <v>56333.76</v>
      </c>
      <c r="O212" s="2">
        <v>56314.16</v>
      </c>
      <c r="P212" s="2">
        <f t="shared" si="15"/>
        <v>-19.599999999998545</v>
      </c>
    </row>
    <row r="213" spans="1:16" ht="12.75">
      <c r="A213" s="1">
        <v>31025</v>
      </c>
      <c r="B213" s="3" t="s">
        <v>78</v>
      </c>
      <c r="C213" s="5">
        <v>19.8</v>
      </c>
      <c r="D213" s="8" t="s">
        <v>114</v>
      </c>
      <c r="E213" s="5">
        <f t="shared" si="16"/>
        <v>29.700000000000003</v>
      </c>
      <c r="F213" s="8" t="s">
        <v>114</v>
      </c>
      <c r="G213" s="5">
        <v>1</v>
      </c>
      <c r="I213" s="4">
        <f>1750+80+211+39</f>
        <v>2080</v>
      </c>
      <c r="J213" s="4">
        <v>0</v>
      </c>
      <c r="K213" s="4">
        <v>26.17</v>
      </c>
      <c r="L213" s="4">
        <v>0</v>
      </c>
      <c r="M213" s="4">
        <v>0</v>
      </c>
      <c r="N213" s="2">
        <f t="shared" si="14"/>
        <v>41961.249</v>
      </c>
      <c r="O213" s="2">
        <v>41943.65</v>
      </c>
      <c r="P213" s="2">
        <f t="shared" si="15"/>
        <v>-17.59900000000198</v>
      </c>
    </row>
    <row r="214" spans="1:16" ht="12.75">
      <c r="A214" s="1">
        <v>31050</v>
      </c>
      <c r="B214" s="3" t="s">
        <v>19</v>
      </c>
      <c r="C214" s="5">
        <v>34.34</v>
      </c>
      <c r="D214" s="8" t="s">
        <v>114</v>
      </c>
      <c r="E214" s="5">
        <f t="shared" si="16"/>
        <v>51.510000000000005</v>
      </c>
      <c r="F214" s="8" t="s">
        <v>114</v>
      </c>
      <c r="G214" s="5">
        <v>1</v>
      </c>
      <c r="I214" s="4">
        <f>2080+40</f>
        <v>2120</v>
      </c>
      <c r="J214" s="4">
        <v>0</v>
      </c>
      <c r="K214" s="4">
        <v>0</v>
      </c>
      <c r="L214" s="4">
        <v>0</v>
      </c>
      <c r="M214" s="4">
        <v>0</v>
      </c>
      <c r="N214" s="2">
        <f t="shared" si="14"/>
        <v>72800.8</v>
      </c>
      <c r="O214" s="2">
        <v>72790.44</v>
      </c>
      <c r="P214" s="2">
        <f t="shared" si="15"/>
        <v>-10.360000000000582</v>
      </c>
    </row>
    <row r="215" spans="1:16" ht="12.75">
      <c r="A215" s="1">
        <v>41550</v>
      </c>
      <c r="B215" s="3" t="s">
        <v>79</v>
      </c>
      <c r="C215" s="5">
        <v>35.11</v>
      </c>
      <c r="D215" s="8" t="s">
        <v>114</v>
      </c>
      <c r="E215" s="5">
        <f t="shared" si="16"/>
        <v>52.665</v>
      </c>
      <c r="F215" s="8" t="s">
        <v>114</v>
      </c>
      <c r="G215" s="5">
        <v>1</v>
      </c>
      <c r="I215" s="4">
        <f>2080+49.5</f>
        <v>2129.5</v>
      </c>
      <c r="J215" s="4">
        <v>0</v>
      </c>
      <c r="K215" s="4">
        <v>0</v>
      </c>
      <c r="L215" s="4">
        <v>0</v>
      </c>
      <c r="M215" s="4">
        <v>0</v>
      </c>
      <c r="N215" s="2">
        <f t="shared" si="14"/>
        <v>74766.745</v>
      </c>
      <c r="O215" s="2">
        <v>74783.27</v>
      </c>
      <c r="P215" s="2">
        <f t="shared" si="15"/>
        <v>16.52500000000873</v>
      </c>
    </row>
    <row r="216" spans="1:16" ht="12.75">
      <c r="A216" s="1">
        <v>41560</v>
      </c>
      <c r="B216" s="3" t="s">
        <v>29</v>
      </c>
      <c r="C216" s="5">
        <v>21.95</v>
      </c>
      <c r="D216" s="8" t="s">
        <v>114</v>
      </c>
      <c r="E216" s="5">
        <f t="shared" si="16"/>
        <v>32.925</v>
      </c>
      <c r="F216" s="8" t="s">
        <v>114</v>
      </c>
      <c r="G216" s="5">
        <v>1</v>
      </c>
      <c r="I216" s="4">
        <f>1856+80+151+2.5+30.5</f>
        <v>2120</v>
      </c>
      <c r="J216" s="4">
        <v>0</v>
      </c>
      <c r="K216" s="4">
        <v>210</v>
      </c>
      <c r="L216" s="4">
        <v>0</v>
      </c>
      <c r="M216" s="4">
        <v>0</v>
      </c>
      <c r="N216" s="2">
        <f t="shared" si="14"/>
        <v>53448.25</v>
      </c>
      <c r="O216" s="2">
        <v>53429.25</v>
      </c>
      <c r="P216" s="2">
        <f t="shared" si="15"/>
        <v>-19</v>
      </c>
    </row>
    <row r="217" spans="1:16" ht="12.75">
      <c r="A217" s="1">
        <v>31175</v>
      </c>
      <c r="B217" s="3" t="s">
        <v>80</v>
      </c>
      <c r="C217" s="5">
        <v>28.33</v>
      </c>
      <c r="D217" s="8" t="s">
        <v>114</v>
      </c>
      <c r="E217" s="5">
        <f t="shared" si="16"/>
        <v>42.495</v>
      </c>
      <c r="F217" s="8" t="s">
        <v>114</v>
      </c>
      <c r="G217" s="5">
        <v>1</v>
      </c>
      <c r="I217" s="4">
        <f>1402.5+80+179+418.5</f>
        <v>2080</v>
      </c>
      <c r="J217" s="4">
        <v>0</v>
      </c>
      <c r="K217" s="4">
        <v>222</v>
      </c>
      <c r="L217" s="4">
        <v>0</v>
      </c>
      <c r="M217" s="4">
        <v>0</v>
      </c>
      <c r="N217" s="2">
        <f t="shared" si="14"/>
        <v>68360.29</v>
      </c>
      <c r="O217" s="2">
        <v>68345.47</v>
      </c>
      <c r="P217" s="2">
        <f t="shared" si="15"/>
        <v>-14.819999999992433</v>
      </c>
    </row>
    <row r="218" spans="1:16" ht="12.75">
      <c r="A218" s="1">
        <v>60530</v>
      </c>
      <c r="B218" s="3" t="s">
        <v>81</v>
      </c>
      <c r="C218" s="5">
        <v>15.89</v>
      </c>
      <c r="D218" s="8" t="s">
        <v>114</v>
      </c>
      <c r="E218" s="5">
        <f t="shared" si="16"/>
        <v>23.835</v>
      </c>
      <c r="F218" s="8" t="s">
        <v>114</v>
      </c>
      <c r="G218" s="5">
        <v>1</v>
      </c>
      <c r="I218" s="28">
        <f>1304+48+8</f>
        <v>1360</v>
      </c>
      <c r="J218" s="28">
        <v>0</v>
      </c>
      <c r="K218" s="28">
        <v>91</v>
      </c>
      <c r="L218" s="28">
        <v>0</v>
      </c>
      <c r="M218" s="28">
        <v>122</v>
      </c>
      <c r="N218" s="17">
        <f t="shared" si="14"/>
        <v>23901.385000000002</v>
      </c>
      <c r="O218" s="17">
        <v>23901.54</v>
      </c>
      <c r="P218" s="17">
        <f t="shared" si="15"/>
        <v>0.15499999999883585</v>
      </c>
    </row>
    <row r="220" spans="1:16" ht="13.5" thickBot="1">
      <c r="A220" s="19" t="s">
        <v>105</v>
      </c>
      <c r="I220" s="24">
        <f aca="true" t="shared" si="17" ref="I220:P220">SUM(I10:I42)+SUM(I52:I88)+SUM(I98:I135)+SUM(I145:I183)+SUM(I193:I218)</f>
        <v>292821.7</v>
      </c>
      <c r="J220" s="24">
        <f t="shared" si="17"/>
        <v>14856</v>
      </c>
      <c r="K220" s="24">
        <f t="shared" si="17"/>
        <v>21957.72</v>
      </c>
      <c r="L220" s="24">
        <f t="shared" si="17"/>
        <v>609.35</v>
      </c>
      <c r="M220" s="24">
        <f t="shared" si="17"/>
        <v>50458</v>
      </c>
      <c r="N220" s="24">
        <f t="shared" si="17"/>
        <v>8155690.90215</v>
      </c>
      <c r="O220" s="24">
        <f t="shared" si="17"/>
        <v>8184191.73</v>
      </c>
      <c r="P220" s="24">
        <f t="shared" si="17"/>
        <v>28500.827850000096</v>
      </c>
    </row>
    <row r="221" ht="13.5" thickTop="1"/>
  </sheetData>
  <sheetProtection/>
  <mergeCells count="30">
    <mergeCell ref="C188:M188"/>
    <mergeCell ref="C140:M140"/>
    <mergeCell ref="C48:G48"/>
    <mergeCell ref="I48:M48"/>
    <mergeCell ref="C141:G141"/>
    <mergeCell ref="C189:G189"/>
    <mergeCell ref="I189:M189"/>
    <mergeCell ref="A186:M186"/>
    <mergeCell ref="A137:M137"/>
    <mergeCell ref="A138:M138"/>
    <mergeCell ref="C47:M47"/>
    <mergeCell ref="C93:M93"/>
    <mergeCell ref="I141:M141"/>
    <mergeCell ref="C94:G94"/>
    <mergeCell ref="I94:M94"/>
    <mergeCell ref="A1:M1"/>
    <mergeCell ref="A2:M2"/>
    <mergeCell ref="A3:M3"/>
    <mergeCell ref="A43:M43"/>
    <mergeCell ref="A44:M44"/>
    <mergeCell ref="A45:M45"/>
    <mergeCell ref="C6:G6"/>
    <mergeCell ref="I6:M6"/>
    <mergeCell ref="C5:M5"/>
    <mergeCell ref="A184:M184"/>
    <mergeCell ref="A185:M185"/>
    <mergeCell ref="A89:M89"/>
    <mergeCell ref="A90:M90"/>
    <mergeCell ref="A91:M91"/>
    <mergeCell ref="A136:M136"/>
  </mergeCells>
  <printOptions gridLines="1" horizontalCentered="1"/>
  <pageMargins left="0" right="0" top="1" bottom="1" header="0.5" footer="0.5"/>
  <pageSetup horizontalDpi="600" verticalDpi="600" orientation="landscape" scale="61" r:id="rId3"/>
  <rowBreaks count="4" manualBreakCount="4">
    <brk id="42" max="255" man="1"/>
    <brk id="88" max="255" man="1"/>
    <brk id="135" max="255" man="1"/>
    <brk id="18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3"/>
  <sheetViews>
    <sheetView tabSelected="1" view="pageBreakPreview" zoomScaleSheetLayoutView="100" zoomScalePageLayoutView="0" workbookViewId="0" topLeftCell="A193">
      <selection activeCell="N188" sqref="N188"/>
    </sheetView>
  </sheetViews>
  <sheetFormatPr defaultColWidth="9.140625" defaultRowHeight="12.75"/>
  <cols>
    <col min="1" max="1" width="8.7109375" style="6" customWidth="1"/>
    <col min="2" max="2" width="17.28125" style="6" customWidth="1"/>
    <col min="3" max="3" width="11.140625" style="21" bestFit="1" customWidth="1"/>
    <col min="4" max="4" width="12.28125" style="21" customWidth="1"/>
    <col min="5" max="5" width="10.140625" style="15" bestFit="1" customWidth="1"/>
    <col min="6" max="6" width="10.140625" style="15" customWidth="1"/>
    <col min="7" max="7" width="10.28125" style="15" bestFit="1" customWidth="1"/>
    <col min="8" max="8" width="1.8515625" style="5" customWidth="1"/>
    <col min="9" max="10" width="10.00390625" style="5" customWidth="1"/>
    <col min="11" max="13" width="9.00390625" style="5" customWidth="1"/>
    <col min="14" max="14" width="12.57421875" style="6" customWidth="1"/>
    <col min="15" max="15" width="16.140625" style="6" customWidth="1"/>
    <col min="16" max="16384" width="9.140625" style="6" customWidth="1"/>
  </cols>
  <sheetData>
    <row r="1" spans="1:14" ht="12.75">
      <c r="A1" s="31" t="s">
        <v>95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2.75">
      <c r="A2" s="31" t="s">
        <v>96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>
      <c r="A3" s="31" t="s">
        <v>107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3" t="s">
        <v>106</v>
      </c>
    </row>
    <row r="5" spans="1:14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3" t="s">
        <v>110</v>
      </c>
    </row>
    <row r="6" spans="1:14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4" t="s">
        <v>99</v>
      </c>
    </row>
    <row r="7" spans="3:13" ht="12.75">
      <c r="C7" s="32" t="s">
        <v>84</v>
      </c>
      <c r="D7" s="32"/>
      <c r="E7" s="32"/>
      <c r="F7" s="32"/>
      <c r="G7" s="32"/>
      <c r="H7" s="10"/>
      <c r="I7" s="6"/>
      <c r="J7" s="6"/>
      <c r="K7" s="6"/>
      <c r="L7" s="6"/>
      <c r="M7" s="6"/>
    </row>
    <row r="8" spans="3:13" ht="12.75">
      <c r="C8" s="32" t="s">
        <v>85</v>
      </c>
      <c r="D8" s="32"/>
      <c r="E8" s="32"/>
      <c r="F8" s="32"/>
      <c r="G8" s="32"/>
      <c r="H8" s="11"/>
      <c r="I8" s="32" t="s">
        <v>109</v>
      </c>
      <c r="J8" s="32"/>
      <c r="K8" s="32"/>
      <c r="L8" s="32"/>
      <c r="M8" s="32"/>
    </row>
    <row r="9" spans="3:14" ht="12.75">
      <c r="C9" s="11"/>
      <c r="D9" s="20" t="s">
        <v>117</v>
      </c>
      <c r="E9" s="11"/>
      <c r="F9" s="20" t="s">
        <v>117</v>
      </c>
      <c r="G9" s="11"/>
      <c r="H9" s="11"/>
      <c r="M9" s="11"/>
      <c r="N9" s="20" t="s">
        <v>87</v>
      </c>
    </row>
    <row r="10" spans="3:14" ht="12.75">
      <c r="C10" s="20" t="s">
        <v>82</v>
      </c>
      <c r="D10" s="20" t="s">
        <v>118</v>
      </c>
      <c r="E10" s="20" t="s">
        <v>83</v>
      </c>
      <c r="F10" s="20" t="s">
        <v>83</v>
      </c>
      <c r="G10" s="20" t="s">
        <v>121</v>
      </c>
      <c r="I10" s="11"/>
      <c r="J10" s="20" t="s">
        <v>117</v>
      </c>
      <c r="K10" s="11"/>
      <c r="L10" s="20" t="s">
        <v>117</v>
      </c>
      <c r="M10" s="11"/>
      <c r="N10" s="20" t="s">
        <v>108</v>
      </c>
    </row>
    <row r="11" spans="1:14" ht="12.75">
      <c r="A11" s="11" t="s">
        <v>0</v>
      </c>
      <c r="B11" s="11" t="s">
        <v>1</v>
      </c>
      <c r="C11" s="22" t="s">
        <v>129</v>
      </c>
      <c r="D11" s="22" t="s">
        <v>129</v>
      </c>
      <c r="E11" s="25" t="s">
        <v>129</v>
      </c>
      <c r="F11" s="25" t="s">
        <v>129</v>
      </c>
      <c r="G11" s="25" t="s">
        <v>129</v>
      </c>
      <c r="H11" s="12"/>
      <c r="I11" s="12" t="s">
        <v>82</v>
      </c>
      <c r="J11" s="12" t="s">
        <v>118</v>
      </c>
      <c r="K11" s="12" t="s">
        <v>83</v>
      </c>
      <c r="L11" s="12" t="s">
        <v>83</v>
      </c>
      <c r="M11" s="12" t="s">
        <v>121</v>
      </c>
      <c r="N11" s="11" t="s">
        <v>88</v>
      </c>
    </row>
    <row r="12" spans="1:16" ht="12.75">
      <c r="A12" s="1">
        <v>40258</v>
      </c>
      <c r="B12" s="14" t="s">
        <v>2</v>
      </c>
      <c r="C12" s="26">
        <f>1a!I10</f>
        <v>2079.5</v>
      </c>
      <c r="D12" s="26">
        <f>1a!J10</f>
        <v>0</v>
      </c>
      <c r="E12" s="26">
        <f>1a!K10</f>
        <v>112</v>
      </c>
      <c r="F12" s="26">
        <f>1a!L10</f>
        <v>0</v>
      </c>
      <c r="G12" s="26">
        <f>1a!M10</f>
        <v>15.5</v>
      </c>
      <c r="I12" s="5">
        <v>17.54</v>
      </c>
      <c r="J12" s="8" t="s">
        <v>114</v>
      </c>
      <c r="K12" s="5">
        <f>ROUND(I12*1.5,2)</f>
        <v>26.31</v>
      </c>
      <c r="L12" s="8" t="s">
        <v>114</v>
      </c>
      <c r="M12" s="5">
        <v>1</v>
      </c>
      <c r="N12" s="2">
        <f>IF(I12&lt;&gt;"N/A",(C12*I12)+(E12*K12)+(G12*M12),0)</f>
        <v>39436.65</v>
      </c>
      <c r="P12" s="1"/>
    </row>
    <row r="13" spans="1:16" ht="12.75">
      <c r="A13" s="1">
        <v>30060</v>
      </c>
      <c r="B13" s="14" t="s">
        <v>3</v>
      </c>
      <c r="C13" s="26">
        <f>1a!I11</f>
        <v>2080</v>
      </c>
      <c r="D13" s="26">
        <f>1a!J11</f>
        <v>0</v>
      </c>
      <c r="E13" s="26">
        <f>1a!K11</f>
        <v>483.5</v>
      </c>
      <c r="F13" s="26">
        <f>1a!L11</f>
        <v>0</v>
      </c>
      <c r="G13" s="26">
        <f>1a!M11</f>
        <v>477</v>
      </c>
      <c r="I13" s="5">
        <v>26.34</v>
      </c>
      <c r="J13" s="8" t="s">
        <v>114</v>
      </c>
      <c r="K13" s="5">
        <f>ROUND(I13*1.5,2)</f>
        <v>39.51</v>
      </c>
      <c r="L13" s="8" t="s">
        <v>114</v>
      </c>
      <c r="M13" s="5">
        <v>1</v>
      </c>
      <c r="N13" s="2">
        <f aca="true" t="shared" si="0" ref="N13:N60">IF(I13&lt;&gt;"N/A",(C13*I13)+(E13*K13)+(G13*M13),0)</f>
        <v>74367.285</v>
      </c>
      <c r="P13" s="1"/>
    </row>
    <row r="14" spans="1:16" ht="12.75">
      <c r="A14" s="1">
        <v>40150</v>
      </c>
      <c r="B14" s="14" t="s">
        <v>4</v>
      </c>
      <c r="C14" s="26">
        <f>1a!I12</f>
        <v>2120</v>
      </c>
      <c r="D14" s="26">
        <f>1a!J12</f>
        <v>0</v>
      </c>
      <c r="E14" s="26">
        <f>1a!K12</f>
        <v>54.25</v>
      </c>
      <c r="F14" s="26">
        <f>1a!L12</f>
        <v>0</v>
      </c>
      <c r="G14" s="26">
        <f>1a!M12</f>
        <v>0</v>
      </c>
      <c r="I14" s="5">
        <v>21.59</v>
      </c>
      <c r="J14" s="8" t="s">
        <v>114</v>
      </c>
      <c r="K14" s="5">
        <f>ROUND(I14*1.5,2)</f>
        <v>32.39</v>
      </c>
      <c r="L14" s="8" t="s">
        <v>114</v>
      </c>
      <c r="M14" s="5">
        <v>1</v>
      </c>
      <c r="N14" s="2">
        <f t="shared" si="0"/>
        <v>47527.957500000004</v>
      </c>
      <c r="P14" s="1"/>
    </row>
    <row r="15" spans="1:16" ht="12.75">
      <c r="A15" s="1">
        <v>20075</v>
      </c>
      <c r="B15" s="14" t="s">
        <v>5</v>
      </c>
      <c r="C15" s="26">
        <f>1a!I13</f>
        <v>2120</v>
      </c>
      <c r="D15" s="26">
        <f>1a!J13</f>
        <v>0</v>
      </c>
      <c r="E15" s="26">
        <f>1a!K13</f>
        <v>147.5</v>
      </c>
      <c r="F15" s="26">
        <f>1a!L13</f>
        <v>50</v>
      </c>
      <c r="G15" s="26">
        <f>1a!M13</f>
        <v>3274</v>
      </c>
      <c r="I15" s="5">
        <v>27.19</v>
      </c>
      <c r="J15" s="5">
        <f>I15+1</f>
        <v>28.19</v>
      </c>
      <c r="K15" s="5">
        <f>ROUND(I15*1.5,2)</f>
        <v>40.79</v>
      </c>
      <c r="L15" s="5">
        <f>ROUND(J15*1.5,2)</f>
        <v>42.29</v>
      </c>
      <c r="M15" s="5">
        <v>1</v>
      </c>
      <c r="N15" s="2">
        <f>IF(I15&lt;&gt;"N/A",(C15*I15)+(D15*J15)+(E15*K15)+(F15*L15)+(G15*M15),0)</f>
        <v>69047.82500000001</v>
      </c>
      <c r="P15" s="1"/>
    </row>
    <row r="16" spans="1:16" ht="12.75">
      <c r="A16" s="1">
        <v>10150</v>
      </c>
      <c r="B16" s="14" t="s">
        <v>6</v>
      </c>
      <c r="C16" s="26">
        <f>1a!I14</f>
        <v>702</v>
      </c>
      <c r="D16" s="26">
        <f>1a!J14</f>
        <v>0</v>
      </c>
      <c r="E16" s="26">
        <f>1a!K14</f>
        <v>0</v>
      </c>
      <c r="F16" s="26">
        <f>1a!L14</f>
        <v>0</v>
      </c>
      <c r="G16" s="26">
        <f>1a!M14</f>
        <v>0</v>
      </c>
      <c r="I16" s="8" t="s">
        <v>114</v>
      </c>
      <c r="J16" s="8" t="s">
        <v>114</v>
      </c>
      <c r="K16" s="8" t="s">
        <v>114</v>
      </c>
      <c r="L16" s="8" t="s">
        <v>114</v>
      </c>
      <c r="M16" s="8" t="s">
        <v>114</v>
      </c>
      <c r="N16" s="2">
        <f t="shared" si="0"/>
        <v>0</v>
      </c>
      <c r="P16" s="1"/>
    </row>
    <row r="17" spans="1:16" ht="12.75">
      <c r="A17" s="1">
        <v>60482</v>
      </c>
      <c r="B17" s="14" t="s">
        <v>7</v>
      </c>
      <c r="C17" s="26">
        <f>1a!I15</f>
        <v>2080</v>
      </c>
      <c r="D17" s="26">
        <f>1a!J15</f>
        <v>0</v>
      </c>
      <c r="E17" s="26">
        <f>1a!K15</f>
        <v>221.5</v>
      </c>
      <c r="F17" s="26">
        <f>1a!L15</f>
        <v>0</v>
      </c>
      <c r="G17" s="26">
        <f>1a!M15</f>
        <v>1310</v>
      </c>
      <c r="I17" s="5">
        <v>16.72</v>
      </c>
      <c r="J17" s="8" t="s">
        <v>114</v>
      </c>
      <c r="K17" s="5">
        <f>ROUND(I17*1.5,2)</f>
        <v>25.08</v>
      </c>
      <c r="L17" s="8" t="s">
        <v>114</v>
      </c>
      <c r="M17" s="5">
        <v>1</v>
      </c>
      <c r="N17" s="2">
        <f t="shared" si="0"/>
        <v>41642.82</v>
      </c>
      <c r="P17" s="1"/>
    </row>
    <row r="18" spans="1:16" ht="12.75">
      <c r="A18" s="15">
        <v>30075</v>
      </c>
      <c r="B18" s="14" t="s">
        <v>7</v>
      </c>
      <c r="C18" s="26">
        <f>1a!I16</f>
        <v>1983.5</v>
      </c>
      <c r="D18" s="26">
        <f>1a!J16</f>
        <v>0</v>
      </c>
      <c r="E18" s="26">
        <f>1a!K16</f>
        <v>154.5</v>
      </c>
      <c r="F18" s="26">
        <f>1a!L16</f>
        <v>0</v>
      </c>
      <c r="G18" s="26">
        <f>1a!M16</f>
        <v>486.5</v>
      </c>
      <c r="I18" s="5">
        <v>17.96</v>
      </c>
      <c r="J18" s="8" t="s">
        <v>114</v>
      </c>
      <c r="K18" s="5">
        <f>ROUND(I18*1.5,2)</f>
        <v>26.94</v>
      </c>
      <c r="L18" s="8" t="s">
        <v>114</v>
      </c>
      <c r="M18" s="5">
        <v>1</v>
      </c>
      <c r="N18" s="2">
        <f t="shared" si="0"/>
        <v>40272.39000000001</v>
      </c>
      <c r="P18" s="15"/>
    </row>
    <row r="19" spans="1:16" ht="12.75">
      <c r="A19" s="1">
        <v>60523</v>
      </c>
      <c r="B19" s="7" t="s">
        <v>7</v>
      </c>
      <c r="C19" s="26">
        <f>1a!I17</f>
        <v>1790</v>
      </c>
      <c r="D19" s="26">
        <f>1a!J17</f>
        <v>0</v>
      </c>
      <c r="E19" s="26">
        <f>1a!K17</f>
        <v>179.5</v>
      </c>
      <c r="F19" s="26">
        <f>1a!L17</f>
        <v>0</v>
      </c>
      <c r="G19" s="26">
        <f>1a!M17</f>
        <v>442</v>
      </c>
      <c r="I19" s="5">
        <v>16.18</v>
      </c>
      <c r="J19" s="8" t="s">
        <v>114</v>
      </c>
      <c r="K19" s="5">
        <f>ROUND(I19*1.5,2)</f>
        <v>24.27</v>
      </c>
      <c r="L19" s="8" t="s">
        <v>114</v>
      </c>
      <c r="M19" s="5">
        <v>1</v>
      </c>
      <c r="N19" s="2">
        <f t="shared" si="0"/>
        <v>33760.665</v>
      </c>
      <c r="P19" s="1"/>
    </row>
    <row r="20" spans="1:16" ht="12.75">
      <c r="A20" s="1">
        <v>60514</v>
      </c>
      <c r="B20" s="14" t="s">
        <v>8</v>
      </c>
      <c r="C20" s="26">
        <f>1a!I18</f>
        <v>240</v>
      </c>
      <c r="D20" s="26">
        <f>1a!J18</f>
        <v>1832</v>
      </c>
      <c r="E20" s="26">
        <f>1a!K18</f>
        <v>0</v>
      </c>
      <c r="F20" s="26">
        <f>1a!L18</f>
        <v>90</v>
      </c>
      <c r="G20" s="26">
        <f>1a!M18</f>
        <v>0</v>
      </c>
      <c r="I20" s="5">
        <v>16.21</v>
      </c>
      <c r="J20" s="5">
        <f>I20+1</f>
        <v>17.21</v>
      </c>
      <c r="K20" s="5">
        <f>ROUND(I20*1.5,2)</f>
        <v>24.32</v>
      </c>
      <c r="L20" s="5">
        <f>ROUND(J20*1.5,2)</f>
        <v>25.82</v>
      </c>
      <c r="M20" s="5">
        <v>1</v>
      </c>
      <c r="N20" s="2">
        <f>IF(I20&lt;&gt;"N/A",(C20*I20)+(D20*J20)+(E20*K20)+(F20*L20)+(G20*M20),0)</f>
        <v>37742.920000000006</v>
      </c>
      <c r="P20" s="1"/>
    </row>
    <row r="21" spans="1:16" ht="12.75">
      <c r="A21" s="1">
        <v>60540</v>
      </c>
      <c r="B21" s="7" t="s">
        <v>7</v>
      </c>
      <c r="C21" s="26">
        <f>1a!I19</f>
        <v>200</v>
      </c>
      <c r="D21" s="26">
        <f>1a!J19</f>
        <v>0</v>
      </c>
      <c r="E21" s="26">
        <f>1a!K19</f>
        <v>3</v>
      </c>
      <c r="F21" s="26">
        <f>1a!L19</f>
        <v>0</v>
      </c>
      <c r="G21" s="26">
        <f>1a!M19</f>
        <v>105.5</v>
      </c>
      <c r="I21" s="5">
        <v>16.08</v>
      </c>
      <c r="J21" s="8" t="s">
        <v>114</v>
      </c>
      <c r="K21" s="5">
        <f>ROUND(I21*1.5,2)</f>
        <v>24.12</v>
      </c>
      <c r="L21" s="8" t="s">
        <v>114</v>
      </c>
      <c r="M21" s="5">
        <v>1</v>
      </c>
      <c r="N21" s="2">
        <f t="shared" si="0"/>
        <v>3393.8599999999997</v>
      </c>
      <c r="P21" s="1"/>
    </row>
    <row r="22" spans="1:16" ht="12.75">
      <c r="A22" s="1">
        <v>10160</v>
      </c>
      <c r="B22" s="14" t="s">
        <v>9</v>
      </c>
      <c r="C22" s="26">
        <f>1a!I20</f>
        <v>2120</v>
      </c>
      <c r="D22" s="26">
        <f>1a!J20</f>
        <v>0</v>
      </c>
      <c r="E22" s="26">
        <f>1a!K20</f>
        <v>0</v>
      </c>
      <c r="F22" s="26">
        <f>1a!L20</f>
        <v>0</v>
      </c>
      <c r="G22" s="26">
        <f>1a!M20</f>
        <v>0</v>
      </c>
      <c r="I22" s="5">
        <v>71.15</v>
      </c>
      <c r="J22" s="8" t="s">
        <v>114</v>
      </c>
      <c r="K22" s="8">
        <v>0</v>
      </c>
      <c r="L22" s="8" t="s">
        <v>114</v>
      </c>
      <c r="M22" s="5">
        <v>1</v>
      </c>
      <c r="N22" s="2">
        <f t="shared" si="0"/>
        <v>150838</v>
      </c>
      <c r="P22" s="1"/>
    </row>
    <row r="23" spans="1:16" ht="12.75">
      <c r="A23" s="1">
        <v>60496</v>
      </c>
      <c r="B23" s="7" t="s">
        <v>10</v>
      </c>
      <c r="C23" s="26">
        <f>1a!I21</f>
        <v>2120</v>
      </c>
      <c r="D23" s="26">
        <f>1a!J21</f>
        <v>0</v>
      </c>
      <c r="E23" s="26">
        <f>1a!K21</f>
        <v>503</v>
      </c>
      <c r="F23" s="26">
        <f>1a!L21</f>
        <v>0</v>
      </c>
      <c r="G23" s="26">
        <f>1a!M21</f>
        <v>2270.5</v>
      </c>
      <c r="I23" s="5">
        <v>22.75</v>
      </c>
      <c r="J23" s="8" t="s">
        <v>114</v>
      </c>
      <c r="K23" s="5">
        <f aca="true" t="shared" si="1" ref="K23:K32">ROUND(I23*1.5,2)</f>
        <v>34.13</v>
      </c>
      <c r="L23" s="8" t="s">
        <v>114</v>
      </c>
      <c r="M23" s="5">
        <v>1</v>
      </c>
      <c r="N23" s="2">
        <f t="shared" si="0"/>
        <v>67667.89</v>
      </c>
      <c r="P23" s="1"/>
    </row>
    <row r="24" spans="1:16" ht="12.75">
      <c r="A24" s="1">
        <v>40250</v>
      </c>
      <c r="B24" s="14" t="s">
        <v>11</v>
      </c>
      <c r="C24" s="26">
        <f>1a!I22</f>
        <v>2120</v>
      </c>
      <c r="D24" s="26">
        <f>1a!J22</f>
        <v>0</v>
      </c>
      <c r="E24" s="26">
        <f>1a!K22</f>
        <v>31.5</v>
      </c>
      <c r="F24" s="26">
        <f>1a!L22</f>
        <v>0</v>
      </c>
      <c r="G24" s="26">
        <f>1a!M22</f>
        <v>0</v>
      </c>
      <c r="I24" s="5">
        <v>24.17</v>
      </c>
      <c r="J24" s="8" t="s">
        <v>114</v>
      </c>
      <c r="K24" s="5">
        <f t="shared" si="1"/>
        <v>36.26</v>
      </c>
      <c r="L24" s="8" t="s">
        <v>114</v>
      </c>
      <c r="M24" s="5">
        <v>1</v>
      </c>
      <c r="N24" s="2">
        <f t="shared" si="0"/>
        <v>52382.590000000004</v>
      </c>
      <c r="P24" s="1"/>
    </row>
    <row r="25" spans="1:16" ht="12.75">
      <c r="A25" s="1">
        <v>60508</v>
      </c>
      <c r="B25" s="7" t="s">
        <v>12</v>
      </c>
      <c r="C25" s="26">
        <f>1a!I23</f>
        <v>2120</v>
      </c>
      <c r="D25" s="26">
        <f>1a!J23</f>
        <v>0</v>
      </c>
      <c r="E25" s="26">
        <f>1a!K23</f>
        <v>68</v>
      </c>
      <c r="F25" s="26">
        <f>1a!L23</f>
        <v>0</v>
      </c>
      <c r="G25" s="26">
        <f>1a!M23</f>
        <v>0</v>
      </c>
      <c r="I25" s="5">
        <v>22.82</v>
      </c>
      <c r="J25" s="8" t="s">
        <v>114</v>
      </c>
      <c r="K25" s="5">
        <f t="shared" si="1"/>
        <v>34.23</v>
      </c>
      <c r="L25" s="8" t="s">
        <v>114</v>
      </c>
      <c r="M25" s="5">
        <v>1</v>
      </c>
      <c r="N25" s="2">
        <f t="shared" si="0"/>
        <v>50706.04</v>
      </c>
      <c r="P25" s="1"/>
    </row>
    <row r="26" spans="1:16" ht="12.75">
      <c r="A26" s="1">
        <v>60536</v>
      </c>
      <c r="B26" s="7" t="s">
        <v>13</v>
      </c>
      <c r="C26" s="26">
        <f>1a!I24</f>
        <v>720</v>
      </c>
      <c r="D26" s="26">
        <f>1a!J24</f>
        <v>0</v>
      </c>
      <c r="E26" s="26">
        <f>1a!K24</f>
        <v>28.75</v>
      </c>
      <c r="F26" s="26">
        <f>1a!L24</f>
        <v>0</v>
      </c>
      <c r="G26" s="26">
        <f>1a!M24</f>
        <v>0</v>
      </c>
      <c r="I26" s="5">
        <v>13.98</v>
      </c>
      <c r="J26" s="8" t="s">
        <v>114</v>
      </c>
      <c r="K26" s="5">
        <f t="shared" si="1"/>
        <v>20.97</v>
      </c>
      <c r="L26" s="8" t="s">
        <v>114</v>
      </c>
      <c r="M26" s="5">
        <v>1</v>
      </c>
      <c r="N26" s="2">
        <f t="shared" si="0"/>
        <v>10668.487500000001</v>
      </c>
      <c r="P26" s="1"/>
    </row>
    <row r="27" spans="1:16" ht="12.75">
      <c r="A27" s="1">
        <v>60532</v>
      </c>
      <c r="B27" s="7" t="s">
        <v>4</v>
      </c>
      <c r="C27" s="26">
        <f>1a!I25</f>
        <v>945</v>
      </c>
      <c r="D27" s="26">
        <f>1a!J25</f>
        <v>0</v>
      </c>
      <c r="E27" s="26">
        <f>1a!K25</f>
        <v>1.25</v>
      </c>
      <c r="F27" s="26">
        <f>1a!L25</f>
        <v>0</v>
      </c>
      <c r="G27" s="26">
        <f>1a!M25</f>
        <v>0</v>
      </c>
      <c r="I27" s="5">
        <v>13.96</v>
      </c>
      <c r="J27" s="8" t="s">
        <v>114</v>
      </c>
      <c r="K27" s="5">
        <f t="shared" si="1"/>
        <v>20.94</v>
      </c>
      <c r="L27" s="8" t="s">
        <v>114</v>
      </c>
      <c r="M27" s="5">
        <v>1</v>
      </c>
      <c r="N27" s="2">
        <f t="shared" si="0"/>
        <v>13218.375</v>
      </c>
      <c r="P27" s="1"/>
    </row>
    <row r="28" spans="1:16" ht="12.75">
      <c r="A28" s="1">
        <v>60520</v>
      </c>
      <c r="B28" s="7" t="s">
        <v>8</v>
      </c>
      <c r="C28" s="26">
        <f>1a!I26</f>
        <v>2106</v>
      </c>
      <c r="D28" s="26">
        <f>1a!J26</f>
        <v>0</v>
      </c>
      <c r="E28" s="26">
        <f>1a!K26</f>
        <v>30.5</v>
      </c>
      <c r="F28" s="26">
        <f>1a!L26</f>
        <v>40</v>
      </c>
      <c r="G28" s="26">
        <f>1a!M26</f>
        <v>0</v>
      </c>
      <c r="I28" s="5">
        <v>16.39</v>
      </c>
      <c r="J28" s="5">
        <f>I28+1</f>
        <v>17.39</v>
      </c>
      <c r="K28" s="5">
        <f t="shared" si="1"/>
        <v>24.59</v>
      </c>
      <c r="L28" s="5">
        <f>ROUND(J28*1.5,2)</f>
        <v>26.09</v>
      </c>
      <c r="M28" s="5">
        <v>1</v>
      </c>
      <c r="N28" s="2">
        <f>IF(I28&lt;&gt;"N/A",(C28*I28)+(D28*J28)+(E28*K28)+(F28*L28)+(G28*M28),0)</f>
        <v>36310.935000000005</v>
      </c>
      <c r="P28" s="1"/>
    </row>
    <row r="29" spans="1:16" ht="12.75">
      <c r="A29" s="1">
        <v>30100</v>
      </c>
      <c r="B29" s="7" t="s">
        <v>7</v>
      </c>
      <c r="C29" s="26">
        <f>1a!I27</f>
        <v>2120</v>
      </c>
      <c r="D29" s="26">
        <f>1a!J27</f>
        <v>0</v>
      </c>
      <c r="E29" s="26">
        <f>1a!K27</f>
        <v>119.75</v>
      </c>
      <c r="F29" s="26">
        <f>1a!L27</f>
        <v>0</v>
      </c>
      <c r="G29" s="26">
        <f>1a!M27</f>
        <v>246.5</v>
      </c>
      <c r="I29" s="5">
        <v>24.83</v>
      </c>
      <c r="J29" s="8" t="s">
        <v>114</v>
      </c>
      <c r="K29" s="5">
        <f t="shared" si="1"/>
        <v>37.25</v>
      </c>
      <c r="L29" s="8" t="s">
        <v>114</v>
      </c>
      <c r="M29" s="5">
        <v>1</v>
      </c>
      <c r="N29" s="2">
        <f t="shared" si="0"/>
        <v>57346.7875</v>
      </c>
      <c r="P29" s="1"/>
    </row>
    <row r="30" spans="1:16" ht="12.75">
      <c r="A30" s="1">
        <v>40260</v>
      </c>
      <c r="B30" s="7" t="s">
        <v>14</v>
      </c>
      <c r="C30" s="26">
        <f>1a!I28</f>
        <v>2120</v>
      </c>
      <c r="D30" s="26">
        <f>1a!J28</f>
        <v>0</v>
      </c>
      <c r="E30" s="26">
        <f>1a!K28</f>
        <v>0</v>
      </c>
      <c r="F30" s="26">
        <f>1a!L28</f>
        <v>0</v>
      </c>
      <c r="G30" s="26">
        <f>1a!M28</f>
        <v>0</v>
      </c>
      <c r="I30" s="5">
        <v>49.26</v>
      </c>
      <c r="J30" s="8" t="s">
        <v>114</v>
      </c>
      <c r="K30" s="5">
        <f t="shared" si="1"/>
        <v>73.89</v>
      </c>
      <c r="L30" s="8" t="s">
        <v>114</v>
      </c>
      <c r="M30" s="5">
        <v>1</v>
      </c>
      <c r="N30" s="2">
        <f t="shared" si="0"/>
        <v>104431.2</v>
      </c>
      <c r="P30" s="1"/>
    </row>
    <row r="31" spans="1:16" ht="12.75">
      <c r="A31" s="1">
        <v>10175</v>
      </c>
      <c r="B31" s="7" t="s">
        <v>15</v>
      </c>
      <c r="C31" s="26">
        <f>1a!I29</f>
        <v>2120</v>
      </c>
      <c r="D31" s="26">
        <f>1a!J29</f>
        <v>0</v>
      </c>
      <c r="E31" s="26">
        <f>1a!K29</f>
        <v>0</v>
      </c>
      <c r="F31" s="26">
        <f>1a!L29</f>
        <v>0</v>
      </c>
      <c r="G31" s="26">
        <f>1a!M29</f>
        <v>0</v>
      </c>
      <c r="I31" s="5">
        <v>49.81</v>
      </c>
      <c r="J31" s="8" t="s">
        <v>114</v>
      </c>
      <c r="K31" s="5">
        <f t="shared" si="1"/>
        <v>74.72</v>
      </c>
      <c r="L31" s="8" t="s">
        <v>114</v>
      </c>
      <c r="M31" s="5">
        <v>1</v>
      </c>
      <c r="N31" s="2">
        <f t="shared" si="0"/>
        <v>105597.20000000001</v>
      </c>
      <c r="P31" s="1"/>
    </row>
    <row r="32" spans="1:16" ht="12.75">
      <c r="A32" s="1">
        <v>40270</v>
      </c>
      <c r="B32" s="7" t="s">
        <v>16</v>
      </c>
      <c r="C32" s="26">
        <f>1a!I30</f>
        <v>2096</v>
      </c>
      <c r="D32" s="26">
        <f>1a!J30</f>
        <v>0</v>
      </c>
      <c r="E32" s="26">
        <f>1a!K30</f>
        <v>204.5</v>
      </c>
      <c r="F32" s="26">
        <f>1a!L30</f>
        <v>0</v>
      </c>
      <c r="G32" s="26">
        <f>1a!M30</f>
        <v>641.5</v>
      </c>
      <c r="I32" s="5">
        <v>21.85</v>
      </c>
      <c r="J32" s="8" t="s">
        <v>114</v>
      </c>
      <c r="K32" s="5">
        <f t="shared" si="1"/>
        <v>32.78</v>
      </c>
      <c r="L32" s="8" t="s">
        <v>114</v>
      </c>
      <c r="M32" s="5">
        <v>1</v>
      </c>
      <c r="N32" s="2">
        <f t="shared" si="0"/>
        <v>53142.61000000001</v>
      </c>
      <c r="P32" s="1"/>
    </row>
    <row r="33" spans="1:16" ht="12.75">
      <c r="A33" s="1">
        <v>20350</v>
      </c>
      <c r="B33" s="7" t="s">
        <v>17</v>
      </c>
      <c r="C33" s="26">
        <f>1a!I31</f>
        <v>217</v>
      </c>
      <c r="D33" s="26">
        <f>1a!J31</f>
        <v>0</v>
      </c>
      <c r="E33" s="26">
        <f>1a!K31</f>
        <v>0</v>
      </c>
      <c r="F33" s="26">
        <f>1a!L31</f>
        <v>0</v>
      </c>
      <c r="G33" s="26">
        <f>1a!M31</f>
        <v>0</v>
      </c>
      <c r="I33" s="8" t="s">
        <v>114</v>
      </c>
      <c r="J33" s="8" t="s">
        <v>114</v>
      </c>
      <c r="K33" s="8" t="s">
        <v>114</v>
      </c>
      <c r="L33" s="8" t="s">
        <v>114</v>
      </c>
      <c r="M33" s="8" t="s">
        <v>114</v>
      </c>
      <c r="N33" s="2">
        <f t="shared" si="0"/>
        <v>0</v>
      </c>
      <c r="P33" s="1"/>
    </row>
    <row r="34" spans="1:16" ht="12.75">
      <c r="A34" s="1">
        <v>60518</v>
      </c>
      <c r="B34" s="7" t="s">
        <v>18</v>
      </c>
      <c r="C34" s="26">
        <f>1a!I32</f>
        <v>2073.5</v>
      </c>
      <c r="D34" s="26">
        <f>1a!J32</f>
        <v>0</v>
      </c>
      <c r="E34" s="26">
        <f>1a!K32</f>
        <v>420.5</v>
      </c>
      <c r="F34" s="26">
        <f>1a!L32</f>
        <v>0</v>
      </c>
      <c r="G34" s="26">
        <f>1a!M32</f>
        <v>1486</v>
      </c>
      <c r="I34" s="5">
        <v>16.39</v>
      </c>
      <c r="J34" s="8" t="s">
        <v>114</v>
      </c>
      <c r="K34" s="5">
        <f aca="true" t="shared" si="2" ref="K34:K43">ROUND(I34*1.5,2)</f>
        <v>24.59</v>
      </c>
      <c r="L34" s="8" t="s">
        <v>114</v>
      </c>
      <c r="M34" s="5">
        <v>1</v>
      </c>
      <c r="N34" s="2">
        <f t="shared" si="0"/>
        <v>45810.76</v>
      </c>
      <c r="P34" s="1"/>
    </row>
    <row r="35" spans="1:16" ht="12.75">
      <c r="A35" s="1">
        <v>60541</v>
      </c>
      <c r="B35" s="16" t="s">
        <v>4</v>
      </c>
      <c r="C35" s="26">
        <f>1a!I33</f>
        <v>120</v>
      </c>
      <c r="D35" s="26">
        <f>1a!J33</f>
        <v>0</v>
      </c>
      <c r="E35" s="26">
        <f>1a!K33</f>
        <v>0</v>
      </c>
      <c r="F35" s="26">
        <f>1a!L33</f>
        <v>0</v>
      </c>
      <c r="G35" s="26">
        <f>1a!M33</f>
        <v>0</v>
      </c>
      <c r="I35" s="5">
        <v>13.98</v>
      </c>
      <c r="J35" s="8" t="s">
        <v>114</v>
      </c>
      <c r="K35" s="5">
        <f t="shared" si="2"/>
        <v>20.97</v>
      </c>
      <c r="L35" s="8" t="s">
        <v>114</v>
      </c>
      <c r="M35" s="5">
        <v>1</v>
      </c>
      <c r="N35" s="2">
        <f t="shared" si="0"/>
        <v>1677.6000000000001</v>
      </c>
      <c r="P35" s="1"/>
    </row>
    <row r="36" spans="1:16" ht="12.75">
      <c r="A36" s="1">
        <v>20375</v>
      </c>
      <c r="B36" s="7" t="s">
        <v>19</v>
      </c>
      <c r="C36" s="26">
        <f>1a!I34</f>
        <v>2120</v>
      </c>
      <c r="D36" s="26">
        <f>1a!J34</f>
        <v>0</v>
      </c>
      <c r="E36" s="26">
        <f>1a!K34</f>
        <v>0</v>
      </c>
      <c r="F36" s="26">
        <f>1a!L34</f>
        <v>0</v>
      </c>
      <c r="G36" s="26">
        <f>1a!M34</f>
        <v>0</v>
      </c>
      <c r="I36" s="5">
        <v>37.76</v>
      </c>
      <c r="J36" s="8" t="s">
        <v>114</v>
      </c>
      <c r="K36" s="5">
        <f t="shared" si="2"/>
        <v>56.64</v>
      </c>
      <c r="L36" s="8" t="s">
        <v>114</v>
      </c>
      <c r="M36" s="5">
        <v>1</v>
      </c>
      <c r="N36" s="2">
        <f t="shared" si="0"/>
        <v>80051.2</v>
      </c>
      <c r="P36" s="1"/>
    </row>
    <row r="37" spans="1:16" ht="12.75">
      <c r="A37" s="1">
        <v>30225</v>
      </c>
      <c r="B37" s="7" t="s">
        <v>7</v>
      </c>
      <c r="C37" s="26">
        <f>1a!I35</f>
        <v>2080</v>
      </c>
      <c r="D37" s="26">
        <f>1a!J35</f>
        <v>0</v>
      </c>
      <c r="E37" s="26">
        <f>1a!K35</f>
        <v>261.5</v>
      </c>
      <c r="F37" s="26">
        <f>1a!L35</f>
        <v>0</v>
      </c>
      <c r="G37" s="26">
        <f>1a!M35</f>
        <v>479.75</v>
      </c>
      <c r="I37" s="5">
        <v>23.72</v>
      </c>
      <c r="J37" s="8" t="s">
        <v>114</v>
      </c>
      <c r="K37" s="5">
        <f t="shared" si="2"/>
        <v>35.58</v>
      </c>
      <c r="L37" s="8" t="s">
        <v>114</v>
      </c>
      <c r="M37" s="5">
        <v>1</v>
      </c>
      <c r="N37" s="2">
        <f t="shared" si="0"/>
        <v>59121.52</v>
      </c>
      <c r="P37" s="1"/>
    </row>
    <row r="38" spans="1:16" ht="12.75">
      <c r="A38" s="1">
        <v>40330</v>
      </c>
      <c r="B38" s="7" t="s">
        <v>20</v>
      </c>
      <c r="C38" s="26">
        <f>1a!I36</f>
        <v>2080</v>
      </c>
      <c r="D38" s="26">
        <f>1a!J36</f>
        <v>0</v>
      </c>
      <c r="E38" s="26">
        <f>1a!K36</f>
        <v>266.5</v>
      </c>
      <c r="F38" s="26">
        <f>1a!L36</f>
        <v>0</v>
      </c>
      <c r="G38" s="26">
        <f>1a!M36</f>
        <v>0</v>
      </c>
      <c r="I38" s="5">
        <v>18.18</v>
      </c>
      <c r="J38" s="8" t="s">
        <v>114</v>
      </c>
      <c r="K38" s="5">
        <f t="shared" si="2"/>
        <v>27.27</v>
      </c>
      <c r="L38" s="8" t="s">
        <v>114</v>
      </c>
      <c r="M38" s="5">
        <v>1</v>
      </c>
      <c r="N38" s="2">
        <f t="shared" si="0"/>
        <v>45081.855</v>
      </c>
      <c r="P38" s="1"/>
    </row>
    <row r="39" spans="1:16" ht="12.75">
      <c r="A39" s="1">
        <v>20378</v>
      </c>
      <c r="B39" s="7" t="s">
        <v>21</v>
      </c>
      <c r="C39" s="26">
        <f>1a!I37</f>
        <v>2080</v>
      </c>
      <c r="D39" s="26">
        <f>1a!J37</f>
        <v>0</v>
      </c>
      <c r="E39" s="26">
        <f>1a!K37</f>
        <v>171</v>
      </c>
      <c r="F39" s="26">
        <f>1a!L37</f>
        <v>0</v>
      </c>
      <c r="G39" s="26">
        <f>1a!M37</f>
        <v>1688</v>
      </c>
      <c r="I39" s="5">
        <v>19.26</v>
      </c>
      <c r="J39" s="8" t="s">
        <v>114</v>
      </c>
      <c r="K39" s="5">
        <f t="shared" si="2"/>
        <v>28.89</v>
      </c>
      <c r="L39" s="8" t="s">
        <v>114</v>
      </c>
      <c r="M39" s="5">
        <v>1</v>
      </c>
      <c r="N39" s="2">
        <f t="shared" si="0"/>
        <v>46688.990000000005</v>
      </c>
      <c r="P39" s="1"/>
    </row>
    <row r="40" spans="1:16" ht="12.75">
      <c r="A40" s="1">
        <v>40350</v>
      </c>
      <c r="B40" s="7" t="s">
        <v>13</v>
      </c>
      <c r="C40" s="26">
        <f>1a!I38</f>
        <v>2080</v>
      </c>
      <c r="D40" s="26">
        <f>1a!J38</f>
        <v>0</v>
      </c>
      <c r="E40" s="26">
        <f>1a!K38</f>
        <v>4</v>
      </c>
      <c r="F40" s="26">
        <f>1a!L38</f>
        <v>0</v>
      </c>
      <c r="G40" s="26">
        <f>1a!M38</f>
        <v>0</v>
      </c>
      <c r="I40" s="5">
        <v>17.77</v>
      </c>
      <c r="J40" s="8" t="s">
        <v>114</v>
      </c>
      <c r="K40" s="5">
        <f t="shared" si="2"/>
        <v>26.66</v>
      </c>
      <c r="L40" s="8" t="s">
        <v>114</v>
      </c>
      <c r="M40" s="5">
        <v>1</v>
      </c>
      <c r="N40" s="2">
        <f t="shared" si="0"/>
        <v>37068.24</v>
      </c>
      <c r="P40" s="1"/>
    </row>
    <row r="41" spans="1:16" ht="12.75">
      <c r="A41" s="1">
        <v>60528</v>
      </c>
      <c r="B41" s="7" t="s">
        <v>22</v>
      </c>
      <c r="C41" s="26">
        <f>1a!I39</f>
        <v>1584</v>
      </c>
      <c r="D41" s="26">
        <f>1a!J39</f>
        <v>0</v>
      </c>
      <c r="E41" s="26">
        <f>1a!K39</f>
        <v>109.5</v>
      </c>
      <c r="F41" s="26">
        <f>1a!L39</f>
        <v>0</v>
      </c>
      <c r="G41" s="26">
        <f>1a!M39</f>
        <v>687</v>
      </c>
      <c r="I41" s="5">
        <v>16.18</v>
      </c>
      <c r="J41" s="8" t="s">
        <v>114</v>
      </c>
      <c r="K41" s="5">
        <f t="shared" si="2"/>
        <v>24.27</v>
      </c>
      <c r="L41" s="8" t="s">
        <v>114</v>
      </c>
      <c r="M41" s="5">
        <v>1</v>
      </c>
      <c r="N41" s="2">
        <f t="shared" si="0"/>
        <v>28973.684999999998</v>
      </c>
      <c r="P41" s="1"/>
    </row>
    <row r="42" spans="1:16" ht="12.75">
      <c r="A42" s="1">
        <v>60494</v>
      </c>
      <c r="B42" s="7" t="s">
        <v>21</v>
      </c>
      <c r="C42" s="26">
        <f>1a!I40</f>
        <v>2080</v>
      </c>
      <c r="D42" s="26">
        <f>1a!J40</f>
        <v>0</v>
      </c>
      <c r="E42" s="26">
        <f>1a!K40</f>
        <v>154</v>
      </c>
      <c r="F42" s="26">
        <f>1a!L40</f>
        <v>0</v>
      </c>
      <c r="G42" s="26">
        <f>1a!M40</f>
        <v>1103.5</v>
      </c>
      <c r="I42" s="5">
        <v>18.69</v>
      </c>
      <c r="J42" s="8" t="s">
        <v>114</v>
      </c>
      <c r="K42" s="5">
        <f t="shared" si="2"/>
        <v>28.04</v>
      </c>
      <c r="L42" s="8" t="s">
        <v>114</v>
      </c>
      <c r="M42" s="5">
        <v>1</v>
      </c>
      <c r="N42" s="2">
        <f t="shared" si="0"/>
        <v>44296.86</v>
      </c>
      <c r="P42" s="1"/>
    </row>
    <row r="43" spans="1:16" ht="12.75">
      <c r="A43" s="1">
        <v>40400</v>
      </c>
      <c r="B43" s="7" t="s">
        <v>8</v>
      </c>
      <c r="C43" s="26">
        <f>1a!I41</f>
        <v>192</v>
      </c>
      <c r="D43" s="26">
        <f>1a!J41</f>
        <v>1928</v>
      </c>
      <c r="E43" s="26">
        <f>1a!K41</f>
        <v>107</v>
      </c>
      <c r="F43" s="26">
        <f>1a!L41</f>
        <v>0</v>
      </c>
      <c r="G43" s="26">
        <f>1a!M41</f>
        <v>0</v>
      </c>
      <c r="I43" s="8">
        <v>21.68</v>
      </c>
      <c r="J43" s="8">
        <f>I43+1</f>
        <v>22.68</v>
      </c>
      <c r="K43" s="5">
        <f t="shared" si="2"/>
        <v>32.52</v>
      </c>
      <c r="L43" s="5">
        <f>ROUND(J43*1.5,2)</f>
        <v>34.02</v>
      </c>
      <c r="M43" s="8">
        <v>1</v>
      </c>
      <c r="N43" s="2">
        <f>IF(I43&lt;&gt;"N/A",(C43*I43)+(D43*J43)+(E43*K43)+(F43*L43)+(G43*M43),0)</f>
        <v>51369.24</v>
      </c>
      <c r="P43" s="1"/>
    </row>
    <row r="44" spans="1:16" ht="12.75">
      <c r="A44" s="1">
        <v>40410</v>
      </c>
      <c r="B44" s="7" t="s">
        <v>23</v>
      </c>
      <c r="C44" s="26">
        <f>1a!I42</f>
        <v>595</v>
      </c>
      <c r="D44" s="26">
        <f>1a!J42</f>
        <v>0</v>
      </c>
      <c r="E44" s="26">
        <f>1a!K42</f>
        <v>0</v>
      </c>
      <c r="F44" s="26">
        <f>1a!L42</f>
        <v>0</v>
      </c>
      <c r="G44" s="26">
        <f>1a!M42</f>
        <v>0</v>
      </c>
      <c r="I44" s="5" t="s">
        <v>114</v>
      </c>
      <c r="J44" s="8" t="s">
        <v>114</v>
      </c>
      <c r="K44" s="8" t="s">
        <v>114</v>
      </c>
      <c r="L44" s="8" t="s">
        <v>114</v>
      </c>
      <c r="M44" s="8" t="s">
        <v>114</v>
      </c>
      <c r="N44" s="2">
        <f t="shared" si="0"/>
        <v>0</v>
      </c>
      <c r="P44" s="1"/>
    </row>
    <row r="45" spans="1:16" ht="12.75">
      <c r="A45" s="1">
        <v>40405</v>
      </c>
      <c r="B45" s="7" t="s">
        <v>24</v>
      </c>
      <c r="C45" s="26">
        <f>1a!I52</f>
        <v>2120</v>
      </c>
      <c r="D45" s="26">
        <f>1a!J52</f>
        <v>0</v>
      </c>
      <c r="E45" s="26">
        <f>1a!K52</f>
        <v>0</v>
      </c>
      <c r="F45" s="26">
        <f>1a!L52</f>
        <v>0</v>
      </c>
      <c r="G45" s="26">
        <f>1a!M52</f>
        <v>0</v>
      </c>
      <c r="I45" s="5" t="s">
        <v>114</v>
      </c>
      <c r="J45" s="8" t="s">
        <v>114</v>
      </c>
      <c r="K45" s="8" t="s">
        <v>114</v>
      </c>
      <c r="L45" s="8" t="s">
        <v>114</v>
      </c>
      <c r="M45" s="8" t="s">
        <v>114</v>
      </c>
      <c r="N45" s="2">
        <f t="shared" si="0"/>
        <v>0</v>
      </c>
      <c r="P45" s="1"/>
    </row>
    <row r="46" spans="1:16" ht="12.75">
      <c r="A46" s="1">
        <v>60487</v>
      </c>
      <c r="B46" s="7" t="s">
        <v>8</v>
      </c>
      <c r="C46" s="26">
        <f>1a!I53</f>
        <v>2024</v>
      </c>
      <c r="D46" s="26">
        <f>1a!J53</f>
        <v>96</v>
      </c>
      <c r="E46" s="26">
        <f>1a!K53</f>
        <v>56.5</v>
      </c>
      <c r="F46" s="26">
        <f>1a!L53</f>
        <v>74</v>
      </c>
      <c r="G46" s="26">
        <f>1a!M53</f>
        <v>0</v>
      </c>
      <c r="H46" s="13"/>
      <c r="I46" s="5">
        <v>19.13</v>
      </c>
      <c r="J46" s="8">
        <f>I46*1.5</f>
        <v>28.695</v>
      </c>
      <c r="K46" s="5">
        <f>ROUND(I46*1.5,2)</f>
        <v>28.7</v>
      </c>
      <c r="L46" s="5">
        <f>ROUND(J46*1.5,2)</f>
        <v>43.04</v>
      </c>
      <c r="M46" s="5">
        <v>1</v>
      </c>
      <c r="N46" s="2">
        <f>IF(I46&lt;&gt;"N/A",(C46*I46)+(D46*J46)+(E46*K46)+(F46*L46)+(G46*M46),0)</f>
        <v>46280.35</v>
      </c>
      <c r="P46" s="1"/>
    </row>
    <row r="47" spans="1:16" ht="12.75">
      <c r="A47" s="1">
        <v>60525</v>
      </c>
      <c r="B47" s="3" t="s">
        <v>22</v>
      </c>
      <c r="C47" s="26">
        <f>1a!I54</f>
        <v>1800</v>
      </c>
      <c r="D47" s="26">
        <f>1a!J54</f>
        <v>0</v>
      </c>
      <c r="E47" s="26">
        <f>1a!K54</f>
        <v>29.75</v>
      </c>
      <c r="F47" s="26">
        <f>1a!L54</f>
        <v>0</v>
      </c>
      <c r="G47" s="26">
        <f>1a!M54</f>
        <v>0</v>
      </c>
      <c r="H47" s="13"/>
      <c r="I47" s="5">
        <v>16.18</v>
      </c>
      <c r="J47" s="8" t="s">
        <v>114</v>
      </c>
      <c r="K47" s="5">
        <f>ROUND(I47*1.5,2)</f>
        <v>24.27</v>
      </c>
      <c r="L47" s="8" t="s">
        <v>114</v>
      </c>
      <c r="M47" s="5">
        <v>1</v>
      </c>
      <c r="N47" s="2">
        <f t="shared" si="0"/>
        <v>29846.0325</v>
      </c>
      <c r="P47" s="1"/>
    </row>
    <row r="48" spans="1:16" ht="12.75">
      <c r="A48" s="1">
        <v>20450</v>
      </c>
      <c r="B48" s="3" t="s">
        <v>21</v>
      </c>
      <c r="C48" s="26">
        <f>1a!I55</f>
        <v>2120</v>
      </c>
      <c r="D48" s="26">
        <f>1a!J55</f>
        <v>0</v>
      </c>
      <c r="E48" s="26">
        <f>1a!K55</f>
        <v>365.5</v>
      </c>
      <c r="F48" s="26">
        <f>1a!L55</f>
        <v>0</v>
      </c>
      <c r="G48" s="26">
        <f>1a!M55</f>
        <v>0</v>
      </c>
      <c r="H48" s="13"/>
      <c r="I48" s="5">
        <v>25.21</v>
      </c>
      <c r="J48" s="8" t="s">
        <v>114</v>
      </c>
      <c r="K48" s="5">
        <f>ROUND(I48*1.5,2)</f>
        <v>37.82</v>
      </c>
      <c r="L48" s="8" t="s">
        <v>114</v>
      </c>
      <c r="M48" s="5">
        <v>1</v>
      </c>
      <c r="N48" s="2">
        <f t="shared" si="0"/>
        <v>67268.41</v>
      </c>
      <c r="P48" s="1"/>
    </row>
    <row r="49" spans="1:16" ht="12.75">
      <c r="A49" s="1">
        <v>30325</v>
      </c>
      <c r="B49" s="3" t="s">
        <v>25</v>
      </c>
      <c r="C49" s="26">
        <f>1a!I56</f>
        <v>2080</v>
      </c>
      <c r="D49" s="26">
        <f>1a!J56</f>
        <v>0</v>
      </c>
      <c r="E49" s="26">
        <f>1a!K56</f>
        <v>0</v>
      </c>
      <c r="F49" s="26">
        <f>1a!L56</f>
        <v>0</v>
      </c>
      <c r="G49" s="26">
        <f>1a!M56</f>
        <v>0</v>
      </c>
      <c r="H49" s="9"/>
      <c r="I49" s="5">
        <v>33.68</v>
      </c>
      <c r="J49" s="8" t="s">
        <v>114</v>
      </c>
      <c r="K49" s="5">
        <f>ROUND(I49*1.5,2)</f>
        <v>50.52</v>
      </c>
      <c r="L49" s="8" t="s">
        <v>114</v>
      </c>
      <c r="M49" s="5">
        <v>1</v>
      </c>
      <c r="N49" s="2">
        <f t="shared" si="0"/>
        <v>70054.4</v>
      </c>
      <c r="P49" s="1"/>
    </row>
    <row r="50" spans="1:16" ht="12.75">
      <c r="A50" s="1">
        <v>60531</v>
      </c>
      <c r="B50" s="3" t="s">
        <v>26</v>
      </c>
      <c r="C50" s="26">
        <f>1a!I57</f>
        <v>1230.5</v>
      </c>
      <c r="D50" s="26">
        <f>1a!J57</f>
        <v>0</v>
      </c>
      <c r="E50" s="26">
        <f>1a!K57</f>
        <v>51.5</v>
      </c>
      <c r="F50" s="26">
        <f>1a!L57</f>
        <v>0</v>
      </c>
      <c r="G50" s="26">
        <f>1a!M57</f>
        <v>594</v>
      </c>
      <c r="H50" s="13"/>
      <c r="I50" s="5">
        <v>16.53</v>
      </c>
      <c r="J50" s="8" t="s">
        <v>114</v>
      </c>
      <c r="K50" s="5">
        <f>ROUND(I50*1.5,2)</f>
        <v>24.8</v>
      </c>
      <c r="L50" s="8" t="s">
        <v>114</v>
      </c>
      <c r="M50" s="5">
        <v>1</v>
      </c>
      <c r="N50" s="2">
        <f t="shared" si="0"/>
        <v>22211.365</v>
      </c>
      <c r="P50" s="1"/>
    </row>
    <row r="51" spans="1:16" ht="12.75">
      <c r="A51" s="1">
        <v>60488</v>
      </c>
      <c r="B51" s="3" t="s">
        <v>4</v>
      </c>
      <c r="C51" s="26">
        <f>1a!I58</f>
        <v>2080</v>
      </c>
      <c r="D51" s="26">
        <f>1a!J58</f>
        <v>0</v>
      </c>
      <c r="E51" s="26">
        <f>1a!K58</f>
        <v>4.5</v>
      </c>
      <c r="F51" s="26">
        <f>1a!L58</f>
        <v>0</v>
      </c>
      <c r="G51" s="26">
        <f>1a!M58</f>
        <v>0</v>
      </c>
      <c r="H51" s="11"/>
      <c r="I51" s="5">
        <v>14.82</v>
      </c>
      <c r="J51" s="8" t="s">
        <v>114</v>
      </c>
      <c r="K51" s="5">
        <f>ROUND(I51*1.5,2)</f>
        <v>22.23</v>
      </c>
      <c r="L51" s="8" t="s">
        <v>114</v>
      </c>
      <c r="M51" s="5">
        <v>1</v>
      </c>
      <c r="N51" s="2">
        <f t="shared" si="0"/>
        <v>30925.635000000002</v>
      </c>
      <c r="P51" s="1"/>
    </row>
    <row r="52" spans="1:16" ht="12.75">
      <c r="A52" s="1">
        <v>20500</v>
      </c>
      <c r="B52" s="3" t="s">
        <v>27</v>
      </c>
      <c r="C52" s="26">
        <f>1a!I59</f>
        <v>760</v>
      </c>
      <c r="D52" s="26">
        <f>1a!J59</f>
        <v>0</v>
      </c>
      <c r="E52" s="26">
        <f>1a!K59</f>
        <v>0</v>
      </c>
      <c r="F52" s="26">
        <f>1a!L59</f>
        <v>0</v>
      </c>
      <c r="G52" s="26">
        <f>1a!M59</f>
        <v>0</v>
      </c>
      <c r="H52" s="11"/>
      <c r="I52" s="8" t="s">
        <v>114</v>
      </c>
      <c r="J52" s="8" t="s">
        <v>114</v>
      </c>
      <c r="K52" s="8" t="s">
        <v>114</v>
      </c>
      <c r="L52" s="8" t="s">
        <v>114</v>
      </c>
      <c r="M52" s="8" t="s">
        <v>114</v>
      </c>
      <c r="N52" s="2">
        <f t="shared" si="0"/>
        <v>0</v>
      </c>
      <c r="P52" s="1"/>
    </row>
    <row r="53" spans="1:16" ht="12.75">
      <c r="A53" s="1">
        <v>60465</v>
      </c>
      <c r="B53" s="3" t="s">
        <v>28</v>
      </c>
      <c r="C53" s="26">
        <f>1a!I60</f>
        <v>2080</v>
      </c>
      <c r="D53" s="26">
        <f>1a!J60</f>
        <v>0</v>
      </c>
      <c r="E53" s="26">
        <f>1a!K60</f>
        <v>52.5</v>
      </c>
      <c r="F53" s="26">
        <f>1a!L60</f>
        <v>0</v>
      </c>
      <c r="G53" s="26">
        <f>1a!M60</f>
        <v>0</v>
      </c>
      <c r="I53" s="5">
        <v>15.41</v>
      </c>
      <c r="J53" s="8" t="s">
        <v>114</v>
      </c>
      <c r="K53" s="5">
        <f>ROUND(I53*1.5,2)</f>
        <v>23.12</v>
      </c>
      <c r="L53" s="8" t="s">
        <v>114</v>
      </c>
      <c r="M53" s="5">
        <v>1</v>
      </c>
      <c r="N53" s="2">
        <f t="shared" si="0"/>
        <v>33266.6</v>
      </c>
      <c r="P53" s="1"/>
    </row>
    <row r="54" spans="1:16" ht="12.75">
      <c r="A54" s="1">
        <v>40435</v>
      </c>
      <c r="B54" s="3" t="s">
        <v>29</v>
      </c>
      <c r="C54" s="26">
        <f>1a!I61</f>
        <v>2120</v>
      </c>
      <c r="D54" s="26">
        <f>1a!J61</f>
        <v>0</v>
      </c>
      <c r="E54" s="26">
        <f>1a!K61</f>
        <v>242.75</v>
      </c>
      <c r="F54" s="26">
        <f>1a!L61</f>
        <v>0</v>
      </c>
      <c r="G54" s="26">
        <f>1a!M61</f>
        <v>297.75</v>
      </c>
      <c r="H54" s="12"/>
      <c r="I54" s="5">
        <v>22.15</v>
      </c>
      <c r="J54" s="8" t="s">
        <v>114</v>
      </c>
      <c r="K54" s="5">
        <f>ROUND(I54*1.5,2)</f>
        <v>33.23</v>
      </c>
      <c r="L54" s="8" t="s">
        <v>114</v>
      </c>
      <c r="M54" s="5">
        <v>1</v>
      </c>
      <c r="N54" s="2">
        <f t="shared" si="0"/>
        <v>55322.3325</v>
      </c>
      <c r="P54" s="1"/>
    </row>
    <row r="55" spans="1:16" ht="12.75">
      <c r="A55" s="1">
        <v>30350</v>
      </c>
      <c r="B55" s="23" t="s">
        <v>29</v>
      </c>
      <c r="C55" s="26">
        <f>1a!I62</f>
        <v>2126.75</v>
      </c>
      <c r="D55" s="26">
        <f>1a!J62</f>
        <v>0</v>
      </c>
      <c r="E55" s="26">
        <f>1a!K62</f>
        <v>69.5</v>
      </c>
      <c r="F55" s="26">
        <f>1a!L62</f>
        <v>0</v>
      </c>
      <c r="G55" s="26">
        <f>1a!M62</f>
        <v>0</v>
      </c>
      <c r="I55" s="5">
        <v>26.63</v>
      </c>
      <c r="J55" s="8" t="s">
        <v>114</v>
      </c>
      <c r="K55" s="5">
        <f>ROUND(I55*1.5,2)</f>
        <v>39.95</v>
      </c>
      <c r="L55" s="8" t="s">
        <v>114</v>
      </c>
      <c r="M55" s="5">
        <v>1</v>
      </c>
      <c r="N55" s="2">
        <f t="shared" si="0"/>
        <v>59411.8775</v>
      </c>
      <c r="P55" s="1"/>
    </row>
    <row r="56" spans="1:16" ht="12.75">
      <c r="A56" s="1">
        <v>60529</v>
      </c>
      <c r="B56" s="7" t="s">
        <v>7</v>
      </c>
      <c r="C56" s="26">
        <f>1a!I63</f>
        <v>1416</v>
      </c>
      <c r="D56" s="26">
        <f>1a!J63</f>
        <v>0</v>
      </c>
      <c r="E56" s="26">
        <f>1a!K63</f>
        <v>92.75</v>
      </c>
      <c r="F56" s="26">
        <f>1a!L63</f>
        <v>0</v>
      </c>
      <c r="G56" s="26">
        <f>1a!M63</f>
        <v>403.25</v>
      </c>
      <c r="I56" s="5">
        <v>16.12</v>
      </c>
      <c r="J56" s="8" t="s">
        <v>114</v>
      </c>
      <c r="K56" s="5">
        <f>ROUND(I56*1.5,2)</f>
        <v>24.18</v>
      </c>
      <c r="L56" s="8" t="s">
        <v>114</v>
      </c>
      <c r="M56" s="5">
        <v>1</v>
      </c>
      <c r="N56" s="2">
        <f t="shared" si="0"/>
        <v>25471.865</v>
      </c>
      <c r="P56" s="1"/>
    </row>
    <row r="57" spans="1:16" ht="12.75">
      <c r="A57" s="1">
        <v>60484</v>
      </c>
      <c r="B57" s="7" t="s">
        <v>8</v>
      </c>
      <c r="C57" s="26">
        <f>1a!I64</f>
        <v>216</v>
      </c>
      <c r="D57" s="26">
        <f>1a!J64</f>
        <v>1864</v>
      </c>
      <c r="E57" s="26">
        <f>1a!K64</f>
        <v>74.16999999999999</v>
      </c>
      <c r="F57" s="26">
        <f>1a!L64</f>
        <v>79.5</v>
      </c>
      <c r="G57" s="26">
        <f>1a!M64</f>
        <v>0</v>
      </c>
      <c r="I57" s="5">
        <v>18.64</v>
      </c>
      <c r="J57" s="5">
        <f>I57+1</f>
        <v>19.64</v>
      </c>
      <c r="K57" s="5">
        <f>ROUND(I57*1.5,2)</f>
        <v>27.96</v>
      </c>
      <c r="L57" s="5">
        <f>ROUND(J57*1.5,2)</f>
        <v>29.46</v>
      </c>
      <c r="M57" s="5">
        <v>1</v>
      </c>
      <c r="N57" s="2">
        <f>IF(I57&lt;&gt;"N/A",(C57*I57)+(D57*J57)+(E57*K57)+(F57*L57)+(G57*M57),0)</f>
        <v>45051.0632</v>
      </c>
      <c r="P57" s="1"/>
    </row>
    <row r="58" spans="1:16" ht="12.75">
      <c r="A58" s="1">
        <v>20650</v>
      </c>
      <c r="B58" s="7" t="s">
        <v>30</v>
      </c>
      <c r="C58" s="26">
        <f>1a!I65</f>
        <v>400</v>
      </c>
      <c r="D58" s="26">
        <f>1a!J65</f>
        <v>0</v>
      </c>
      <c r="E58" s="26">
        <f>1a!K65</f>
        <v>0</v>
      </c>
      <c r="F58" s="26">
        <f>1a!L65</f>
        <v>0</v>
      </c>
      <c r="G58" s="26">
        <f>1a!M65</f>
        <v>0</v>
      </c>
      <c r="I58" s="8" t="s">
        <v>114</v>
      </c>
      <c r="J58" s="8" t="s">
        <v>114</v>
      </c>
      <c r="K58" s="8" t="s">
        <v>114</v>
      </c>
      <c r="L58" s="8" t="s">
        <v>114</v>
      </c>
      <c r="M58" s="8" t="s">
        <v>114</v>
      </c>
      <c r="N58" s="2">
        <f t="shared" si="0"/>
        <v>0</v>
      </c>
      <c r="P58" s="1"/>
    </row>
    <row r="59" spans="1:16" ht="12.75">
      <c r="A59" s="1">
        <v>30415</v>
      </c>
      <c r="B59" s="7" t="s">
        <v>7</v>
      </c>
      <c r="C59" s="26">
        <f>1a!I66</f>
        <v>2080</v>
      </c>
      <c r="D59" s="26">
        <f>1a!J66</f>
        <v>0</v>
      </c>
      <c r="E59" s="26">
        <f>1a!K66</f>
        <v>395.5</v>
      </c>
      <c r="F59" s="26">
        <f>1a!L66</f>
        <v>0</v>
      </c>
      <c r="G59" s="26">
        <f>1a!M66</f>
        <v>574.25</v>
      </c>
      <c r="I59" s="5">
        <v>24.83</v>
      </c>
      <c r="J59" s="8" t="s">
        <v>114</v>
      </c>
      <c r="K59" s="5">
        <f>ROUND(I59*1.5,2)</f>
        <v>37.25</v>
      </c>
      <c r="L59" s="8" t="s">
        <v>114</v>
      </c>
      <c r="M59" s="5">
        <v>1</v>
      </c>
      <c r="N59" s="2">
        <f t="shared" si="0"/>
        <v>66953.025</v>
      </c>
      <c r="P59" s="1"/>
    </row>
    <row r="60" spans="1:16" ht="12.75">
      <c r="A60" s="1">
        <v>60466</v>
      </c>
      <c r="B60" s="7" t="s">
        <v>31</v>
      </c>
      <c r="C60" s="26">
        <f>1a!I67</f>
        <v>2117</v>
      </c>
      <c r="D60" s="26">
        <f>1a!J67</f>
        <v>0</v>
      </c>
      <c r="E60" s="26">
        <f>1a!K67</f>
        <v>639</v>
      </c>
      <c r="F60" s="26">
        <f>1a!L67</f>
        <v>0</v>
      </c>
      <c r="G60" s="26">
        <f>1a!M67</f>
        <v>0</v>
      </c>
      <c r="I60" s="5">
        <v>24.08</v>
      </c>
      <c r="J60" s="8" t="s">
        <v>114</v>
      </c>
      <c r="K60" s="5">
        <f>ROUND(I60*1.5,2)</f>
        <v>36.12</v>
      </c>
      <c r="L60" s="8" t="s">
        <v>114</v>
      </c>
      <c r="M60" s="5">
        <v>1</v>
      </c>
      <c r="N60" s="2">
        <f t="shared" si="0"/>
        <v>74058.04</v>
      </c>
      <c r="P60" s="1"/>
    </row>
    <row r="61" spans="1:14" ht="12.75">
      <c r="A61" s="1"/>
      <c r="B61" s="7"/>
      <c r="C61" s="26"/>
      <c r="D61" s="26"/>
      <c r="E61" s="26"/>
      <c r="F61" s="26"/>
      <c r="G61" s="26"/>
      <c r="J61" s="8"/>
      <c r="N61" s="2"/>
    </row>
    <row r="62" spans="1:14" ht="12.75">
      <c r="A62" s="31" t="s">
        <v>95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12.75">
      <c r="A63" s="31" t="s">
        <v>96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ht="12.75">
      <c r="A64" s="31" t="s">
        <v>107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3" t="s">
        <v>106</v>
      </c>
    </row>
    <row r="66" spans="1:14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3" t="s">
        <v>111</v>
      </c>
    </row>
    <row r="67" spans="1:14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34" t="s">
        <v>99</v>
      </c>
    </row>
    <row r="68" spans="3:15" ht="12.75">
      <c r="C68" s="32" t="s">
        <v>84</v>
      </c>
      <c r="D68" s="32"/>
      <c r="E68" s="32"/>
      <c r="F68" s="32"/>
      <c r="G68" s="32"/>
      <c r="I68" s="6"/>
      <c r="J68" s="6"/>
      <c r="K68" s="6"/>
      <c r="L68" s="6"/>
      <c r="M68" s="6"/>
      <c r="O68" s="20"/>
    </row>
    <row r="69" spans="3:13" ht="12.75">
      <c r="C69" s="32" t="s">
        <v>85</v>
      </c>
      <c r="D69" s="32"/>
      <c r="E69" s="32"/>
      <c r="F69" s="32"/>
      <c r="G69" s="32"/>
      <c r="I69" s="32" t="s">
        <v>109</v>
      </c>
      <c r="J69" s="32"/>
      <c r="K69" s="32"/>
      <c r="L69" s="32"/>
      <c r="M69" s="32"/>
    </row>
    <row r="70" spans="3:14" ht="12.75">
      <c r="C70" s="11"/>
      <c r="D70" s="20" t="s">
        <v>117</v>
      </c>
      <c r="E70" s="11"/>
      <c r="F70" s="20" t="s">
        <v>117</v>
      </c>
      <c r="G70" s="11"/>
      <c r="H70" s="11"/>
      <c r="M70" s="11"/>
      <c r="N70" s="20" t="s">
        <v>87</v>
      </c>
    </row>
    <row r="71" spans="3:14" ht="12.75">
      <c r="C71" s="20" t="s">
        <v>82</v>
      </c>
      <c r="D71" s="20" t="s">
        <v>118</v>
      </c>
      <c r="E71" s="20" t="s">
        <v>83</v>
      </c>
      <c r="F71" s="20" t="s">
        <v>83</v>
      </c>
      <c r="G71" s="20" t="s">
        <v>121</v>
      </c>
      <c r="I71" s="11"/>
      <c r="J71" s="20" t="s">
        <v>117</v>
      </c>
      <c r="K71" s="11"/>
      <c r="L71" s="20" t="s">
        <v>117</v>
      </c>
      <c r="M71" s="11"/>
      <c r="N71" s="20" t="s">
        <v>108</v>
      </c>
    </row>
    <row r="72" spans="1:14" ht="12.75">
      <c r="A72" s="11" t="s">
        <v>0</v>
      </c>
      <c r="B72" s="11" t="s">
        <v>1</v>
      </c>
      <c r="C72" s="22" t="s">
        <v>129</v>
      </c>
      <c r="D72" s="22" t="s">
        <v>129</v>
      </c>
      <c r="E72" s="25" t="s">
        <v>129</v>
      </c>
      <c r="F72" s="25" t="s">
        <v>129</v>
      </c>
      <c r="G72" s="25" t="s">
        <v>129</v>
      </c>
      <c r="H72" s="12"/>
      <c r="I72" s="12" t="s">
        <v>82</v>
      </c>
      <c r="J72" s="12" t="s">
        <v>118</v>
      </c>
      <c r="K72" s="12" t="s">
        <v>83</v>
      </c>
      <c r="L72" s="12" t="s">
        <v>83</v>
      </c>
      <c r="M72" s="12" t="s">
        <v>121</v>
      </c>
      <c r="N72" s="11" t="s">
        <v>88</v>
      </c>
    </row>
    <row r="73" spans="1:16" ht="12.75">
      <c r="A73" s="1">
        <v>60460</v>
      </c>
      <c r="B73" s="7" t="s">
        <v>4</v>
      </c>
      <c r="C73" s="26">
        <f>1a!I68</f>
        <v>1609.25</v>
      </c>
      <c r="D73" s="26">
        <f>1a!J68</f>
        <v>0</v>
      </c>
      <c r="E73" s="26">
        <f>1a!K68</f>
        <v>0</v>
      </c>
      <c r="F73" s="26">
        <f>1a!L68</f>
        <v>0</v>
      </c>
      <c r="G73" s="26">
        <f>1a!M68</f>
        <v>0</v>
      </c>
      <c r="I73" s="8" t="s">
        <v>114</v>
      </c>
      <c r="J73" s="8" t="s">
        <v>114</v>
      </c>
      <c r="K73" s="8" t="s">
        <v>114</v>
      </c>
      <c r="L73" s="8" t="s">
        <v>114</v>
      </c>
      <c r="M73" s="8" t="s">
        <v>114</v>
      </c>
      <c r="N73" s="2">
        <f aca="true" t="shared" si="3" ref="N73:N120">IF(I73&lt;&gt;"N/A",(C73*I73)+(E73*K73),0)</f>
        <v>0</v>
      </c>
      <c r="P73" s="1"/>
    </row>
    <row r="74" spans="1:16" ht="12.75">
      <c r="A74" s="1">
        <v>60534</v>
      </c>
      <c r="B74" s="7" t="s">
        <v>7</v>
      </c>
      <c r="C74" s="26">
        <f>1a!I69</f>
        <v>712.5</v>
      </c>
      <c r="D74" s="26">
        <f>1a!J69</f>
        <v>0</v>
      </c>
      <c r="E74" s="26">
        <f>1a!K69</f>
        <v>100.75</v>
      </c>
      <c r="F74" s="26">
        <f>1a!L69</f>
        <v>0</v>
      </c>
      <c r="G74" s="26">
        <f>1a!M69</f>
        <v>177.5</v>
      </c>
      <c r="I74" s="5">
        <v>16.05</v>
      </c>
      <c r="J74" s="8" t="s">
        <v>114</v>
      </c>
      <c r="K74" s="5">
        <f>ROUND(I74*1.5,2)</f>
        <v>24.08</v>
      </c>
      <c r="L74" s="8" t="s">
        <v>114</v>
      </c>
      <c r="M74" s="5">
        <v>1</v>
      </c>
      <c r="N74" s="2">
        <f t="shared" si="3"/>
        <v>13861.685</v>
      </c>
      <c r="P74" s="1"/>
    </row>
    <row r="75" spans="1:16" ht="12.75">
      <c r="A75" s="1">
        <v>60512</v>
      </c>
      <c r="B75" s="7" t="s">
        <v>7</v>
      </c>
      <c r="C75" s="26">
        <f>1a!I70</f>
        <v>2075</v>
      </c>
      <c r="D75" s="26">
        <f>1a!J70</f>
        <v>0</v>
      </c>
      <c r="E75" s="26">
        <f>1a!K70</f>
        <v>541</v>
      </c>
      <c r="F75" s="26">
        <f>1a!L70</f>
        <v>0</v>
      </c>
      <c r="G75" s="26">
        <f>1a!M70</f>
        <v>472</v>
      </c>
      <c r="I75" s="5">
        <v>16.58</v>
      </c>
      <c r="J75" s="8" t="s">
        <v>114</v>
      </c>
      <c r="K75" s="5">
        <f>ROUND(I75*1.5,2)</f>
        <v>24.87</v>
      </c>
      <c r="L75" s="8" t="s">
        <v>114</v>
      </c>
      <c r="M75" s="5">
        <v>1</v>
      </c>
      <c r="N75" s="2">
        <f t="shared" si="3"/>
        <v>47858.17</v>
      </c>
      <c r="P75" s="1"/>
    </row>
    <row r="76" spans="1:16" ht="12.75">
      <c r="A76" s="1">
        <v>30425</v>
      </c>
      <c r="B76" s="7" t="s">
        <v>22</v>
      </c>
      <c r="C76" s="26">
        <f>1a!I71</f>
        <v>2120</v>
      </c>
      <c r="D76" s="26">
        <f>1a!J71</f>
        <v>0</v>
      </c>
      <c r="E76" s="26">
        <f>1a!K71</f>
        <v>82.75</v>
      </c>
      <c r="F76" s="26">
        <f>1a!L71</f>
        <v>0</v>
      </c>
      <c r="G76" s="26">
        <f>1a!M71</f>
        <v>0</v>
      </c>
      <c r="I76" s="5">
        <v>24.83</v>
      </c>
      <c r="J76" s="8" t="s">
        <v>114</v>
      </c>
      <c r="K76" s="5">
        <f>ROUND(I76*1.5,2)</f>
        <v>37.25</v>
      </c>
      <c r="L76" s="8" t="s">
        <v>114</v>
      </c>
      <c r="M76" s="5">
        <v>1</v>
      </c>
      <c r="N76" s="2">
        <f t="shared" si="3"/>
        <v>55722.0375</v>
      </c>
      <c r="P76" s="1"/>
    </row>
    <row r="77" spans="1:16" ht="12.75">
      <c r="A77" s="1">
        <v>20660</v>
      </c>
      <c r="B77" s="7" t="s">
        <v>13</v>
      </c>
      <c r="C77" s="26">
        <f>1a!I72</f>
        <v>2080</v>
      </c>
      <c r="D77" s="26">
        <f>1a!J72</f>
        <v>0</v>
      </c>
      <c r="E77" s="26">
        <f>1a!K72</f>
        <v>152.5</v>
      </c>
      <c r="F77" s="26">
        <f>1a!L72</f>
        <v>0</v>
      </c>
      <c r="G77" s="26">
        <f>1a!M72</f>
        <v>0</v>
      </c>
      <c r="I77" s="5">
        <v>14.87</v>
      </c>
      <c r="J77" s="8" t="s">
        <v>114</v>
      </c>
      <c r="K77" s="5">
        <f>ROUND(I77*1.5,2)</f>
        <v>22.31</v>
      </c>
      <c r="L77" s="8" t="s">
        <v>114</v>
      </c>
      <c r="M77" s="5">
        <v>1</v>
      </c>
      <c r="N77" s="2">
        <f t="shared" si="3"/>
        <v>34331.875</v>
      </c>
      <c r="P77" s="1"/>
    </row>
    <row r="78" spans="1:16" ht="12.75">
      <c r="A78" s="1">
        <v>40420</v>
      </c>
      <c r="B78" s="7" t="s">
        <v>32</v>
      </c>
      <c r="C78" s="26">
        <f>1a!I73</f>
        <v>1380.09</v>
      </c>
      <c r="D78" s="26">
        <f>1a!J73</f>
        <v>0</v>
      </c>
      <c r="E78" s="26">
        <f>1a!K73</f>
        <v>165.5</v>
      </c>
      <c r="F78" s="26">
        <f>1a!L73</f>
        <v>0</v>
      </c>
      <c r="G78" s="26">
        <f>1a!M73</f>
        <v>272.25</v>
      </c>
      <c r="I78" s="8" t="s">
        <v>114</v>
      </c>
      <c r="J78" s="8" t="s">
        <v>114</v>
      </c>
      <c r="K78" s="8" t="s">
        <v>114</v>
      </c>
      <c r="L78" s="8" t="s">
        <v>114</v>
      </c>
      <c r="M78" s="8" t="s">
        <v>114</v>
      </c>
      <c r="N78" s="2">
        <f t="shared" si="3"/>
        <v>0</v>
      </c>
      <c r="P78" s="1"/>
    </row>
    <row r="79" spans="1:16" ht="12.75">
      <c r="A79" s="1">
        <v>60375</v>
      </c>
      <c r="B79" s="7" t="s">
        <v>33</v>
      </c>
      <c r="C79" s="26">
        <f>1a!I74</f>
        <v>522</v>
      </c>
      <c r="D79" s="26">
        <f>1a!J74</f>
        <v>0</v>
      </c>
      <c r="E79" s="26">
        <f>1a!K74</f>
        <v>0</v>
      </c>
      <c r="F79" s="26">
        <f>1a!L74</f>
        <v>0</v>
      </c>
      <c r="G79" s="26">
        <f>1a!M74</f>
        <v>0</v>
      </c>
      <c r="I79" s="8" t="s">
        <v>114</v>
      </c>
      <c r="J79" s="8" t="s">
        <v>114</v>
      </c>
      <c r="K79" s="8" t="s">
        <v>114</v>
      </c>
      <c r="L79" s="8" t="s">
        <v>114</v>
      </c>
      <c r="M79" s="8" t="s">
        <v>114</v>
      </c>
      <c r="N79" s="2">
        <f t="shared" si="3"/>
        <v>0</v>
      </c>
      <c r="P79" s="1"/>
    </row>
    <row r="80" spans="1:16" ht="12.75">
      <c r="A80" s="1">
        <v>40425</v>
      </c>
      <c r="B80" s="7" t="s">
        <v>22</v>
      </c>
      <c r="C80" s="26">
        <f>1a!I75</f>
        <v>1818.55</v>
      </c>
      <c r="D80" s="26">
        <f>1a!J75</f>
        <v>0</v>
      </c>
      <c r="E80" s="26">
        <f>1a!K75</f>
        <v>76</v>
      </c>
      <c r="F80" s="26">
        <f>1a!L75</f>
        <v>0</v>
      </c>
      <c r="G80" s="26">
        <f>1a!M75</f>
        <v>90.75</v>
      </c>
      <c r="I80" s="5">
        <v>18.96</v>
      </c>
      <c r="J80" s="8" t="s">
        <v>114</v>
      </c>
      <c r="K80" s="5">
        <f>ROUND(I80*1.5,2)</f>
        <v>28.44</v>
      </c>
      <c r="L80" s="8" t="s">
        <v>114</v>
      </c>
      <c r="M80" s="5">
        <v>1</v>
      </c>
      <c r="N80" s="2">
        <f t="shared" si="3"/>
        <v>36641.148</v>
      </c>
      <c r="P80" s="1"/>
    </row>
    <row r="81" spans="1:16" ht="12.75">
      <c r="A81" s="1">
        <v>10300</v>
      </c>
      <c r="B81" s="7" t="s">
        <v>34</v>
      </c>
      <c r="C81" s="26">
        <f>1a!I76</f>
        <v>2128</v>
      </c>
      <c r="D81" s="26">
        <f>1a!J76</f>
        <v>0</v>
      </c>
      <c r="E81" s="26">
        <f>1a!K76</f>
        <v>0</v>
      </c>
      <c r="F81" s="26">
        <f>1a!L76</f>
        <v>0</v>
      </c>
      <c r="G81" s="26">
        <f>1a!M76</f>
        <v>0</v>
      </c>
      <c r="I81" s="8" t="s">
        <v>114</v>
      </c>
      <c r="J81" s="8" t="s">
        <v>114</v>
      </c>
      <c r="K81" s="8" t="s">
        <v>114</v>
      </c>
      <c r="L81" s="8" t="s">
        <v>114</v>
      </c>
      <c r="M81" s="8" t="s">
        <v>114</v>
      </c>
      <c r="N81" s="2">
        <f t="shared" si="3"/>
        <v>0</v>
      </c>
      <c r="P81" s="1"/>
    </row>
    <row r="82" spans="1:16" ht="12.75">
      <c r="A82" s="1">
        <v>40450</v>
      </c>
      <c r="B82" s="7" t="s">
        <v>35</v>
      </c>
      <c r="C82" s="26">
        <f>1a!I77</f>
        <v>2120</v>
      </c>
      <c r="D82" s="26">
        <f>1a!J77</f>
        <v>0</v>
      </c>
      <c r="E82" s="26">
        <f>1a!K77</f>
        <v>0</v>
      </c>
      <c r="F82" s="26">
        <f>1a!L77</f>
        <v>0</v>
      </c>
      <c r="G82" s="26">
        <f>1a!M77</f>
        <v>0</v>
      </c>
      <c r="I82" s="5">
        <v>35.49</v>
      </c>
      <c r="J82" s="8" t="s">
        <v>114</v>
      </c>
      <c r="K82" s="5">
        <f aca="true" t="shared" si="4" ref="K82:K89">ROUND(I82*1.5,2)</f>
        <v>53.24</v>
      </c>
      <c r="L82" s="8" t="s">
        <v>114</v>
      </c>
      <c r="M82" s="5">
        <v>1</v>
      </c>
      <c r="N82" s="2">
        <f t="shared" si="3"/>
        <v>75238.8</v>
      </c>
      <c r="P82" s="1"/>
    </row>
    <row r="83" spans="1:16" ht="12.75">
      <c r="A83" s="1">
        <v>40475</v>
      </c>
      <c r="B83" s="7" t="s">
        <v>22</v>
      </c>
      <c r="C83" s="26">
        <f>1a!I78</f>
        <v>2079.5</v>
      </c>
      <c r="D83" s="26">
        <f>1a!J78</f>
        <v>0</v>
      </c>
      <c r="E83" s="26">
        <f>1a!K78</f>
        <v>183</v>
      </c>
      <c r="F83" s="26">
        <f>1a!L78</f>
        <v>0</v>
      </c>
      <c r="G83" s="26">
        <f>1a!M78</f>
        <v>139.25</v>
      </c>
      <c r="I83" s="5">
        <v>19</v>
      </c>
      <c r="J83" s="8" t="s">
        <v>114</v>
      </c>
      <c r="K83" s="5">
        <f t="shared" si="4"/>
        <v>28.5</v>
      </c>
      <c r="L83" s="8" t="s">
        <v>114</v>
      </c>
      <c r="M83" s="5">
        <v>1</v>
      </c>
      <c r="N83" s="2">
        <f t="shared" si="3"/>
        <v>44726</v>
      </c>
      <c r="P83" s="1"/>
    </row>
    <row r="84" spans="1:16" ht="12.75">
      <c r="A84" s="1">
        <v>40460</v>
      </c>
      <c r="B84" s="7" t="s">
        <v>36</v>
      </c>
      <c r="C84" s="26">
        <f>1a!I79</f>
        <v>2080</v>
      </c>
      <c r="D84" s="26">
        <f>1a!J79</f>
        <v>0</v>
      </c>
      <c r="E84" s="26">
        <f>1a!K79</f>
        <v>30.5</v>
      </c>
      <c r="F84" s="26">
        <f>1a!L79</f>
        <v>0</v>
      </c>
      <c r="G84" s="26">
        <f>1a!M79</f>
        <v>0</v>
      </c>
      <c r="I84" s="5">
        <v>20.6</v>
      </c>
      <c r="J84" s="8" t="s">
        <v>114</v>
      </c>
      <c r="K84" s="5">
        <f t="shared" si="4"/>
        <v>30.9</v>
      </c>
      <c r="L84" s="8" t="s">
        <v>114</v>
      </c>
      <c r="M84" s="5">
        <v>1</v>
      </c>
      <c r="N84" s="2">
        <f t="shared" si="3"/>
        <v>43790.45</v>
      </c>
      <c r="P84" s="1"/>
    </row>
    <row r="85" spans="1:16" ht="12.75">
      <c r="A85" s="1">
        <v>30450</v>
      </c>
      <c r="B85" s="7" t="s">
        <v>37</v>
      </c>
      <c r="C85" s="26">
        <f>1a!I80</f>
        <v>2080</v>
      </c>
      <c r="D85" s="26">
        <f>1a!J80</f>
        <v>0</v>
      </c>
      <c r="E85" s="26">
        <f>1a!K80</f>
        <v>234.75</v>
      </c>
      <c r="F85" s="26">
        <f>1a!L80</f>
        <v>0</v>
      </c>
      <c r="G85" s="26">
        <f>1a!M80</f>
        <v>100.75</v>
      </c>
      <c r="I85" s="5">
        <v>32.84</v>
      </c>
      <c r="J85" s="8" t="s">
        <v>114</v>
      </c>
      <c r="K85" s="5">
        <f t="shared" si="4"/>
        <v>49.26</v>
      </c>
      <c r="L85" s="8" t="s">
        <v>114</v>
      </c>
      <c r="M85" s="5">
        <v>1</v>
      </c>
      <c r="N85" s="2">
        <f t="shared" si="3"/>
        <v>79870.98500000002</v>
      </c>
      <c r="P85" s="1"/>
    </row>
    <row r="86" spans="1:16" ht="12.75">
      <c r="A86" s="1">
        <v>20670</v>
      </c>
      <c r="B86" s="7" t="s">
        <v>8</v>
      </c>
      <c r="C86" s="26">
        <f>1a!I81</f>
        <v>208</v>
      </c>
      <c r="D86" s="26">
        <f>1a!J81</f>
        <v>1912</v>
      </c>
      <c r="E86" s="26">
        <f>1a!K81</f>
        <v>23.5</v>
      </c>
      <c r="F86" s="26">
        <f>1a!L81</f>
        <v>0</v>
      </c>
      <c r="G86" s="26">
        <f>1a!M81</f>
        <v>0</v>
      </c>
      <c r="I86" s="5">
        <v>20.87</v>
      </c>
      <c r="J86" s="5">
        <f>I86+1</f>
        <v>21.87</v>
      </c>
      <c r="K86" s="5">
        <f t="shared" si="4"/>
        <v>31.31</v>
      </c>
      <c r="L86" s="5">
        <f>ROUND(J86*1.5,2)</f>
        <v>32.81</v>
      </c>
      <c r="M86" s="5">
        <v>1</v>
      </c>
      <c r="N86" s="2">
        <f>IF(I86&lt;&gt;"N/A",(C86*I86)+(D86*J86)+(E86*K86)+(F86*L86)+(G86*M86),0)</f>
        <v>46892.185000000005</v>
      </c>
      <c r="P86" s="1"/>
    </row>
    <row r="87" spans="1:16" ht="12.75">
      <c r="A87" s="1">
        <v>60510</v>
      </c>
      <c r="B87" s="7" t="s">
        <v>38</v>
      </c>
      <c r="C87" s="26">
        <f>1a!I82</f>
        <v>2080</v>
      </c>
      <c r="D87" s="26">
        <f>1a!J82</f>
        <v>0</v>
      </c>
      <c r="E87" s="26">
        <f>1a!K82</f>
        <v>454</v>
      </c>
      <c r="F87" s="26">
        <f>1a!L82</f>
        <v>0</v>
      </c>
      <c r="G87" s="26">
        <f>1a!M82</f>
        <v>1892</v>
      </c>
      <c r="I87" s="5">
        <v>18.87</v>
      </c>
      <c r="J87" s="8" t="s">
        <v>114</v>
      </c>
      <c r="K87" s="5">
        <f t="shared" si="4"/>
        <v>28.31</v>
      </c>
      <c r="L87" s="8" t="s">
        <v>114</v>
      </c>
      <c r="M87" s="5">
        <v>1</v>
      </c>
      <c r="N87" s="2">
        <f t="shared" si="3"/>
        <v>52102.34</v>
      </c>
      <c r="P87" s="1"/>
    </row>
    <row r="88" spans="1:16" ht="12.75">
      <c r="A88" s="1">
        <v>60524</v>
      </c>
      <c r="B88" s="7" t="s">
        <v>7</v>
      </c>
      <c r="C88" s="26">
        <f>1a!I83</f>
        <v>1778.75</v>
      </c>
      <c r="D88" s="26">
        <f>1a!J83</f>
        <v>0</v>
      </c>
      <c r="E88" s="26">
        <f>1a!K83</f>
        <v>335.25</v>
      </c>
      <c r="F88" s="26">
        <f>1a!L83</f>
        <v>0</v>
      </c>
      <c r="G88" s="26">
        <f>1a!M83</f>
        <v>722</v>
      </c>
      <c r="I88" s="5">
        <v>16.23</v>
      </c>
      <c r="J88" s="8" t="s">
        <v>114</v>
      </c>
      <c r="K88" s="5">
        <f t="shared" si="4"/>
        <v>24.35</v>
      </c>
      <c r="L88" s="8" t="s">
        <v>114</v>
      </c>
      <c r="M88" s="5">
        <v>1</v>
      </c>
      <c r="N88" s="2">
        <f t="shared" si="3"/>
        <v>37032.45</v>
      </c>
      <c r="P88" s="1"/>
    </row>
    <row r="89" spans="1:16" ht="12.75">
      <c r="A89" s="1">
        <v>40515</v>
      </c>
      <c r="B89" s="7" t="s">
        <v>7</v>
      </c>
      <c r="C89" s="26">
        <f>1a!I84</f>
        <v>2077.25</v>
      </c>
      <c r="D89" s="26">
        <f>1a!J84</f>
        <v>0</v>
      </c>
      <c r="E89" s="26">
        <f>1a!K84</f>
        <v>179</v>
      </c>
      <c r="F89" s="26">
        <f>1a!L84</f>
        <v>0</v>
      </c>
      <c r="G89" s="26">
        <f>1a!M84</f>
        <v>518</v>
      </c>
      <c r="I89" s="5">
        <v>22.11</v>
      </c>
      <c r="J89" s="8" t="s">
        <v>114</v>
      </c>
      <c r="K89" s="5">
        <f t="shared" si="4"/>
        <v>33.17</v>
      </c>
      <c r="L89" s="8" t="s">
        <v>114</v>
      </c>
      <c r="M89" s="5">
        <v>1</v>
      </c>
      <c r="N89" s="2">
        <f t="shared" si="3"/>
        <v>51865.4275</v>
      </c>
      <c r="P89" s="1"/>
    </row>
    <row r="90" spans="1:16" ht="12.75">
      <c r="A90" s="1">
        <v>30460</v>
      </c>
      <c r="B90" s="7" t="s">
        <v>7</v>
      </c>
      <c r="C90" s="26">
        <f>1a!I85</f>
        <v>1193.16</v>
      </c>
      <c r="D90" s="26">
        <f>1a!J85</f>
        <v>0</v>
      </c>
      <c r="E90" s="26">
        <f>1a!K85</f>
        <v>132</v>
      </c>
      <c r="F90" s="26">
        <f>1a!L85</f>
        <v>0</v>
      </c>
      <c r="G90" s="26">
        <f>1a!M85</f>
        <v>243.25</v>
      </c>
      <c r="I90" s="8" t="s">
        <v>114</v>
      </c>
      <c r="J90" s="8" t="s">
        <v>114</v>
      </c>
      <c r="K90" s="8" t="s">
        <v>114</v>
      </c>
      <c r="L90" s="8" t="s">
        <v>114</v>
      </c>
      <c r="M90" s="8" t="s">
        <v>114</v>
      </c>
      <c r="N90" s="2">
        <f t="shared" si="3"/>
        <v>0</v>
      </c>
      <c r="P90" s="1"/>
    </row>
    <row r="91" spans="1:16" ht="12.75">
      <c r="A91" s="1">
        <v>60485</v>
      </c>
      <c r="B91" s="7" t="s">
        <v>4</v>
      </c>
      <c r="C91" s="26">
        <f>1a!I86</f>
        <v>2080</v>
      </c>
      <c r="D91" s="26">
        <f>1a!J86</f>
        <v>0</v>
      </c>
      <c r="E91" s="26">
        <f>1a!K86</f>
        <v>11.25</v>
      </c>
      <c r="F91" s="26">
        <f>1a!L86</f>
        <v>0</v>
      </c>
      <c r="G91" s="26">
        <f>1a!M86</f>
        <v>0</v>
      </c>
      <c r="I91" s="8" t="s">
        <v>114</v>
      </c>
      <c r="J91" s="8" t="s">
        <v>114</v>
      </c>
      <c r="K91" s="8" t="s">
        <v>114</v>
      </c>
      <c r="L91" s="8" t="s">
        <v>114</v>
      </c>
      <c r="M91" s="8" t="s">
        <v>114</v>
      </c>
      <c r="N91" s="2">
        <f t="shared" si="3"/>
        <v>0</v>
      </c>
      <c r="P91" s="1"/>
    </row>
    <row r="92" spans="1:16" ht="12.75">
      <c r="A92" s="1">
        <v>60479</v>
      </c>
      <c r="B92" s="7" t="s">
        <v>3</v>
      </c>
      <c r="C92" s="26">
        <f>1a!I87</f>
        <v>2080</v>
      </c>
      <c r="D92" s="26">
        <f>1a!J87</f>
        <v>0</v>
      </c>
      <c r="E92" s="26">
        <f>1a!K87</f>
        <v>446</v>
      </c>
      <c r="F92" s="26">
        <f>1a!L87</f>
        <v>0</v>
      </c>
      <c r="G92" s="26">
        <f>1a!M87</f>
        <v>784</v>
      </c>
      <c r="I92" s="5">
        <v>17.08</v>
      </c>
      <c r="J92" s="8" t="s">
        <v>114</v>
      </c>
      <c r="K92" s="5">
        <f>ROUND(I92*1.5,2)</f>
        <v>25.62</v>
      </c>
      <c r="L92" s="8" t="s">
        <v>114</v>
      </c>
      <c r="M92" s="5">
        <v>1</v>
      </c>
      <c r="N92" s="2">
        <f t="shared" si="3"/>
        <v>46952.92</v>
      </c>
      <c r="P92" s="1"/>
    </row>
    <row r="93" spans="1:16" ht="12.75">
      <c r="A93" s="1">
        <v>30475</v>
      </c>
      <c r="B93" s="7" t="s">
        <v>39</v>
      </c>
      <c r="C93" s="26">
        <f>1a!I88</f>
        <v>1476</v>
      </c>
      <c r="D93" s="26">
        <f>1a!J88</f>
        <v>0</v>
      </c>
      <c r="E93" s="26">
        <f>1a!K88</f>
        <v>102.5</v>
      </c>
      <c r="F93" s="26">
        <f>1a!L88</f>
        <v>0</v>
      </c>
      <c r="G93" s="26">
        <f>1a!M88</f>
        <v>516</v>
      </c>
      <c r="I93" s="5">
        <v>24.11</v>
      </c>
      <c r="J93" s="8" t="s">
        <v>114</v>
      </c>
      <c r="K93" s="5">
        <f>ROUND(I93*1.5,2)</f>
        <v>36.17</v>
      </c>
      <c r="L93" s="8" t="s">
        <v>114</v>
      </c>
      <c r="M93" s="5">
        <v>1</v>
      </c>
      <c r="N93" s="2">
        <f t="shared" si="3"/>
        <v>39293.785</v>
      </c>
      <c r="P93" s="1"/>
    </row>
    <row r="94" spans="1:16" ht="12.75">
      <c r="A94" s="1">
        <v>60489</v>
      </c>
      <c r="B94" s="7" t="s">
        <v>40</v>
      </c>
      <c r="C94" s="26">
        <f>1a!I98</f>
        <v>2080</v>
      </c>
      <c r="D94" s="26">
        <f>1a!J98</f>
        <v>0</v>
      </c>
      <c r="E94" s="26">
        <f>1a!K98</f>
        <v>157.5</v>
      </c>
      <c r="F94" s="26">
        <f>1a!L98</f>
        <v>53.5</v>
      </c>
      <c r="G94" s="26">
        <f>1a!M98</f>
        <v>3247</v>
      </c>
      <c r="I94" s="5">
        <v>23.4</v>
      </c>
      <c r="J94" s="8">
        <f>+I94+1</f>
        <v>24.4</v>
      </c>
      <c r="K94" s="5">
        <f>ROUND(I94*1.5,2)</f>
        <v>35.1</v>
      </c>
      <c r="L94" s="5">
        <f>ROUND(J94*1.5,2)</f>
        <v>36.6</v>
      </c>
      <c r="M94" s="5">
        <v>1</v>
      </c>
      <c r="N94" s="2">
        <f>IF(I94&lt;&gt;"N/A",(C94*I94)+(D94*J94)+(E94*K94)+(F94*L94)+(G94*M94),0)</f>
        <v>59405.35</v>
      </c>
      <c r="P94" s="1"/>
    </row>
    <row r="95" spans="1:16" ht="12.75">
      <c r="A95" s="1">
        <v>40520</v>
      </c>
      <c r="B95" s="7" t="s">
        <v>41</v>
      </c>
      <c r="C95" s="26">
        <f>1a!I99</f>
        <v>2120</v>
      </c>
      <c r="D95" s="26">
        <f>1a!J99</f>
        <v>0</v>
      </c>
      <c r="E95" s="26">
        <f>1a!K99</f>
        <v>0</v>
      </c>
      <c r="F95" s="26">
        <f>1a!L99</f>
        <v>0</v>
      </c>
      <c r="G95" s="26">
        <f>1a!M99</f>
        <v>0</v>
      </c>
      <c r="H95" s="13"/>
      <c r="I95" s="5">
        <v>26.72</v>
      </c>
      <c r="J95" s="8" t="s">
        <v>114</v>
      </c>
      <c r="K95" s="5">
        <f>ROUND(I95*1.5,2)</f>
        <v>40.08</v>
      </c>
      <c r="L95" s="8" t="s">
        <v>114</v>
      </c>
      <c r="M95" s="5">
        <v>1</v>
      </c>
      <c r="N95" s="2">
        <f t="shared" si="3"/>
        <v>56646.399999999994</v>
      </c>
      <c r="P95" s="1"/>
    </row>
    <row r="96" spans="1:16" ht="12.75">
      <c r="A96" s="1">
        <v>20678</v>
      </c>
      <c r="B96" s="7" t="s">
        <v>8</v>
      </c>
      <c r="C96" s="26">
        <f>1a!I100</f>
        <v>2072</v>
      </c>
      <c r="D96" s="26">
        <f>1a!J100</f>
        <v>0</v>
      </c>
      <c r="E96" s="26">
        <f>1a!K100</f>
        <v>100</v>
      </c>
      <c r="F96" s="26">
        <f>1a!L100</f>
        <v>0</v>
      </c>
      <c r="G96" s="26">
        <f>1a!M100</f>
        <v>0</v>
      </c>
      <c r="H96" s="13"/>
      <c r="I96" s="5">
        <v>19.5</v>
      </c>
      <c r="J96" s="8">
        <f>+I96+1</f>
        <v>20.5</v>
      </c>
      <c r="K96" s="5">
        <f>ROUND(I96*1.5,2)</f>
        <v>29.25</v>
      </c>
      <c r="L96" s="5">
        <f>ROUND(J96*1.5,2)</f>
        <v>30.75</v>
      </c>
      <c r="M96" s="5">
        <v>1</v>
      </c>
      <c r="N96" s="2">
        <f>IF(I96&lt;&gt;"N/A",(C96*I96)+(D96*J96)+(E96*K96)+(F96*L96)+(G96*M96),0)</f>
        <v>43329</v>
      </c>
      <c r="P96" s="1"/>
    </row>
    <row r="97" spans="1:16" ht="12.75">
      <c r="A97" s="1">
        <v>41340</v>
      </c>
      <c r="B97" s="7" t="s">
        <v>42</v>
      </c>
      <c r="C97" s="26">
        <f>1a!I101</f>
        <v>84</v>
      </c>
      <c r="D97" s="26">
        <f>1a!J101</f>
        <v>0</v>
      </c>
      <c r="E97" s="26">
        <f>1a!K101</f>
        <v>0</v>
      </c>
      <c r="F97" s="26">
        <f>1a!L101</f>
        <v>0</v>
      </c>
      <c r="G97" s="26">
        <f>1a!M101</f>
        <v>0</v>
      </c>
      <c r="H97" s="13"/>
      <c r="I97" s="8" t="s">
        <v>114</v>
      </c>
      <c r="J97" s="8" t="s">
        <v>114</v>
      </c>
      <c r="K97" s="8" t="s">
        <v>114</v>
      </c>
      <c r="L97" s="8" t="s">
        <v>114</v>
      </c>
      <c r="M97" s="8" t="s">
        <v>114</v>
      </c>
      <c r="N97" s="2">
        <f t="shared" si="3"/>
        <v>0</v>
      </c>
      <c r="P97" s="1"/>
    </row>
    <row r="98" spans="1:16" ht="12.75">
      <c r="A98" s="1">
        <v>60533</v>
      </c>
      <c r="B98" s="7" t="s">
        <v>43</v>
      </c>
      <c r="C98" s="26">
        <f>1a!I102</f>
        <v>840</v>
      </c>
      <c r="D98" s="26">
        <f>1a!J102</f>
        <v>0</v>
      </c>
      <c r="E98" s="26">
        <f>1a!K102</f>
        <v>10.5</v>
      </c>
      <c r="F98" s="26">
        <f>1a!L102</f>
        <v>0</v>
      </c>
      <c r="G98" s="26">
        <f>1a!M102</f>
        <v>0</v>
      </c>
      <c r="H98" s="9"/>
      <c r="I98" s="5">
        <v>18.54</v>
      </c>
      <c r="J98" s="8" t="s">
        <v>114</v>
      </c>
      <c r="K98" s="5">
        <f>ROUND(I98*1.5,2)</f>
        <v>27.81</v>
      </c>
      <c r="L98" s="8" t="s">
        <v>114</v>
      </c>
      <c r="M98" s="5">
        <v>1</v>
      </c>
      <c r="N98" s="2">
        <f t="shared" si="3"/>
        <v>15865.604999999998</v>
      </c>
      <c r="P98" s="1"/>
    </row>
    <row r="99" spans="1:16" ht="12.75">
      <c r="A99" s="1">
        <v>30560</v>
      </c>
      <c r="B99" s="7" t="s">
        <v>3</v>
      </c>
      <c r="C99" s="26">
        <f>1a!I103</f>
        <v>2040.5</v>
      </c>
      <c r="D99" s="26">
        <f>1a!J103</f>
        <v>0</v>
      </c>
      <c r="E99" s="26">
        <f>1a!K103</f>
        <v>481.5</v>
      </c>
      <c r="F99" s="26">
        <f>1a!L103</f>
        <v>0</v>
      </c>
      <c r="G99" s="26">
        <f>1a!M103</f>
        <v>441.5</v>
      </c>
      <c r="H99" s="13"/>
      <c r="I99" s="5">
        <v>23.56</v>
      </c>
      <c r="J99" s="8" t="s">
        <v>114</v>
      </c>
      <c r="K99" s="5">
        <f>ROUND(I99*1.5,2)</f>
        <v>35.34</v>
      </c>
      <c r="L99" s="8" t="s">
        <v>114</v>
      </c>
      <c r="M99" s="5">
        <v>1</v>
      </c>
      <c r="N99" s="2">
        <f t="shared" si="3"/>
        <v>65090.39</v>
      </c>
      <c r="P99" s="1"/>
    </row>
    <row r="100" spans="1:16" ht="12.75">
      <c r="A100" s="1">
        <v>30550</v>
      </c>
      <c r="B100" s="7" t="s">
        <v>30</v>
      </c>
      <c r="C100" s="26">
        <f>1a!I104</f>
        <v>176</v>
      </c>
      <c r="D100" s="26">
        <f>1a!J104</f>
        <v>0</v>
      </c>
      <c r="E100" s="26">
        <f>1a!K104</f>
        <v>0</v>
      </c>
      <c r="F100" s="26">
        <f>1a!L104</f>
        <v>0</v>
      </c>
      <c r="G100" s="26">
        <f>1a!M104</f>
        <v>0</v>
      </c>
      <c r="H100" s="11"/>
      <c r="I100" s="8" t="s">
        <v>114</v>
      </c>
      <c r="J100" s="8" t="s">
        <v>114</v>
      </c>
      <c r="K100" s="8" t="s">
        <v>114</v>
      </c>
      <c r="L100" s="8" t="s">
        <v>114</v>
      </c>
      <c r="M100" s="8" t="s">
        <v>114</v>
      </c>
      <c r="N100" s="2">
        <f t="shared" si="3"/>
        <v>0</v>
      </c>
      <c r="P100" s="1"/>
    </row>
    <row r="101" spans="1:16" ht="12.75">
      <c r="A101" s="1">
        <v>60504</v>
      </c>
      <c r="B101" s="7" t="s">
        <v>4</v>
      </c>
      <c r="C101" s="26">
        <f>1a!I105</f>
        <v>2080</v>
      </c>
      <c r="D101" s="26">
        <f>1a!J105</f>
        <v>0</v>
      </c>
      <c r="E101" s="26">
        <f>1a!K105</f>
        <v>5.5</v>
      </c>
      <c r="F101" s="26">
        <f>1a!L105</f>
        <v>0</v>
      </c>
      <c r="G101" s="26">
        <f>1a!M105</f>
        <v>0</v>
      </c>
      <c r="H101" s="11"/>
      <c r="I101" s="8" t="s">
        <v>114</v>
      </c>
      <c r="J101" s="8" t="s">
        <v>114</v>
      </c>
      <c r="K101" s="8" t="s">
        <v>114</v>
      </c>
      <c r="L101" s="8" t="s">
        <v>114</v>
      </c>
      <c r="M101" s="8" t="s">
        <v>114</v>
      </c>
      <c r="N101" s="2">
        <f t="shared" si="3"/>
        <v>0</v>
      </c>
      <c r="P101" s="1"/>
    </row>
    <row r="102" spans="1:16" ht="12.75">
      <c r="A102" s="1">
        <v>60456</v>
      </c>
      <c r="B102" s="7" t="s">
        <v>8</v>
      </c>
      <c r="C102" s="26">
        <f>1a!I106</f>
        <v>376</v>
      </c>
      <c r="D102" s="26">
        <f>1a!J106</f>
        <v>1704</v>
      </c>
      <c r="E102" s="26">
        <f>1a!K106</f>
        <v>18.249999999999993</v>
      </c>
      <c r="F102" s="26">
        <f>1a!L106</f>
        <v>58.35</v>
      </c>
      <c r="G102" s="26">
        <f>1a!M106</f>
        <v>0</v>
      </c>
      <c r="I102" s="5">
        <v>19.39</v>
      </c>
      <c r="J102" s="5">
        <f>I102+1</f>
        <v>20.39</v>
      </c>
      <c r="K102" s="5">
        <f>ROUND(I102*1.5,2)</f>
        <v>29.09</v>
      </c>
      <c r="L102" s="5">
        <f>ROUND(J102*1.5,2)</f>
        <v>30.59</v>
      </c>
      <c r="M102" s="5">
        <v>1</v>
      </c>
      <c r="N102" s="2">
        <f>IF(I102&lt;&gt;"N/A",(C102*I102)+(D102*J102)+(E102*K102)+(F102*L102)+(G102*M102),0)</f>
        <v>44351.019</v>
      </c>
      <c r="P102" s="1"/>
    </row>
    <row r="103" spans="1:16" ht="12.75">
      <c r="A103" s="1">
        <v>30610</v>
      </c>
      <c r="B103" s="7" t="s">
        <v>29</v>
      </c>
      <c r="C103" s="26">
        <f>1a!I107</f>
        <v>2120</v>
      </c>
      <c r="D103" s="26">
        <f>1a!J107</f>
        <v>0</v>
      </c>
      <c r="E103" s="26">
        <f>1a!K107</f>
        <v>228.58</v>
      </c>
      <c r="F103" s="26">
        <f>1a!L107</f>
        <v>0</v>
      </c>
      <c r="G103" s="26">
        <f>1a!M107</f>
        <v>0</v>
      </c>
      <c r="H103" s="12"/>
      <c r="I103" s="5">
        <v>28.1</v>
      </c>
      <c r="J103" s="8" t="s">
        <v>114</v>
      </c>
      <c r="K103" s="5">
        <f>ROUND(I103*1.5,2)</f>
        <v>42.15</v>
      </c>
      <c r="L103" s="8" t="s">
        <v>114</v>
      </c>
      <c r="M103" s="5">
        <v>1</v>
      </c>
      <c r="N103" s="2">
        <f t="shared" si="3"/>
        <v>69206.647</v>
      </c>
      <c r="P103" s="1"/>
    </row>
    <row r="104" spans="1:16" ht="12.75">
      <c r="A104" s="1">
        <v>60505</v>
      </c>
      <c r="B104" s="7" t="s">
        <v>8</v>
      </c>
      <c r="C104" s="26">
        <f>1a!I108</f>
        <v>312</v>
      </c>
      <c r="D104" s="26">
        <f>1a!J108</f>
        <v>1808</v>
      </c>
      <c r="E104" s="26">
        <f>1a!K108</f>
        <v>34</v>
      </c>
      <c r="F104" s="26">
        <f>1a!L108</f>
        <v>116</v>
      </c>
      <c r="G104" s="26">
        <f>1a!M108</f>
        <v>0</v>
      </c>
      <c r="I104" s="5">
        <v>19.11</v>
      </c>
      <c r="J104" s="5">
        <f>I104+1</f>
        <v>20.11</v>
      </c>
      <c r="K104" s="5">
        <f>ROUND(I104*1.5,2)</f>
        <v>28.67</v>
      </c>
      <c r="L104" s="5">
        <f>ROUND(J104*1.5,2)</f>
        <v>30.17</v>
      </c>
      <c r="M104" s="5">
        <v>1</v>
      </c>
      <c r="N104" s="2">
        <f>IF(I104&lt;&gt;"N/A",(C104*I104)+(D104*J104)+(E104*K104)+(F104*L104)+(G104*M104),0)</f>
        <v>46795.7</v>
      </c>
      <c r="P104" s="1"/>
    </row>
    <row r="105" spans="1:16" ht="12.75">
      <c r="A105" s="1">
        <v>60515</v>
      </c>
      <c r="B105" s="7" t="s">
        <v>7</v>
      </c>
      <c r="C105" s="26">
        <f>1a!I109</f>
        <v>2080.25</v>
      </c>
      <c r="D105" s="26">
        <f>1a!J109</f>
        <v>0</v>
      </c>
      <c r="E105" s="26">
        <f>1a!K109</f>
        <v>818.25</v>
      </c>
      <c r="F105" s="26">
        <f>1a!L109</f>
        <v>0</v>
      </c>
      <c r="G105" s="26">
        <f>1a!M109</f>
        <v>1266.5</v>
      </c>
      <c r="I105" s="5">
        <v>16.5</v>
      </c>
      <c r="J105" s="8" t="s">
        <v>114</v>
      </c>
      <c r="K105" s="5">
        <f>ROUND(I105*1.5,2)</f>
        <v>24.75</v>
      </c>
      <c r="L105" s="8" t="s">
        <v>114</v>
      </c>
      <c r="M105" s="5">
        <v>1</v>
      </c>
      <c r="N105" s="2">
        <f t="shared" si="3"/>
        <v>54575.8125</v>
      </c>
      <c r="P105" s="1"/>
    </row>
    <row r="106" spans="1:16" ht="12.75">
      <c r="A106" s="1">
        <v>60522</v>
      </c>
      <c r="B106" s="7" t="s">
        <v>4</v>
      </c>
      <c r="C106" s="26">
        <f>1a!I110</f>
        <v>1876.5</v>
      </c>
      <c r="D106" s="26">
        <f>1a!J110</f>
        <v>0</v>
      </c>
      <c r="E106" s="26">
        <f>1a!K110</f>
        <v>3.75</v>
      </c>
      <c r="F106" s="26">
        <f>1a!L110</f>
        <v>0</v>
      </c>
      <c r="G106" s="26">
        <f>1a!M110</f>
        <v>0</v>
      </c>
      <c r="I106" s="5">
        <v>14.1</v>
      </c>
      <c r="J106" s="8" t="s">
        <v>114</v>
      </c>
      <c r="K106" s="5">
        <f>ROUND(I106*1.5,2)</f>
        <v>21.15</v>
      </c>
      <c r="L106" s="8" t="s">
        <v>114</v>
      </c>
      <c r="M106" s="5">
        <v>1</v>
      </c>
      <c r="N106" s="2">
        <f t="shared" si="3"/>
        <v>26537.962499999998</v>
      </c>
      <c r="P106" s="1"/>
    </row>
    <row r="107" spans="1:16" ht="12.75">
      <c r="A107" s="1">
        <v>40615</v>
      </c>
      <c r="B107" s="7" t="s">
        <v>44</v>
      </c>
      <c r="C107" s="26">
        <f>1a!I111</f>
        <v>2080</v>
      </c>
      <c r="D107" s="26">
        <f>1a!J111</f>
        <v>0</v>
      </c>
      <c r="E107" s="26">
        <f>1a!K111</f>
        <v>0</v>
      </c>
      <c r="F107" s="26">
        <f>1a!L111</f>
        <v>0</v>
      </c>
      <c r="G107" s="26">
        <f>1a!M111</f>
        <v>0</v>
      </c>
      <c r="I107" s="5">
        <v>56.5</v>
      </c>
      <c r="J107" s="8" t="s">
        <v>114</v>
      </c>
      <c r="K107" s="5">
        <v>0</v>
      </c>
      <c r="L107" s="8" t="s">
        <v>114</v>
      </c>
      <c r="M107" s="5">
        <v>1</v>
      </c>
      <c r="N107" s="2">
        <f t="shared" si="3"/>
        <v>117520</v>
      </c>
      <c r="P107" s="1"/>
    </row>
    <row r="108" spans="1:16" ht="12.75">
      <c r="A108" s="1">
        <v>60521</v>
      </c>
      <c r="B108" s="7" t="s">
        <v>7</v>
      </c>
      <c r="C108" s="26">
        <f>1a!I112</f>
        <v>2080</v>
      </c>
      <c r="D108" s="26">
        <f>1a!J112</f>
        <v>0</v>
      </c>
      <c r="E108" s="26">
        <f>1a!K112</f>
        <v>383.5</v>
      </c>
      <c r="F108" s="26">
        <f>1a!L112</f>
        <v>0</v>
      </c>
      <c r="G108" s="26">
        <f>1a!M112</f>
        <v>657.75</v>
      </c>
      <c r="I108" s="5">
        <v>16.39</v>
      </c>
      <c r="J108" s="8" t="s">
        <v>114</v>
      </c>
      <c r="K108" s="5">
        <f aca="true" t="shared" si="5" ref="K108:K113">ROUND(I108*1.5,2)</f>
        <v>24.59</v>
      </c>
      <c r="L108" s="8" t="s">
        <v>114</v>
      </c>
      <c r="M108" s="5">
        <v>1</v>
      </c>
      <c r="N108" s="2">
        <f t="shared" si="3"/>
        <v>43521.465000000004</v>
      </c>
      <c r="P108" s="1"/>
    </row>
    <row r="109" spans="1:16" ht="12.75">
      <c r="A109" s="1">
        <v>40825</v>
      </c>
      <c r="B109" s="7" t="s">
        <v>4</v>
      </c>
      <c r="C109" s="26">
        <f>1a!I113</f>
        <v>2080</v>
      </c>
      <c r="D109" s="26">
        <f>1a!J113</f>
        <v>0</v>
      </c>
      <c r="E109" s="26">
        <f>1a!K113</f>
        <v>14.25</v>
      </c>
      <c r="F109" s="26">
        <f>1a!L113</f>
        <v>0</v>
      </c>
      <c r="G109" s="26">
        <f>1a!M113</f>
        <v>0</v>
      </c>
      <c r="I109" s="5">
        <v>16.44</v>
      </c>
      <c r="J109" s="8" t="s">
        <v>114</v>
      </c>
      <c r="K109" s="5">
        <f t="shared" si="5"/>
        <v>24.66</v>
      </c>
      <c r="L109" s="8" t="s">
        <v>114</v>
      </c>
      <c r="M109" s="5">
        <v>1</v>
      </c>
      <c r="N109" s="2">
        <f t="shared" si="3"/>
        <v>34546.605</v>
      </c>
      <c r="P109" s="1"/>
    </row>
    <row r="110" spans="1:16" ht="12.75">
      <c r="A110" s="1">
        <v>20700</v>
      </c>
      <c r="B110" s="7" t="s">
        <v>45</v>
      </c>
      <c r="C110" s="26">
        <f>1a!I114</f>
        <v>2080</v>
      </c>
      <c r="D110" s="26">
        <f>1a!J114</f>
        <v>0</v>
      </c>
      <c r="E110" s="26">
        <f>1a!K114</f>
        <v>59.5</v>
      </c>
      <c r="F110" s="26">
        <f>1a!L114</f>
        <v>0</v>
      </c>
      <c r="G110" s="26">
        <f>1a!M114</f>
        <v>0</v>
      </c>
      <c r="I110" s="5">
        <v>20.46</v>
      </c>
      <c r="J110" s="8" t="s">
        <v>114</v>
      </c>
      <c r="K110" s="5">
        <f t="shared" si="5"/>
        <v>30.69</v>
      </c>
      <c r="L110" s="8" t="s">
        <v>114</v>
      </c>
      <c r="M110" s="5">
        <v>1</v>
      </c>
      <c r="N110" s="2">
        <f t="shared" si="3"/>
        <v>44382.855</v>
      </c>
      <c r="P110" s="1"/>
    </row>
    <row r="111" spans="1:16" ht="12.75">
      <c r="A111" s="1">
        <v>40805</v>
      </c>
      <c r="B111" s="7" t="s">
        <v>7</v>
      </c>
      <c r="C111" s="26">
        <f>1a!I115</f>
        <v>2077.5</v>
      </c>
      <c r="D111" s="26">
        <f>1a!J115</f>
        <v>0</v>
      </c>
      <c r="E111" s="26">
        <f>1a!K115</f>
        <v>196</v>
      </c>
      <c r="F111" s="26">
        <f>1a!L115</f>
        <v>0</v>
      </c>
      <c r="G111" s="26">
        <f>1a!M115</f>
        <v>741</v>
      </c>
      <c r="I111" s="5">
        <v>24.49</v>
      </c>
      <c r="J111" s="8" t="s">
        <v>114</v>
      </c>
      <c r="K111" s="5">
        <f t="shared" si="5"/>
        <v>36.74</v>
      </c>
      <c r="L111" s="8" t="s">
        <v>114</v>
      </c>
      <c r="M111" s="5">
        <v>1</v>
      </c>
      <c r="N111" s="2">
        <f t="shared" si="3"/>
        <v>58079.015</v>
      </c>
      <c r="P111" s="1"/>
    </row>
    <row r="112" spans="1:16" ht="12.75">
      <c r="A112" s="1">
        <v>40810</v>
      </c>
      <c r="B112" s="7" t="s">
        <v>39</v>
      </c>
      <c r="C112" s="26">
        <f>1a!I116</f>
        <v>2080</v>
      </c>
      <c r="D112" s="26">
        <f>1a!J116</f>
        <v>0</v>
      </c>
      <c r="E112" s="26">
        <f>1a!K116</f>
        <v>131.25</v>
      </c>
      <c r="F112" s="26">
        <f>1a!L116</f>
        <v>0</v>
      </c>
      <c r="G112" s="26">
        <f>1a!M116</f>
        <v>1867</v>
      </c>
      <c r="I112" s="5">
        <v>24.83</v>
      </c>
      <c r="J112" s="8" t="s">
        <v>114</v>
      </c>
      <c r="K112" s="5">
        <f t="shared" si="5"/>
        <v>37.25</v>
      </c>
      <c r="L112" s="8" t="s">
        <v>114</v>
      </c>
      <c r="M112" s="5">
        <v>1</v>
      </c>
      <c r="N112" s="2">
        <f t="shared" si="3"/>
        <v>56535.462499999994</v>
      </c>
      <c r="P112" s="1"/>
    </row>
    <row r="113" spans="1:16" ht="12.75">
      <c r="A113" s="1">
        <v>30630</v>
      </c>
      <c r="B113" s="7" t="s">
        <v>7</v>
      </c>
      <c r="C113" s="26">
        <f>1a!I117</f>
        <v>2080</v>
      </c>
      <c r="D113" s="26">
        <f>1a!J117</f>
        <v>0</v>
      </c>
      <c r="E113" s="26">
        <f>1a!K117</f>
        <v>142.75</v>
      </c>
      <c r="F113" s="26">
        <f>1a!L117</f>
        <v>0</v>
      </c>
      <c r="G113" s="26">
        <f>1a!M117</f>
        <v>372.25</v>
      </c>
      <c r="I113" s="5">
        <v>22.88</v>
      </c>
      <c r="J113" s="8" t="s">
        <v>114</v>
      </c>
      <c r="K113" s="5">
        <f t="shared" si="5"/>
        <v>34.32</v>
      </c>
      <c r="L113" s="8" t="s">
        <v>114</v>
      </c>
      <c r="M113" s="5">
        <v>1</v>
      </c>
      <c r="N113" s="2">
        <f t="shared" si="3"/>
        <v>52489.58</v>
      </c>
      <c r="P113" s="1"/>
    </row>
    <row r="114" spans="1:16" ht="12.75">
      <c r="A114" s="1">
        <v>20775</v>
      </c>
      <c r="B114" s="7" t="s">
        <v>46</v>
      </c>
      <c r="C114" s="26">
        <f>1a!I118</f>
        <v>609.6</v>
      </c>
      <c r="D114" s="26">
        <f>1a!J118</f>
        <v>0</v>
      </c>
      <c r="E114" s="26">
        <f>1a!K118</f>
        <v>0</v>
      </c>
      <c r="F114" s="26">
        <f>1a!L118</f>
        <v>0</v>
      </c>
      <c r="G114" s="26">
        <f>1a!M118</f>
        <v>0</v>
      </c>
      <c r="I114" s="8" t="s">
        <v>114</v>
      </c>
      <c r="J114" s="8" t="s">
        <v>114</v>
      </c>
      <c r="K114" s="8" t="s">
        <v>114</v>
      </c>
      <c r="L114" s="8" t="s">
        <v>114</v>
      </c>
      <c r="M114" s="8" t="s">
        <v>114</v>
      </c>
      <c r="N114" s="2">
        <f t="shared" si="3"/>
        <v>0</v>
      </c>
      <c r="P114" s="1"/>
    </row>
    <row r="115" spans="1:16" ht="12.75">
      <c r="A115" s="1">
        <v>10130</v>
      </c>
      <c r="B115" s="7" t="s">
        <v>47</v>
      </c>
      <c r="C115" s="26">
        <f>1a!I119</f>
        <v>2080</v>
      </c>
      <c r="D115" s="26">
        <f>1a!J119</f>
        <v>0</v>
      </c>
      <c r="E115" s="26">
        <f>1a!K119</f>
        <v>0</v>
      </c>
      <c r="F115" s="26">
        <f>1a!L119</f>
        <v>0</v>
      </c>
      <c r="G115" s="26">
        <f>1a!M119</f>
        <v>0</v>
      </c>
      <c r="I115" s="5">
        <v>122.49</v>
      </c>
      <c r="J115" s="8" t="s">
        <v>114</v>
      </c>
      <c r="K115" s="5">
        <v>0</v>
      </c>
      <c r="L115" s="8" t="s">
        <v>114</v>
      </c>
      <c r="M115" s="5">
        <v>1</v>
      </c>
      <c r="N115" s="2">
        <f t="shared" si="3"/>
        <v>254779.19999999998</v>
      </c>
      <c r="P115" s="1"/>
    </row>
    <row r="116" spans="1:16" ht="12.75">
      <c r="A116" s="1">
        <v>60527</v>
      </c>
      <c r="B116" s="3" t="s">
        <v>4</v>
      </c>
      <c r="C116" s="26">
        <f>1a!I120</f>
        <v>695.75</v>
      </c>
      <c r="D116" s="26">
        <f>1a!J120</f>
        <v>0</v>
      </c>
      <c r="E116" s="26">
        <f>1a!K120</f>
        <v>3.75</v>
      </c>
      <c r="F116" s="26">
        <f>1a!L120</f>
        <v>0</v>
      </c>
      <c r="G116" s="26">
        <f>1a!M120</f>
        <v>0</v>
      </c>
      <c r="I116" s="8" t="s">
        <v>114</v>
      </c>
      <c r="J116" s="8" t="s">
        <v>114</v>
      </c>
      <c r="K116" s="8" t="s">
        <v>114</v>
      </c>
      <c r="L116" s="8" t="s">
        <v>114</v>
      </c>
      <c r="M116" s="8" t="s">
        <v>114</v>
      </c>
      <c r="N116" s="2">
        <f t="shared" si="3"/>
        <v>0</v>
      </c>
      <c r="P116" s="1"/>
    </row>
    <row r="117" spans="1:16" ht="12.75">
      <c r="A117" s="1">
        <v>40645</v>
      </c>
      <c r="B117" s="3" t="s">
        <v>48</v>
      </c>
      <c r="C117" s="26">
        <f>1a!I121</f>
        <v>2120</v>
      </c>
      <c r="D117" s="26">
        <f>1a!J121</f>
        <v>0</v>
      </c>
      <c r="E117" s="26">
        <f>1a!K121</f>
        <v>126</v>
      </c>
      <c r="F117" s="26">
        <f>1a!L121</f>
        <v>0</v>
      </c>
      <c r="G117" s="26">
        <f>1a!M121</f>
        <v>0</v>
      </c>
      <c r="I117" s="5">
        <v>17.74</v>
      </c>
      <c r="J117" s="8" t="s">
        <v>114</v>
      </c>
      <c r="K117" s="5">
        <f>ROUND(I117*1.5,2)</f>
        <v>26.61</v>
      </c>
      <c r="L117" s="8" t="s">
        <v>114</v>
      </c>
      <c r="M117" s="5">
        <v>1</v>
      </c>
      <c r="N117" s="2">
        <f t="shared" si="3"/>
        <v>40961.659999999996</v>
      </c>
      <c r="P117" s="1"/>
    </row>
    <row r="118" spans="1:16" ht="12.75">
      <c r="A118" s="1">
        <v>60457</v>
      </c>
      <c r="B118" s="3" t="s">
        <v>49</v>
      </c>
      <c r="C118" s="26">
        <f>1a!I122</f>
        <v>2120.5</v>
      </c>
      <c r="D118" s="26">
        <f>1a!J122</f>
        <v>0</v>
      </c>
      <c r="E118" s="26">
        <f>1a!K122</f>
        <v>75</v>
      </c>
      <c r="F118" s="26">
        <f>1a!L122</f>
        <v>0</v>
      </c>
      <c r="G118" s="26">
        <f>1a!M122</f>
        <v>0</v>
      </c>
      <c r="I118" s="5">
        <v>18.87</v>
      </c>
      <c r="J118" s="8" t="s">
        <v>114</v>
      </c>
      <c r="K118" s="5">
        <f>ROUND(I118*1.5,2)</f>
        <v>28.31</v>
      </c>
      <c r="L118" s="8" t="s">
        <v>114</v>
      </c>
      <c r="M118" s="5">
        <v>1</v>
      </c>
      <c r="N118" s="2">
        <f t="shared" si="3"/>
        <v>42137.085</v>
      </c>
      <c r="P118" s="1"/>
    </row>
    <row r="119" spans="1:16" ht="12.75">
      <c r="A119" s="1">
        <v>40655</v>
      </c>
      <c r="B119" s="3" t="s">
        <v>50</v>
      </c>
      <c r="C119" s="26">
        <f>1a!I123</f>
        <v>1824</v>
      </c>
      <c r="D119" s="26">
        <f>1a!J123</f>
        <v>0</v>
      </c>
      <c r="E119" s="26">
        <f>1a!K123</f>
        <v>233.25</v>
      </c>
      <c r="F119" s="26">
        <f>1a!L123</f>
        <v>0</v>
      </c>
      <c r="G119" s="26">
        <f>1a!M123</f>
        <v>0</v>
      </c>
      <c r="I119" s="5">
        <v>14.86</v>
      </c>
      <c r="J119" s="8" t="s">
        <v>114</v>
      </c>
      <c r="K119" s="5">
        <f>ROUND(I119*1.5,2)</f>
        <v>22.29</v>
      </c>
      <c r="L119" s="8" t="s">
        <v>114</v>
      </c>
      <c r="M119" s="5">
        <v>1</v>
      </c>
      <c r="N119" s="2">
        <f t="shared" si="3"/>
        <v>32303.7825</v>
      </c>
      <c r="P119" s="1"/>
    </row>
    <row r="120" spans="1:16" ht="12.75">
      <c r="A120" s="1">
        <v>40640</v>
      </c>
      <c r="B120" s="3" t="s">
        <v>36</v>
      </c>
      <c r="C120" s="26">
        <f>1a!I124</f>
        <v>2079.5</v>
      </c>
      <c r="D120" s="26">
        <f>1a!J124</f>
        <v>0</v>
      </c>
      <c r="E120" s="26">
        <f>1a!K124</f>
        <v>45.75</v>
      </c>
      <c r="F120" s="26">
        <f>1a!L124</f>
        <v>0</v>
      </c>
      <c r="G120" s="26">
        <f>1a!M124</f>
        <v>0</v>
      </c>
      <c r="I120" s="5">
        <v>18.81</v>
      </c>
      <c r="J120" s="8" t="s">
        <v>114</v>
      </c>
      <c r="K120" s="5">
        <f>ROUND(I120*1.5,2)</f>
        <v>28.22</v>
      </c>
      <c r="L120" s="8" t="s">
        <v>114</v>
      </c>
      <c r="M120" s="5">
        <v>1</v>
      </c>
      <c r="N120" s="2">
        <f t="shared" si="3"/>
        <v>40406.46</v>
      </c>
      <c r="P120" s="1"/>
    </row>
    <row r="121" spans="1:14" ht="12.75">
      <c r="A121" s="31" t="s">
        <v>95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1:14" ht="12.75">
      <c r="A122" s="31" t="s">
        <v>96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1:14" ht="12.75">
      <c r="A123" s="31" t="s">
        <v>107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1:14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33" t="s">
        <v>106</v>
      </c>
    </row>
    <row r="125" spans="1:14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33" t="s">
        <v>112</v>
      </c>
    </row>
    <row r="126" spans="1:14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34" t="s">
        <v>99</v>
      </c>
    </row>
    <row r="127" spans="3:13" ht="12.75">
      <c r="C127" s="32" t="s">
        <v>84</v>
      </c>
      <c r="D127" s="32"/>
      <c r="E127" s="32"/>
      <c r="F127" s="32"/>
      <c r="G127" s="32"/>
      <c r="I127" s="6"/>
      <c r="J127" s="6"/>
      <c r="K127" s="6"/>
      <c r="L127" s="6"/>
      <c r="M127" s="6"/>
    </row>
    <row r="128" spans="3:13" ht="12.75">
      <c r="C128" s="32" t="s">
        <v>85</v>
      </c>
      <c r="D128" s="32"/>
      <c r="E128" s="32"/>
      <c r="F128" s="32"/>
      <c r="G128" s="32"/>
      <c r="I128" s="32" t="s">
        <v>109</v>
      </c>
      <c r="J128" s="32"/>
      <c r="K128" s="32"/>
      <c r="L128" s="32"/>
      <c r="M128" s="32"/>
    </row>
    <row r="129" spans="3:14" ht="12.75">
      <c r="C129" s="11"/>
      <c r="D129" s="20" t="s">
        <v>117</v>
      </c>
      <c r="E129" s="11"/>
      <c r="F129" s="20" t="s">
        <v>117</v>
      </c>
      <c r="G129" s="11"/>
      <c r="H129" s="11"/>
      <c r="M129" s="11"/>
      <c r="N129" s="20" t="s">
        <v>87</v>
      </c>
    </row>
    <row r="130" spans="3:14" ht="12.75">
      <c r="C130" s="20" t="s">
        <v>82</v>
      </c>
      <c r="D130" s="20" t="s">
        <v>118</v>
      </c>
      <c r="E130" s="20" t="s">
        <v>83</v>
      </c>
      <c r="F130" s="20" t="s">
        <v>83</v>
      </c>
      <c r="G130" s="20" t="s">
        <v>121</v>
      </c>
      <c r="I130" s="11"/>
      <c r="J130" s="20" t="s">
        <v>117</v>
      </c>
      <c r="K130" s="11"/>
      <c r="L130" s="20" t="s">
        <v>117</v>
      </c>
      <c r="M130" s="11"/>
      <c r="N130" s="20" t="s">
        <v>108</v>
      </c>
    </row>
    <row r="131" spans="1:14" ht="12.75">
      <c r="A131" s="11" t="s">
        <v>0</v>
      </c>
      <c r="B131" s="11" t="s">
        <v>1</v>
      </c>
      <c r="C131" s="22" t="s">
        <v>129</v>
      </c>
      <c r="D131" s="22" t="s">
        <v>129</v>
      </c>
      <c r="E131" s="25" t="s">
        <v>129</v>
      </c>
      <c r="F131" s="25" t="s">
        <v>129</v>
      </c>
      <c r="G131" s="25" t="s">
        <v>129</v>
      </c>
      <c r="H131" s="12"/>
      <c r="I131" s="12" t="s">
        <v>82</v>
      </c>
      <c r="J131" s="12" t="s">
        <v>118</v>
      </c>
      <c r="K131" s="12" t="s">
        <v>83</v>
      </c>
      <c r="L131" s="12" t="s">
        <v>83</v>
      </c>
      <c r="M131" s="12" t="s">
        <v>121</v>
      </c>
      <c r="N131" s="11" t="s">
        <v>88</v>
      </c>
    </row>
    <row r="132" spans="1:16" ht="12.75">
      <c r="A132" s="1">
        <v>40675</v>
      </c>
      <c r="B132" s="3" t="s">
        <v>130</v>
      </c>
      <c r="C132" s="26">
        <f>1a!I125</f>
        <v>412.44</v>
      </c>
      <c r="D132" s="26">
        <f>1a!J125</f>
        <v>0</v>
      </c>
      <c r="E132" s="26">
        <f>1a!K125</f>
        <v>0</v>
      </c>
      <c r="F132" s="26">
        <f>1a!L125</f>
        <v>0</v>
      </c>
      <c r="G132" s="26">
        <f>1a!M125</f>
        <v>0</v>
      </c>
      <c r="H132" s="12"/>
      <c r="I132" s="8" t="s">
        <v>114</v>
      </c>
      <c r="J132" s="8" t="s">
        <v>114</v>
      </c>
      <c r="K132" s="8" t="s">
        <v>114</v>
      </c>
      <c r="L132" s="8" t="s">
        <v>114</v>
      </c>
      <c r="M132" s="8" t="s">
        <v>114</v>
      </c>
      <c r="N132" s="2">
        <f>IF(I132&lt;&gt;"N/A",(C132*I132)+(E132*K132),0)</f>
        <v>0</v>
      </c>
      <c r="P132" s="1"/>
    </row>
    <row r="133" spans="1:16" ht="12.75">
      <c r="A133" s="1">
        <v>20200</v>
      </c>
      <c r="B133" s="3" t="s">
        <v>51</v>
      </c>
      <c r="C133" s="26">
        <f>1a!I126</f>
        <v>1308</v>
      </c>
      <c r="D133" s="26">
        <f>1a!J126</f>
        <v>0</v>
      </c>
      <c r="E133" s="26">
        <f>1a!K126</f>
        <v>0</v>
      </c>
      <c r="F133" s="26">
        <f>1a!L126</f>
        <v>0</v>
      </c>
      <c r="G133" s="26">
        <f>1a!M126</f>
        <v>0</v>
      </c>
      <c r="I133" s="8" t="s">
        <v>114</v>
      </c>
      <c r="J133" s="8" t="s">
        <v>114</v>
      </c>
      <c r="K133" s="8" t="s">
        <v>114</v>
      </c>
      <c r="L133" s="8" t="s">
        <v>114</v>
      </c>
      <c r="M133" s="8" t="s">
        <v>114</v>
      </c>
      <c r="N133" s="2">
        <f aca="true" t="shared" si="6" ref="N133:N181">IF(I133&lt;&gt;"N/A",(C133*I133)+(E133*K133),0)</f>
        <v>0</v>
      </c>
      <c r="P133" s="1"/>
    </row>
    <row r="134" spans="1:16" ht="12.75">
      <c r="A134" s="1">
        <v>30635</v>
      </c>
      <c r="B134" s="3" t="s">
        <v>52</v>
      </c>
      <c r="C134" s="26">
        <f>1a!I127</f>
        <v>2120</v>
      </c>
      <c r="D134" s="26">
        <f>1a!J127</f>
        <v>0</v>
      </c>
      <c r="E134" s="26">
        <f>1a!K127</f>
        <v>81.25</v>
      </c>
      <c r="F134" s="26">
        <f>1a!L127</f>
        <v>0</v>
      </c>
      <c r="G134" s="26">
        <f>1a!M127</f>
        <v>0</v>
      </c>
      <c r="I134" s="5">
        <v>25.17</v>
      </c>
      <c r="J134" s="8" t="s">
        <v>114</v>
      </c>
      <c r="K134" s="5">
        <f aca="true" t="shared" si="7" ref="K134:K181">ROUND(I134*1.5,2)</f>
        <v>37.76</v>
      </c>
      <c r="L134" s="8" t="s">
        <v>114</v>
      </c>
      <c r="M134" s="5">
        <v>1</v>
      </c>
      <c r="N134" s="2">
        <f t="shared" si="6"/>
        <v>56428.4</v>
      </c>
      <c r="P134" s="1"/>
    </row>
    <row r="135" spans="1:16" ht="12.75">
      <c r="A135" s="1">
        <v>60471</v>
      </c>
      <c r="B135" s="3" t="s">
        <v>53</v>
      </c>
      <c r="C135" s="26">
        <f>1a!I128</f>
        <v>2080</v>
      </c>
      <c r="D135" s="26">
        <f>1a!J128</f>
        <v>0</v>
      </c>
      <c r="E135" s="26">
        <f>1a!K128</f>
        <v>159</v>
      </c>
      <c r="F135" s="26">
        <f>1a!L128</f>
        <v>0</v>
      </c>
      <c r="G135" s="26">
        <f>1a!M128</f>
        <v>0</v>
      </c>
      <c r="I135" s="5">
        <v>22.04</v>
      </c>
      <c r="J135" s="8" t="s">
        <v>114</v>
      </c>
      <c r="K135" s="5">
        <f t="shared" si="7"/>
        <v>33.06</v>
      </c>
      <c r="L135" s="8" t="s">
        <v>114</v>
      </c>
      <c r="M135" s="5">
        <v>1</v>
      </c>
      <c r="N135" s="2">
        <f t="shared" si="6"/>
        <v>51099.74</v>
      </c>
      <c r="P135" s="1"/>
    </row>
    <row r="136" spans="1:16" ht="12.75">
      <c r="A136" s="1">
        <v>30670</v>
      </c>
      <c r="B136" s="3" t="s">
        <v>30</v>
      </c>
      <c r="C136" s="26">
        <f>1a!I129</f>
        <v>384</v>
      </c>
      <c r="D136" s="26">
        <f>1a!J129</f>
        <v>0</v>
      </c>
      <c r="E136" s="26">
        <f>1a!K129</f>
        <v>0</v>
      </c>
      <c r="F136" s="26">
        <f>1a!L129</f>
        <v>0</v>
      </c>
      <c r="G136" s="26">
        <f>1a!M129</f>
        <v>0</v>
      </c>
      <c r="I136" s="8" t="s">
        <v>114</v>
      </c>
      <c r="J136" s="8" t="s">
        <v>114</v>
      </c>
      <c r="K136" s="8" t="s">
        <v>114</v>
      </c>
      <c r="L136" s="8" t="s">
        <v>114</v>
      </c>
      <c r="M136" s="8" t="s">
        <v>114</v>
      </c>
      <c r="N136" s="2">
        <f t="shared" si="6"/>
        <v>0</v>
      </c>
      <c r="P136" s="1"/>
    </row>
    <row r="137" spans="1:16" ht="12.75">
      <c r="A137" s="1">
        <v>60486</v>
      </c>
      <c r="B137" s="3" t="s">
        <v>22</v>
      </c>
      <c r="C137" s="26">
        <f>1a!I130</f>
        <v>1625.5</v>
      </c>
      <c r="D137" s="26">
        <f>1a!J130</f>
        <v>0</v>
      </c>
      <c r="E137" s="26">
        <f>1a!K130</f>
        <v>3.75</v>
      </c>
      <c r="F137" s="26">
        <f>1a!L130</f>
        <v>0</v>
      </c>
      <c r="G137" s="26">
        <f>1a!M130</f>
        <v>0</v>
      </c>
      <c r="I137" s="5">
        <v>16.41</v>
      </c>
      <c r="J137" s="8" t="s">
        <v>114</v>
      </c>
      <c r="K137" s="5">
        <f t="shared" si="7"/>
        <v>24.62</v>
      </c>
      <c r="L137" s="8" t="s">
        <v>114</v>
      </c>
      <c r="M137" s="5">
        <v>1</v>
      </c>
      <c r="N137" s="2">
        <f t="shared" si="6"/>
        <v>26766.780000000002</v>
      </c>
      <c r="P137" s="1"/>
    </row>
    <row r="138" spans="1:16" ht="12.75">
      <c r="A138" s="1">
        <v>30700</v>
      </c>
      <c r="B138" s="3" t="s">
        <v>54</v>
      </c>
      <c r="C138" s="26">
        <f>1a!I131</f>
        <v>2120</v>
      </c>
      <c r="D138" s="26">
        <f>1a!J131</f>
        <v>0</v>
      </c>
      <c r="E138" s="26">
        <f>1a!K131</f>
        <v>65</v>
      </c>
      <c r="F138" s="26">
        <f>1a!L131</f>
        <v>0</v>
      </c>
      <c r="G138" s="26">
        <f>1a!M131</f>
        <v>62.5</v>
      </c>
      <c r="I138" s="5">
        <v>29.48</v>
      </c>
      <c r="J138" s="8" t="s">
        <v>114</v>
      </c>
      <c r="K138" s="5">
        <f t="shared" si="7"/>
        <v>44.22</v>
      </c>
      <c r="L138" s="8" t="s">
        <v>114</v>
      </c>
      <c r="M138" s="5">
        <v>1</v>
      </c>
      <c r="N138" s="2">
        <f t="shared" si="6"/>
        <v>65371.9</v>
      </c>
      <c r="P138" s="1"/>
    </row>
    <row r="139" spans="1:16" ht="12.75">
      <c r="A139" s="1">
        <v>30715</v>
      </c>
      <c r="B139" s="3" t="s">
        <v>37</v>
      </c>
      <c r="C139" s="26">
        <f>1a!I132</f>
        <v>2080</v>
      </c>
      <c r="D139" s="26">
        <f>1a!J132</f>
        <v>0</v>
      </c>
      <c r="E139" s="26">
        <f>1a!K132</f>
        <v>191.5</v>
      </c>
      <c r="F139" s="26">
        <f>1a!L132</f>
        <v>0</v>
      </c>
      <c r="G139" s="26">
        <f>1a!M132</f>
        <v>179</v>
      </c>
      <c r="I139" s="5">
        <v>28.77</v>
      </c>
      <c r="J139" s="8" t="s">
        <v>114</v>
      </c>
      <c r="K139" s="5">
        <f t="shared" si="7"/>
        <v>43.16</v>
      </c>
      <c r="L139" s="8" t="s">
        <v>114</v>
      </c>
      <c r="M139" s="5">
        <v>1</v>
      </c>
      <c r="N139" s="2">
        <f t="shared" si="6"/>
        <v>68106.73999999999</v>
      </c>
      <c r="P139" s="1"/>
    </row>
    <row r="140" spans="1:16" ht="12.75">
      <c r="A140" s="1">
        <v>60459</v>
      </c>
      <c r="B140" s="3" t="s">
        <v>3</v>
      </c>
      <c r="C140" s="26">
        <f>1a!I133</f>
        <v>2077.5</v>
      </c>
      <c r="D140" s="26">
        <f>1a!J133</f>
        <v>0</v>
      </c>
      <c r="E140" s="26">
        <f>1a!K133</f>
        <v>432</v>
      </c>
      <c r="F140" s="26">
        <f>1a!L133</f>
        <v>0</v>
      </c>
      <c r="G140" s="26">
        <f>1a!M133</f>
        <v>424.75</v>
      </c>
      <c r="I140" s="5">
        <v>19.81</v>
      </c>
      <c r="J140" s="8" t="s">
        <v>114</v>
      </c>
      <c r="K140" s="5">
        <f t="shared" si="7"/>
        <v>29.72</v>
      </c>
      <c r="L140" s="8" t="s">
        <v>114</v>
      </c>
      <c r="M140" s="5">
        <v>1</v>
      </c>
      <c r="N140" s="2">
        <f t="shared" si="6"/>
        <v>53994.314999999995</v>
      </c>
      <c r="P140" s="1"/>
    </row>
    <row r="141" spans="1:16" ht="12.75">
      <c r="A141" s="1">
        <v>30800</v>
      </c>
      <c r="B141" s="3" t="s">
        <v>37</v>
      </c>
      <c r="C141" s="26">
        <f>1a!I134</f>
        <v>2129.5</v>
      </c>
      <c r="D141" s="26">
        <f>1a!J134</f>
        <v>0</v>
      </c>
      <c r="E141" s="26">
        <f>1a!K134</f>
        <v>884.5</v>
      </c>
      <c r="F141" s="26">
        <f>1a!L134</f>
        <v>0</v>
      </c>
      <c r="G141" s="26">
        <f>1a!M134</f>
        <v>226.25</v>
      </c>
      <c r="I141" s="5">
        <v>32.84</v>
      </c>
      <c r="J141" s="8" t="s">
        <v>114</v>
      </c>
      <c r="K141" s="5">
        <f t="shared" si="7"/>
        <v>49.26</v>
      </c>
      <c r="L141" s="8" t="s">
        <v>114</v>
      </c>
      <c r="M141" s="5">
        <v>1</v>
      </c>
      <c r="N141" s="2">
        <f t="shared" si="6"/>
        <v>113503.25000000001</v>
      </c>
      <c r="P141" s="1"/>
    </row>
    <row r="142" spans="1:16" ht="12.75">
      <c r="A142" s="1">
        <v>40750</v>
      </c>
      <c r="B142" s="3" t="s">
        <v>55</v>
      </c>
      <c r="C142" s="26">
        <f>1a!I135</f>
        <v>2126.75</v>
      </c>
      <c r="D142" s="26">
        <f>1a!J135</f>
        <v>0</v>
      </c>
      <c r="E142" s="26">
        <f>1a!K135</f>
        <v>325.5</v>
      </c>
      <c r="F142" s="26">
        <f>1a!L135</f>
        <v>0</v>
      </c>
      <c r="G142" s="26">
        <f>1a!M135</f>
        <v>1656.25</v>
      </c>
      <c r="I142" s="5">
        <v>24.83</v>
      </c>
      <c r="J142" s="8" t="s">
        <v>114</v>
      </c>
      <c r="K142" s="5">
        <f t="shared" si="7"/>
        <v>37.25</v>
      </c>
      <c r="L142" s="8" t="s">
        <v>114</v>
      </c>
      <c r="M142" s="5">
        <v>1</v>
      </c>
      <c r="N142" s="2">
        <f t="shared" si="6"/>
        <v>64932.0775</v>
      </c>
      <c r="P142" s="1"/>
    </row>
    <row r="143" spans="1:16" ht="12.75">
      <c r="A143" s="1">
        <v>20875</v>
      </c>
      <c r="B143" s="3" t="s">
        <v>56</v>
      </c>
      <c r="C143" s="26">
        <f>1a!I145</f>
        <v>2120</v>
      </c>
      <c r="D143" s="26">
        <f>1a!J145</f>
        <v>0</v>
      </c>
      <c r="E143" s="26">
        <f>1a!K145</f>
        <v>0</v>
      </c>
      <c r="F143" s="26">
        <f>1a!L145</f>
        <v>0</v>
      </c>
      <c r="G143" s="26">
        <f>1a!M145</f>
        <v>0</v>
      </c>
      <c r="I143" s="5">
        <v>36.52</v>
      </c>
      <c r="J143" s="8" t="s">
        <v>114</v>
      </c>
      <c r="K143" s="5">
        <f t="shared" si="7"/>
        <v>54.78</v>
      </c>
      <c r="L143" s="8" t="s">
        <v>114</v>
      </c>
      <c r="M143" s="5">
        <v>1</v>
      </c>
      <c r="N143" s="2">
        <f t="shared" si="6"/>
        <v>77422.40000000001</v>
      </c>
      <c r="P143" s="1"/>
    </row>
    <row r="144" spans="1:16" ht="12.75">
      <c r="A144" s="1">
        <v>30825</v>
      </c>
      <c r="B144" s="3" t="s">
        <v>11</v>
      </c>
      <c r="C144" s="26">
        <f>1a!I146</f>
        <v>2080</v>
      </c>
      <c r="D144" s="26">
        <f>1a!J146</f>
        <v>0</v>
      </c>
      <c r="E144" s="26">
        <f>1a!K146</f>
        <v>17</v>
      </c>
      <c r="F144" s="26">
        <f>1a!L146</f>
        <v>0</v>
      </c>
      <c r="G144" s="26">
        <f>1a!M146</f>
        <v>0</v>
      </c>
      <c r="I144" s="5">
        <v>22.19</v>
      </c>
      <c r="J144" s="8" t="s">
        <v>114</v>
      </c>
      <c r="K144" s="5">
        <f t="shared" si="7"/>
        <v>33.29</v>
      </c>
      <c r="L144" s="8" t="s">
        <v>114</v>
      </c>
      <c r="M144" s="5">
        <v>1</v>
      </c>
      <c r="N144" s="2">
        <f t="shared" si="6"/>
        <v>46721.130000000005</v>
      </c>
      <c r="P144" s="1"/>
    </row>
    <row r="145" spans="1:16" ht="12.75">
      <c r="A145" s="1">
        <v>60511</v>
      </c>
      <c r="B145" s="3" t="s">
        <v>7</v>
      </c>
      <c r="C145" s="26">
        <f>1a!I147</f>
        <v>2080</v>
      </c>
      <c r="D145" s="26">
        <f>1a!J147</f>
        <v>0</v>
      </c>
      <c r="E145" s="26">
        <f>1a!K147</f>
        <v>334.5</v>
      </c>
      <c r="F145" s="26">
        <f>1a!L147</f>
        <v>0</v>
      </c>
      <c r="G145" s="26">
        <f>1a!M147</f>
        <v>575.25</v>
      </c>
      <c r="I145" s="5">
        <v>16.62</v>
      </c>
      <c r="J145" s="8" t="s">
        <v>114</v>
      </c>
      <c r="K145" s="5">
        <f t="shared" si="7"/>
        <v>24.93</v>
      </c>
      <c r="L145" s="8" t="s">
        <v>114</v>
      </c>
      <c r="M145" s="5">
        <v>1</v>
      </c>
      <c r="N145" s="2">
        <f t="shared" si="6"/>
        <v>42908.685</v>
      </c>
      <c r="P145" s="1"/>
    </row>
    <row r="146" spans="1:16" ht="12.75">
      <c r="A146" s="1">
        <v>40850</v>
      </c>
      <c r="B146" s="3" t="s">
        <v>57</v>
      </c>
      <c r="C146" s="26">
        <f>1a!I148</f>
        <v>2120</v>
      </c>
      <c r="D146" s="26">
        <f>1a!J148</f>
        <v>0</v>
      </c>
      <c r="E146" s="26">
        <f>1a!K148</f>
        <v>136.75</v>
      </c>
      <c r="F146" s="26">
        <f>1a!L148</f>
        <v>0</v>
      </c>
      <c r="G146" s="26">
        <f>1a!M148</f>
        <v>0</v>
      </c>
      <c r="I146" s="5">
        <v>27.64</v>
      </c>
      <c r="J146" s="8" t="s">
        <v>114</v>
      </c>
      <c r="K146" s="5">
        <f t="shared" si="7"/>
        <v>41.46</v>
      </c>
      <c r="L146" s="8" t="s">
        <v>114</v>
      </c>
      <c r="M146" s="5">
        <v>1</v>
      </c>
      <c r="N146" s="2">
        <f t="shared" si="6"/>
        <v>64266.455</v>
      </c>
      <c r="P146" s="1"/>
    </row>
    <row r="147" spans="1:16" ht="12.75">
      <c r="A147" s="1">
        <v>60513</v>
      </c>
      <c r="B147" s="3" t="s">
        <v>11</v>
      </c>
      <c r="C147" s="26">
        <f>1a!I149</f>
        <v>2080</v>
      </c>
      <c r="D147" s="26">
        <f>1a!J149</f>
        <v>0</v>
      </c>
      <c r="E147" s="26">
        <f>1a!K149</f>
        <v>0</v>
      </c>
      <c r="F147" s="26">
        <f>1a!L149</f>
        <v>0</v>
      </c>
      <c r="G147" s="26">
        <f>1a!M149</f>
        <v>0</v>
      </c>
      <c r="H147" s="13"/>
      <c r="I147" s="8" t="s">
        <v>114</v>
      </c>
      <c r="J147" s="8" t="s">
        <v>114</v>
      </c>
      <c r="K147" s="8" t="s">
        <v>114</v>
      </c>
      <c r="L147" s="8" t="s">
        <v>114</v>
      </c>
      <c r="M147" s="8" t="s">
        <v>114</v>
      </c>
      <c r="N147" s="2">
        <f t="shared" si="6"/>
        <v>0</v>
      </c>
      <c r="P147" s="1"/>
    </row>
    <row r="148" spans="1:16" ht="12.75">
      <c r="A148" s="1">
        <v>60537</v>
      </c>
      <c r="B148" s="3" t="s">
        <v>16</v>
      </c>
      <c r="C148" s="26">
        <f>1a!I150</f>
        <v>575</v>
      </c>
      <c r="D148" s="26">
        <f>1a!J150</f>
        <v>0</v>
      </c>
      <c r="E148" s="26">
        <f>1a!K150</f>
        <v>36</v>
      </c>
      <c r="F148" s="26">
        <f>1a!L150</f>
        <v>0</v>
      </c>
      <c r="G148" s="26">
        <f>1a!M150</f>
        <v>348</v>
      </c>
      <c r="H148" s="13"/>
      <c r="I148" s="5">
        <v>16.05</v>
      </c>
      <c r="J148" s="8" t="s">
        <v>114</v>
      </c>
      <c r="K148" s="5">
        <f t="shared" si="7"/>
        <v>24.08</v>
      </c>
      <c r="L148" s="8" t="s">
        <v>114</v>
      </c>
      <c r="M148" s="5">
        <v>1</v>
      </c>
      <c r="N148" s="2">
        <f t="shared" si="6"/>
        <v>10095.63</v>
      </c>
      <c r="P148" s="1"/>
    </row>
    <row r="149" spans="1:16" ht="12.75">
      <c r="A149" s="1">
        <v>20900</v>
      </c>
      <c r="B149" s="7" t="s">
        <v>116</v>
      </c>
      <c r="C149" s="26">
        <f>1a!I151</f>
        <v>2120</v>
      </c>
      <c r="D149" s="26">
        <f>1a!J151</f>
        <v>0</v>
      </c>
      <c r="E149" s="26">
        <f>1a!K151</f>
        <v>0</v>
      </c>
      <c r="F149" s="26">
        <f>1a!L151</f>
        <v>0</v>
      </c>
      <c r="G149" s="26">
        <f>1a!M151</f>
        <v>0</v>
      </c>
      <c r="H149" s="13"/>
      <c r="I149" s="5">
        <v>39.43</v>
      </c>
      <c r="J149" s="8" t="s">
        <v>114</v>
      </c>
      <c r="K149" s="5">
        <f t="shared" si="7"/>
        <v>59.15</v>
      </c>
      <c r="L149" s="8" t="s">
        <v>114</v>
      </c>
      <c r="M149" s="5">
        <v>1</v>
      </c>
      <c r="N149" s="2">
        <f t="shared" si="6"/>
        <v>83591.6</v>
      </c>
      <c r="P149" s="1"/>
    </row>
    <row r="150" spans="1:16" ht="12.75">
      <c r="A150" s="1">
        <v>40900</v>
      </c>
      <c r="B150" s="3" t="s">
        <v>16</v>
      </c>
      <c r="C150" s="26">
        <f>1a!I152</f>
        <v>2129.5</v>
      </c>
      <c r="D150" s="26">
        <f>1a!J152</f>
        <v>0</v>
      </c>
      <c r="E150" s="26">
        <f>1a!K152</f>
        <v>357.75</v>
      </c>
      <c r="F150" s="26">
        <f>1a!L152</f>
        <v>0</v>
      </c>
      <c r="G150" s="26">
        <f>1a!M152</f>
        <v>2088.5</v>
      </c>
      <c r="H150" s="9"/>
      <c r="I150" s="5">
        <v>23.68</v>
      </c>
      <c r="J150" s="8" t="s">
        <v>114</v>
      </c>
      <c r="K150" s="5">
        <f t="shared" si="7"/>
        <v>35.52</v>
      </c>
      <c r="L150" s="8" t="s">
        <v>114</v>
      </c>
      <c r="M150" s="5">
        <v>1</v>
      </c>
      <c r="N150" s="2">
        <f t="shared" si="6"/>
        <v>63133.84</v>
      </c>
      <c r="P150" s="1"/>
    </row>
    <row r="151" spans="1:16" ht="12.75">
      <c r="A151" s="1">
        <v>20910</v>
      </c>
      <c r="B151" s="3" t="s">
        <v>51</v>
      </c>
      <c r="C151" s="26">
        <f>1a!I153</f>
        <v>2120</v>
      </c>
      <c r="D151" s="26">
        <f>1a!J153</f>
        <v>0</v>
      </c>
      <c r="E151" s="26">
        <f>1a!K153</f>
        <v>0</v>
      </c>
      <c r="F151" s="26">
        <f>1a!L153</f>
        <v>0</v>
      </c>
      <c r="G151" s="26">
        <f>1a!M153</f>
        <v>0</v>
      </c>
      <c r="H151" s="13"/>
      <c r="I151" s="5">
        <v>35.27</v>
      </c>
      <c r="J151" s="8" t="s">
        <v>114</v>
      </c>
      <c r="K151" s="5">
        <f t="shared" si="7"/>
        <v>52.91</v>
      </c>
      <c r="L151" s="8" t="s">
        <v>114</v>
      </c>
      <c r="M151" s="5">
        <v>1</v>
      </c>
      <c r="N151" s="2">
        <f t="shared" si="6"/>
        <v>74772.40000000001</v>
      </c>
      <c r="P151" s="1"/>
    </row>
    <row r="152" spans="1:16" ht="12.75">
      <c r="A152" s="1">
        <v>41305</v>
      </c>
      <c r="B152" s="3" t="s">
        <v>57</v>
      </c>
      <c r="C152" s="26">
        <f>1a!I154</f>
        <v>2080</v>
      </c>
      <c r="D152" s="26">
        <f>1a!J154</f>
        <v>0</v>
      </c>
      <c r="E152" s="26">
        <f>1a!K154</f>
        <v>43.3</v>
      </c>
      <c r="F152" s="26">
        <f>1a!L154</f>
        <v>0</v>
      </c>
      <c r="G152" s="26">
        <f>1a!M154</f>
        <v>0</v>
      </c>
      <c r="H152" s="11"/>
      <c r="I152" s="5">
        <v>21.55</v>
      </c>
      <c r="J152" s="8" t="s">
        <v>114</v>
      </c>
      <c r="K152" s="5">
        <f t="shared" si="7"/>
        <v>32.33</v>
      </c>
      <c r="L152" s="8" t="s">
        <v>114</v>
      </c>
      <c r="M152" s="5">
        <v>1</v>
      </c>
      <c r="N152" s="2">
        <f t="shared" si="6"/>
        <v>46223.889</v>
      </c>
      <c r="P152" s="1"/>
    </row>
    <row r="153" spans="1:16" ht="12.75">
      <c r="A153" s="1">
        <v>20915</v>
      </c>
      <c r="B153" s="3" t="s">
        <v>8</v>
      </c>
      <c r="C153" s="26">
        <f>1a!I155</f>
        <v>2080</v>
      </c>
      <c r="D153" s="26">
        <f>1a!J155</f>
        <v>0</v>
      </c>
      <c r="E153" s="26">
        <f>1a!K155</f>
        <v>36</v>
      </c>
      <c r="F153" s="26">
        <f>1a!L155</f>
        <v>0</v>
      </c>
      <c r="G153" s="26">
        <f>1a!M155</f>
        <v>0</v>
      </c>
      <c r="H153" s="11"/>
      <c r="I153" s="5">
        <v>20.85</v>
      </c>
      <c r="J153" s="8" t="s">
        <v>114</v>
      </c>
      <c r="K153" s="5">
        <f t="shared" si="7"/>
        <v>31.28</v>
      </c>
      <c r="L153" s="8" t="s">
        <v>114</v>
      </c>
      <c r="M153" s="5">
        <v>1</v>
      </c>
      <c r="N153" s="2">
        <f t="shared" si="6"/>
        <v>44494.08</v>
      </c>
      <c r="P153" s="1"/>
    </row>
    <row r="154" spans="1:16" ht="12.75">
      <c r="A154" s="1">
        <v>30835</v>
      </c>
      <c r="B154" s="3" t="s">
        <v>3</v>
      </c>
      <c r="C154" s="26">
        <f>1a!I156</f>
        <v>2066</v>
      </c>
      <c r="D154" s="26">
        <f>1a!J156</f>
        <v>0</v>
      </c>
      <c r="E154" s="26">
        <f>1a!K156</f>
        <v>239</v>
      </c>
      <c r="F154" s="26">
        <f>1a!L156</f>
        <v>0</v>
      </c>
      <c r="G154" s="26">
        <f>1a!M156</f>
        <v>448.5</v>
      </c>
      <c r="I154" s="5">
        <v>26</v>
      </c>
      <c r="J154" s="8" t="s">
        <v>114</v>
      </c>
      <c r="K154" s="5">
        <f t="shared" si="7"/>
        <v>39</v>
      </c>
      <c r="L154" s="8" t="s">
        <v>114</v>
      </c>
      <c r="M154" s="5">
        <v>1</v>
      </c>
      <c r="N154" s="2">
        <f t="shared" si="6"/>
        <v>63037</v>
      </c>
      <c r="P154" s="1"/>
    </row>
    <row r="155" spans="1:16" ht="12.75">
      <c r="A155" s="1">
        <v>60516</v>
      </c>
      <c r="B155" s="3" t="s">
        <v>7</v>
      </c>
      <c r="C155" s="26">
        <f>1a!I157</f>
        <v>2080</v>
      </c>
      <c r="D155" s="26">
        <f>1a!J157</f>
        <v>0</v>
      </c>
      <c r="E155" s="26">
        <f>1a!K157</f>
        <v>268</v>
      </c>
      <c r="F155" s="26">
        <f>1a!L157</f>
        <v>0</v>
      </c>
      <c r="G155" s="26">
        <f>1a!M157</f>
        <v>502.75</v>
      </c>
      <c r="H155" s="12"/>
      <c r="I155" s="5">
        <v>16.42</v>
      </c>
      <c r="J155" s="8" t="s">
        <v>114</v>
      </c>
      <c r="K155" s="5">
        <f t="shared" si="7"/>
        <v>24.63</v>
      </c>
      <c r="L155" s="8" t="s">
        <v>114</v>
      </c>
      <c r="M155" s="5">
        <v>1</v>
      </c>
      <c r="N155" s="2">
        <f t="shared" si="6"/>
        <v>40754.44</v>
      </c>
      <c r="P155" s="1"/>
    </row>
    <row r="156" spans="1:16" ht="12.75">
      <c r="A156" s="1">
        <v>60519</v>
      </c>
      <c r="B156" s="3" t="s">
        <v>7</v>
      </c>
      <c r="C156" s="26">
        <f>1a!I158</f>
        <v>2080</v>
      </c>
      <c r="D156" s="26">
        <f>1a!J158</f>
        <v>0</v>
      </c>
      <c r="E156" s="26">
        <f>1a!K158</f>
        <v>261.75</v>
      </c>
      <c r="F156" s="26">
        <f>1a!L158</f>
        <v>0</v>
      </c>
      <c r="G156" s="26">
        <f>1a!M158</f>
        <v>1386.5</v>
      </c>
      <c r="I156" s="5">
        <v>16.39</v>
      </c>
      <c r="J156" s="8" t="s">
        <v>114</v>
      </c>
      <c r="K156" s="5">
        <f t="shared" si="7"/>
        <v>24.59</v>
      </c>
      <c r="L156" s="8" t="s">
        <v>114</v>
      </c>
      <c r="M156" s="5">
        <v>1</v>
      </c>
      <c r="N156" s="2">
        <f t="shared" si="6"/>
        <v>40527.63250000001</v>
      </c>
      <c r="P156" s="1"/>
    </row>
    <row r="157" spans="1:16" ht="12.75">
      <c r="A157" s="1">
        <v>20925</v>
      </c>
      <c r="B157" s="3" t="s">
        <v>59</v>
      </c>
      <c r="C157" s="26">
        <f>1a!I159</f>
        <v>2120</v>
      </c>
      <c r="D157" s="26">
        <f>1a!J159</f>
        <v>0</v>
      </c>
      <c r="E157" s="26">
        <f>1a!K159</f>
        <v>0</v>
      </c>
      <c r="F157" s="26">
        <f>1a!L159</f>
        <v>0</v>
      </c>
      <c r="G157" s="26">
        <f>1a!M159</f>
        <v>0</v>
      </c>
      <c r="I157" s="5">
        <v>30.31</v>
      </c>
      <c r="J157" s="8" t="s">
        <v>114</v>
      </c>
      <c r="K157" s="5">
        <f t="shared" si="7"/>
        <v>45.47</v>
      </c>
      <c r="L157" s="8" t="s">
        <v>114</v>
      </c>
      <c r="M157" s="5">
        <v>1</v>
      </c>
      <c r="N157" s="2">
        <f t="shared" si="6"/>
        <v>64257.2</v>
      </c>
      <c r="P157" s="1"/>
    </row>
    <row r="158" spans="1:16" ht="12.75">
      <c r="A158" s="1">
        <v>60475</v>
      </c>
      <c r="B158" s="3" t="s">
        <v>60</v>
      </c>
      <c r="C158" s="26">
        <f>1a!I160</f>
        <v>1769.81</v>
      </c>
      <c r="D158" s="26">
        <f>1a!J160</f>
        <v>0</v>
      </c>
      <c r="E158" s="26">
        <f>1a!K160</f>
        <v>123.25</v>
      </c>
      <c r="F158" s="26">
        <f>1a!L160</f>
        <v>0</v>
      </c>
      <c r="G158" s="26">
        <f>1a!M160</f>
        <v>0</v>
      </c>
      <c r="I158" s="8" t="s">
        <v>114</v>
      </c>
      <c r="J158" s="8" t="s">
        <v>114</v>
      </c>
      <c r="K158" s="8" t="s">
        <v>114</v>
      </c>
      <c r="L158" s="8" t="s">
        <v>114</v>
      </c>
      <c r="M158" s="8" t="s">
        <v>114</v>
      </c>
      <c r="N158" s="2">
        <f t="shared" si="6"/>
        <v>0</v>
      </c>
      <c r="P158" s="1"/>
    </row>
    <row r="159" spans="1:16" ht="12.75">
      <c r="A159" s="1">
        <v>40975</v>
      </c>
      <c r="B159" s="3" t="s">
        <v>4</v>
      </c>
      <c r="C159" s="26">
        <f>1a!I161</f>
        <v>2080</v>
      </c>
      <c r="D159" s="26">
        <f>1a!J161</f>
        <v>0</v>
      </c>
      <c r="E159" s="26">
        <f>1a!K161</f>
        <v>0.25</v>
      </c>
      <c r="F159" s="26">
        <f>1a!L161</f>
        <v>0</v>
      </c>
      <c r="G159" s="26">
        <f>1a!M161</f>
        <v>0</v>
      </c>
      <c r="I159" s="5">
        <v>18.27</v>
      </c>
      <c r="J159" s="8" t="s">
        <v>114</v>
      </c>
      <c r="K159" s="5">
        <f t="shared" si="7"/>
        <v>27.41</v>
      </c>
      <c r="L159" s="8" t="s">
        <v>114</v>
      </c>
      <c r="M159" s="5">
        <v>1</v>
      </c>
      <c r="N159" s="2">
        <f t="shared" si="6"/>
        <v>38008.4525</v>
      </c>
      <c r="P159" s="1"/>
    </row>
    <row r="160" spans="1:16" ht="12.75">
      <c r="A160" s="1">
        <v>20930</v>
      </c>
      <c r="B160" s="3" t="s">
        <v>61</v>
      </c>
      <c r="C160" s="26">
        <f>1a!I162</f>
        <v>2100</v>
      </c>
      <c r="D160" s="26">
        <f>1a!J162</f>
        <v>0</v>
      </c>
      <c r="E160" s="26">
        <f>1a!K162</f>
        <v>0</v>
      </c>
      <c r="F160" s="26">
        <f>1a!L162</f>
        <v>0</v>
      </c>
      <c r="G160" s="26">
        <f>1a!M162</f>
        <v>0</v>
      </c>
      <c r="I160" s="5">
        <v>32.51</v>
      </c>
      <c r="J160" s="8" t="s">
        <v>114</v>
      </c>
      <c r="K160" s="5">
        <f t="shared" si="7"/>
        <v>48.77</v>
      </c>
      <c r="L160" s="8" t="s">
        <v>114</v>
      </c>
      <c r="M160" s="5">
        <v>1</v>
      </c>
      <c r="N160" s="2">
        <f t="shared" si="6"/>
        <v>68271</v>
      </c>
      <c r="P160" s="1"/>
    </row>
    <row r="161" spans="1:16" ht="12.75">
      <c r="A161" s="1">
        <v>20950</v>
      </c>
      <c r="B161" s="3" t="s">
        <v>131</v>
      </c>
      <c r="C161" s="26">
        <f>1a!I163</f>
        <v>306.40000000000003</v>
      </c>
      <c r="D161" s="26">
        <f>1a!J163</f>
        <v>0</v>
      </c>
      <c r="E161" s="26">
        <f>1a!K163</f>
        <v>0</v>
      </c>
      <c r="F161" s="26">
        <f>1a!L163</f>
        <v>0</v>
      </c>
      <c r="G161" s="26">
        <f>1a!M163</f>
        <v>24</v>
      </c>
      <c r="I161" s="5" t="s">
        <v>114</v>
      </c>
      <c r="J161" s="8" t="s">
        <v>114</v>
      </c>
      <c r="K161" s="5" t="s">
        <v>114</v>
      </c>
      <c r="L161" s="8" t="s">
        <v>114</v>
      </c>
      <c r="M161" s="5" t="s">
        <v>114</v>
      </c>
      <c r="N161" s="2">
        <f t="shared" si="6"/>
        <v>0</v>
      </c>
      <c r="P161" s="1"/>
    </row>
    <row r="162" spans="1:16" ht="12.75">
      <c r="A162" s="1">
        <v>60517</v>
      </c>
      <c r="B162" s="3" t="s">
        <v>62</v>
      </c>
      <c r="C162" s="26">
        <f>1a!I164</f>
        <v>1671</v>
      </c>
      <c r="D162" s="26">
        <f>1a!J164</f>
        <v>0</v>
      </c>
      <c r="E162" s="26">
        <f>1a!K164</f>
        <v>0</v>
      </c>
      <c r="F162" s="26">
        <f>1a!L164</f>
        <v>0</v>
      </c>
      <c r="G162" s="26">
        <f>1a!M164</f>
        <v>0</v>
      </c>
      <c r="I162" s="5">
        <v>32.37</v>
      </c>
      <c r="J162" s="8" t="s">
        <v>114</v>
      </c>
      <c r="K162" s="5">
        <f t="shared" si="7"/>
        <v>48.56</v>
      </c>
      <c r="L162" s="8" t="s">
        <v>114</v>
      </c>
      <c r="M162" s="5">
        <v>1</v>
      </c>
      <c r="N162" s="2">
        <f t="shared" si="6"/>
        <v>54090.27</v>
      </c>
      <c r="P162" s="1"/>
    </row>
    <row r="163" spans="1:16" ht="12.75">
      <c r="A163" s="1">
        <v>41010</v>
      </c>
      <c r="B163" s="3" t="s">
        <v>57</v>
      </c>
      <c r="C163" s="26">
        <f>1a!I165</f>
        <v>2080</v>
      </c>
      <c r="D163" s="26">
        <f>1a!J165</f>
        <v>0</v>
      </c>
      <c r="E163" s="26">
        <f>1a!K165</f>
        <v>57.25</v>
      </c>
      <c r="F163" s="26">
        <f>1a!L165</f>
        <v>0</v>
      </c>
      <c r="G163" s="26">
        <f>1a!M165</f>
        <v>0</v>
      </c>
      <c r="I163" s="5">
        <v>25.46</v>
      </c>
      <c r="J163" s="8" t="s">
        <v>114</v>
      </c>
      <c r="K163" s="5">
        <f t="shared" si="7"/>
        <v>38.19</v>
      </c>
      <c r="L163" s="8" t="s">
        <v>114</v>
      </c>
      <c r="M163" s="5">
        <v>1</v>
      </c>
      <c r="N163" s="2">
        <f t="shared" si="6"/>
        <v>55143.177500000005</v>
      </c>
      <c r="P163" s="1"/>
    </row>
    <row r="164" spans="1:16" ht="12.75">
      <c r="A164" s="1">
        <v>60538</v>
      </c>
      <c r="B164" s="3" t="s">
        <v>39</v>
      </c>
      <c r="C164" s="26">
        <f>1a!I166</f>
        <v>600</v>
      </c>
      <c r="D164" s="26">
        <f>1a!J166</f>
        <v>0</v>
      </c>
      <c r="E164" s="26">
        <f>1a!K166</f>
        <v>40.5</v>
      </c>
      <c r="F164" s="26">
        <f>1a!L166</f>
        <v>0</v>
      </c>
      <c r="G164" s="26">
        <f>1a!M166</f>
        <v>0</v>
      </c>
      <c r="I164" s="5">
        <v>16.13</v>
      </c>
      <c r="J164" s="8" t="s">
        <v>114</v>
      </c>
      <c r="K164" s="5">
        <f t="shared" si="7"/>
        <v>24.2</v>
      </c>
      <c r="L164" s="8" t="s">
        <v>114</v>
      </c>
      <c r="M164" s="5">
        <v>1</v>
      </c>
      <c r="N164" s="2">
        <f t="shared" si="6"/>
        <v>10658.1</v>
      </c>
      <c r="P164" s="1"/>
    </row>
    <row r="165" spans="1:16" ht="12.75">
      <c r="A165" s="1">
        <v>41125</v>
      </c>
      <c r="B165" s="3" t="s">
        <v>63</v>
      </c>
      <c r="C165" s="26">
        <f>1a!I167</f>
        <v>2080</v>
      </c>
      <c r="D165" s="26">
        <f>1a!J167</f>
        <v>0</v>
      </c>
      <c r="E165" s="26">
        <f>1a!K167</f>
        <v>49.5</v>
      </c>
      <c r="F165" s="26">
        <f>1a!L167</f>
        <v>0</v>
      </c>
      <c r="G165" s="26">
        <f>1a!M167</f>
        <v>0</v>
      </c>
      <c r="I165" s="5">
        <v>20.65</v>
      </c>
      <c r="J165" s="8" t="s">
        <v>114</v>
      </c>
      <c r="K165" s="5">
        <f t="shared" si="7"/>
        <v>30.98</v>
      </c>
      <c r="L165" s="8" t="s">
        <v>114</v>
      </c>
      <c r="M165" s="5">
        <v>1</v>
      </c>
      <c r="N165" s="2">
        <f t="shared" si="6"/>
        <v>44485.51</v>
      </c>
      <c r="P165" s="1"/>
    </row>
    <row r="166" spans="1:16" ht="12.75">
      <c r="A166" s="1">
        <v>60474</v>
      </c>
      <c r="B166" s="3" t="s">
        <v>64</v>
      </c>
      <c r="C166" s="26">
        <f>1a!I168</f>
        <v>586.5</v>
      </c>
      <c r="D166" s="26">
        <f>1a!J168</f>
        <v>0</v>
      </c>
      <c r="E166" s="26">
        <f>1a!K168</f>
        <v>0</v>
      </c>
      <c r="F166" s="26">
        <f>1a!L168</f>
        <v>0</v>
      </c>
      <c r="G166" s="26">
        <f>1a!M168</f>
        <v>0</v>
      </c>
      <c r="I166" s="8" t="s">
        <v>114</v>
      </c>
      <c r="J166" s="8" t="s">
        <v>114</v>
      </c>
      <c r="K166" s="8" t="s">
        <v>114</v>
      </c>
      <c r="L166" s="8" t="s">
        <v>114</v>
      </c>
      <c r="M166" s="8" t="s">
        <v>114</v>
      </c>
      <c r="N166" s="2">
        <f t="shared" si="6"/>
        <v>0</v>
      </c>
      <c r="P166" s="1"/>
    </row>
    <row r="167" spans="1:16" ht="12.75">
      <c r="A167" s="1">
        <v>60526</v>
      </c>
      <c r="B167" s="3" t="s">
        <v>7</v>
      </c>
      <c r="C167" s="26">
        <f>1a!I169</f>
        <v>1736</v>
      </c>
      <c r="D167" s="26">
        <f>1a!J169</f>
        <v>0</v>
      </c>
      <c r="E167" s="26">
        <f>1a!K169</f>
        <v>268.25</v>
      </c>
      <c r="F167" s="26">
        <f>1a!L169</f>
        <v>0</v>
      </c>
      <c r="G167" s="26">
        <f>1a!M169</f>
        <v>441.25</v>
      </c>
      <c r="I167" s="5">
        <v>16.17</v>
      </c>
      <c r="J167" s="8" t="s">
        <v>114</v>
      </c>
      <c r="K167" s="5">
        <f t="shared" si="7"/>
        <v>24.26</v>
      </c>
      <c r="L167" s="8" t="s">
        <v>114</v>
      </c>
      <c r="M167" s="5">
        <v>1</v>
      </c>
      <c r="N167" s="2">
        <f t="shared" si="6"/>
        <v>34578.865000000005</v>
      </c>
      <c r="P167" s="1"/>
    </row>
    <row r="168" spans="1:16" ht="12.75">
      <c r="A168" s="1">
        <v>21075</v>
      </c>
      <c r="B168" s="3" t="s">
        <v>27</v>
      </c>
      <c r="C168" s="26">
        <f>1a!I170</f>
        <v>824</v>
      </c>
      <c r="D168" s="26">
        <f>1a!J170</f>
        <v>0</v>
      </c>
      <c r="E168" s="26">
        <f>1a!K170</f>
        <v>11.5</v>
      </c>
      <c r="F168" s="26">
        <f>1a!L170</f>
        <v>0</v>
      </c>
      <c r="G168" s="26">
        <f>1a!M170</f>
        <v>0</v>
      </c>
      <c r="I168" s="8" t="s">
        <v>114</v>
      </c>
      <c r="J168" s="8" t="s">
        <v>114</v>
      </c>
      <c r="K168" s="8" t="s">
        <v>114</v>
      </c>
      <c r="L168" s="8" t="s">
        <v>114</v>
      </c>
      <c r="M168" s="8" t="s">
        <v>114</v>
      </c>
      <c r="N168" s="2">
        <f t="shared" si="6"/>
        <v>0</v>
      </c>
      <c r="P168" s="1"/>
    </row>
    <row r="169" spans="1:16" ht="12.75">
      <c r="A169" s="1">
        <v>60493</v>
      </c>
      <c r="B169" s="3" t="s">
        <v>7</v>
      </c>
      <c r="C169" s="26">
        <f>1a!I171</f>
        <v>2086.5</v>
      </c>
      <c r="D169" s="26">
        <f>1a!J171</f>
        <v>0</v>
      </c>
      <c r="E169" s="26">
        <f>1a!K171</f>
        <v>372.75</v>
      </c>
      <c r="F169" s="26">
        <f>1a!L171</f>
        <v>0</v>
      </c>
      <c r="G169" s="26">
        <f>1a!M171</f>
        <v>452</v>
      </c>
      <c r="I169" s="5">
        <v>16.72</v>
      </c>
      <c r="J169" s="8" t="s">
        <v>114</v>
      </c>
      <c r="K169" s="5">
        <f t="shared" si="7"/>
        <v>25.08</v>
      </c>
      <c r="L169" s="8" t="s">
        <v>114</v>
      </c>
      <c r="M169" s="5">
        <v>1</v>
      </c>
      <c r="N169" s="2">
        <f t="shared" si="6"/>
        <v>44234.85</v>
      </c>
      <c r="P169" s="1"/>
    </row>
    <row r="170" spans="1:16" ht="12.75">
      <c r="A170" s="1">
        <v>41150</v>
      </c>
      <c r="B170" s="3" t="s">
        <v>4</v>
      </c>
      <c r="C170" s="26">
        <f>1a!I172</f>
        <v>94.15</v>
      </c>
      <c r="D170" s="26">
        <f>1a!J172</f>
        <v>0</v>
      </c>
      <c r="E170" s="26">
        <f>1a!K172</f>
        <v>0</v>
      </c>
      <c r="F170" s="26">
        <f>1a!L172</f>
        <v>0</v>
      </c>
      <c r="G170" s="26">
        <f>1a!M172</f>
        <v>0</v>
      </c>
      <c r="I170" s="5" t="s">
        <v>114</v>
      </c>
      <c r="J170" s="8" t="s">
        <v>114</v>
      </c>
      <c r="K170" s="5" t="s">
        <v>114</v>
      </c>
      <c r="L170" s="8" t="s">
        <v>114</v>
      </c>
      <c r="M170" s="5" t="s">
        <v>114</v>
      </c>
      <c r="N170" s="2">
        <f t="shared" si="6"/>
        <v>0</v>
      </c>
      <c r="P170" s="1"/>
    </row>
    <row r="171" spans="1:16" ht="12.75">
      <c r="A171" s="1">
        <v>60500</v>
      </c>
      <c r="B171" s="3" t="s">
        <v>65</v>
      </c>
      <c r="C171" s="26">
        <f>1a!I173</f>
        <v>2120</v>
      </c>
      <c r="D171" s="26">
        <f>1a!J173</f>
        <v>0</v>
      </c>
      <c r="E171" s="26">
        <f>1a!K173</f>
        <v>0</v>
      </c>
      <c r="F171" s="26">
        <f>1a!L173</f>
        <v>0</v>
      </c>
      <c r="G171" s="26">
        <f>1a!M173</f>
        <v>0</v>
      </c>
      <c r="I171" s="5">
        <v>28.79</v>
      </c>
      <c r="J171" s="8" t="s">
        <v>114</v>
      </c>
      <c r="K171" s="5">
        <f t="shared" si="7"/>
        <v>43.19</v>
      </c>
      <c r="L171" s="8" t="s">
        <v>114</v>
      </c>
      <c r="M171" s="5">
        <v>1</v>
      </c>
      <c r="N171" s="2">
        <f t="shared" si="6"/>
        <v>61034.799999999996</v>
      </c>
      <c r="P171" s="1"/>
    </row>
    <row r="172" spans="1:16" ht="12.75">
      <c r="A172" s="1">
        <v>41160</v>
      </c>
      <c r="B172" s="3" t="s">
        <v>29</v>
      </c>
      <c r="C172" s="26">
        <f>1a!I174</f>
        <v>2120</v>
      </c>
      <c r="D172" s="26">
        <f>1a!J174</f>
        <v>0</v>
      </c>
      <c r="E172" s="26">
        <f>1a!K174</f>
        <v>277.5</v>
      </c>
      <c r="F172" s="26">
        <f>1a!L174</f>
        <v>0</v>
      </c>
      <c r="G172" s="26">
        <f>1a!M174</f>
        <v>0</v>
      </c>
      <c r="I172" s="5">
        <v>23.12</v>
      </c>
      <c r="J172" s="8" t="s">
        <v>114</v>
      </c>
      <c r="K172" s="5">
        <f t="shared" si="7"/>
        <v>34.68</v>
      </c>
      <c r="L172" s="8" t="s">
        <v>114</v>
      </c>
      <c r="M172" s="5">
        <v>1</v>
      </c>
      <c r="N172" s="2">
        <f t="shared" si="6"/>
        <v>58638.100000000006</v>
      </c>
      <c r="P172" s="1"/>
    </row>
    <row r="173" spans="1:16" ht="12.75">
      <c r="A173" s="1">
        <v>41225</v>
      </c>
      <c r="B173" s="3" t="s">
        <v>3</v>
      </c>
      <c r="C173" s="26">
        <f>1a!I175</f>
        <v>2080</v>
      </c>
      <c r="D173" s="26">
        <f>1a!J175</f>
        <v>0</v>
      </c>
      <c r="E173" s="26">
        <f>1a!K175</f>
        <v>544.5</v>
      </c>
      <c r="F173" s="26">
        <f>1a!L175</f>
        <v>0</v>
      </c>
      <c r="G173" s="26">
        <f>1a!M175</f>
        <v>453.75</v>
      </c>
      <c r="I173" s="5">
        <v>20.4</v>
      </c>
      <c r="J173" s="8" t="s">
        <v>114</v>
      </c>
      <c r="K173" s="5">
        <f t="shared" si="7"/>
        <v>30.6</v>
      </c>
      <c r="L173" s="8" t="s">
        <v>114</v>
      </c>
      <c r="M173" s="5">
        <v>1</v>
      </c>
      <c r="N173" s="2">
        <f t="shared" si="6"/>
        <v>59093.7</v>
      </c>
      <c r="P173" s="1"/>
    </row>
    <row r="174" spans="1:16" ht="12.75">
      <c r="A174" s="1">
        <v>41250</v>
      </c>
      <c r="B174" s="3" t="s">
        <v>66</v>
      </c>
      <c r="C174" s="26">
        <f>1a!I176</f>
        <v>2129.5</v>
      </c>
      <c r="D174" s="26">
        <f>1a!J176</f>
        <v>0</v>
      </c>
      <c r="E174" s="26">
        <f>1a!K176</f>
        <v>0</v>
      </c>
      <c r="F174" s="26">
        <f>1a!L176</f>
        <v>0</v>
      </c>
      <c r="G174" s="26">
        <f>1a!M176</f>
        <v>0</v>
      </c>
      <c r="I174" s="5">
        <v>38.34</v>
      </c>
      <c r="J174" s="8" t="s">
        <v>114</v>
      </c>
      <c r="K174" s="5">
        <f t="shared" si="7"/>
        <v>57.51</v>
      </c>
      <c r="L174" s="8" t="s">
        <v>114</v>
      </c>
      <c r="M174" s="5">
        <v>1</v>
      </c>
      <c r="N174" s="2">
        <f t="shared" si="6"/>
        <v>81645.03000000001</v>
      </c>
      <c r="P174" s="1"/>
    </row>
    <row r="175" spans="1:16" ht="12.75">
      <c r="A175" s="1">
        <v>21200</v>
      </c>
      <c r="B175" s="3" t="s">
        <v>67</v>
      </c>
      <c r="C175" s="26">
        <f>1a!I177</f>
        <v>2120</v>
      </c>
      <c r="D175" s="26">
        <f>1a!J177</f>
        <v>0</v>
      </c>
      <c r="E175" s="26">
        <f>1a!K177</f>
        <v>270</v>
      </c>
      <c r="F175" s="26">
        <f>1a!L177</f>
        <v>0</v>
      </c>
      <c r="G175" s="26">
        <f>1a!M177</f>
        <v>1829.5</v>
      </c>
      <c r="I175" s="5">
        <v>26.4</v>
      </c>
      <c r="J175" s="8" t="s">
        <v>114</v>
      </c>
      <c r="K175" s="5">
        <f t="shared" si="7"/>
        <v>39.6</v>
      </c>
      <c r="L175" s="8" t="s">
        <v>114</v>
      </c>
      <c r="M175" s="5">
        <v>1</v>
      </c>
      <c r="N175" s="2">
        <f t="shared" si="6"/>
        <v>66660</v>
      </c>
      <c r="P175" s="1"/>
    </row>
    <row r="176" spans="1:16" ht="12.75">
      <c r="A176" s="1">
        <v>60535</v>
      </c>
      <c r="B176" s="3" t="s">
        <v>7</v>
      </c>
      <c r="C176" s="26">
        <f>1a!I178</f>
        <v>709</v>
      </c>
      <c r="D176" s="26">
        <f>1a!J178</f>
        <v>0</v>
      </c>
      <c r="E176" s="26">
        <f>1a!K178</f>
        <v>153</v>
      </c>
      <c r="F176" s="26">
        <f>1a!L178</f>
        <v>0</v>
      </c>
      <c r="G176" s="26">
        <f>1a!M178</f>
        <v>318.75</v>
      </c>
      <c r="I176" s="5">
        <v>16.05</v>
      </c>
      <c r="J176" s="8" t="s">
        <v>114</v>
      </c>
      <c r="K176" s="5">
        <f t="shared" si="7"/>
        <v>24.08</v>
      </c>
      <c r="L176" s="8" t="s">
        <v>114</v>
      </c>
      <c r="M176" s="5">
        <v>1</v>
      </c>
      <c r="N176" s="2">
        <f t="shared" si="6"/>
        <v>15063.69</v>
      </c>
      <c r="P176" s="1"/>
    </row>
    <row r="177" spans="1:16" ht="12.75">
      <c r="A177" s="1">
        <v>60503</v>
      </c>
      <c r="B177" s="3" t="s">
        <v>68</v>
      </c>
      <c r="C177" s="26">
        <f>1a!I179</f>
        <v>1120</v>
      </c>
      <c r="D177" s="26">
        <f>1a!J179</f>
        <v>0</v>
      </c>
      <c r="E177" s="26">
        <f>1a!K179</f>
        <v>35</v>
      </c>
      <c r="F177" s="26">
        <f>1a!L179</f>
        <v>0</v>
      </c>
      <c r="G177" s="26">
        <f>1a!M179</f>
        <v>0</v>
      </c>
      <c r="I177" s="5">
        <v>21.58</v>
      </c>
      <c r="J177" s="8" t="s">
        <v>114</v>
      </c>
      <c r="K177" s="5">
        <f t="shared" si="7"/>
        <v>32.37</v>
      </c>
      <c r="L177" s="8" t="s">
        <v>114</v>
      </c>
      <c r="M177" s="5">
        <v>1</v>
      </c>
      <c r="N177" s="2">
        <f t="shared" si="6"/>
        <v>25302.55</v>
      </c>
      <c r="P177" s="1"/>
    </row>
    <row r="178" spans="1:16" ht="12.75">
      <c r="A178" s="1">
        <v>60455</v>
      </c>
      <c r="B178" s="3" t="s">
        <v>69</v>
      </c>
      <c r="C178" s="26">
        <f>1a!I180</f>
        <v>2080</v>
      </c>
      <c r="D178" s="26">
        <f>1a!J180</f>
        <v>0</v>
      </c>
      <c r="E178" s="26">
        <f>1a!K180</f>
        <v>0</v>
      </c>
      <c r="F178" s="26">
        <f>1a!L180</f>
        <v>0</v>
      </c>
      <c r="G178" s="26">
        <f>1a!M180</f>
        <v>0</v>
      </c>
      <c r="I178" s="5">
        <v>35.13</v>
      </c>
      <c r="J178" s="8" t="s">
        <v>114</v>
      </c>
      <c r="K178" s="5">
        <f t="shared" si="7"/>
        <v>52.7</v>
      </c>
      <c r="L178" s="8" t="s">
        <v>114</v>
      </c>
      <c r="M178" s="5">
        <v>1</v>
      </c>
      <c r="N178" s="2">
        <f t="shared" si="6"/>
        <v>73070.40000000001</v>
      </c>
      <c r="P178" s="1"/>
    </row>
    <row r="179" spans="1:16" ht="12.75">
      <c r="A179" s="1">
        <v>60483</v>
      </c>
      <c r="B179" s="3" t="s">
        <v>70</v>
      </c>
      <c r="C179" s="26">
        <f>1a!I181</f>
        <v>2104</v>
      </c>
      <c r="D179" s="26">
        <f>1a!J181</f>
        <v>0</v>
      </c>
      <c r="E179" s="26">
        <f>1a!K181</f>
        <v>117.75</v>
      </c>
      <c r="F179" s="26">
        <f>1a!L181</f>
        <v>0</v>
      </c>
      <c r="G179" s="26">
        <f>1a!M181</f>
        <v>1494.75</v>
      </c>
      <c r="I179" s="5">
        <v>16.75</v>
      </c>
      <c r="J179" s="8" t="s">
        <v>114</v>
      </c>
      <c r="K179" s="5">
        <f t="shared" si="7"/>
        <v>25.13</v>
      </c>
      <c r="L179" s="8" t="s">
        <v>114</v>
      </c>
      <c r="M179" s="5">
        <v>1</v>
      </c>
      <c r="N179" s="2">
        <f t="shared" si="6"/>
        <v>38201.0575</v>
      </c>
      <c r="P179" s="1"/>
    </row>
    <row r="180" spans="1:16" ht="12.75">
      <c r="A180" s="1">
        <v>60453</v>
      </c>
      <c r="B180" s="3" t="s">
        <v>3</v>
      </c>
      <c r="C180" s="26">
        <f>1a!I182</f>
        <v>2080</v>
      </c>
      <c r="D180" s="26">
        <f>1a!J182</f>
        <v>0</v>
      </c>
      <c r="E180" s="26">
        <f>1a!K182</f>
        <v>267.75</v>
      </c>
      <c r="F180" s="26">
        <f>1a!L182</f>
        <v>0</v>
      </c>
      <c r="G180" s="26">
        <f>1a!M182</f>
        <v>540.25</v>
      </c>
      <c r="I180" s="5">
        <v>19.45</v>
      </c>
      <c r="J180" s="8" t="s">
        <v>114</v>
      </c>
      <c r="K180" s="5">
        <f t="shared" si="7"/>
        <v>29.18</v>
      </c>
      <c r="L180" s="8" t="s">
        <v>114</v>
      </c>
      <c r="M180" s="5">
        <v>1</v>
      </c>
      <c r="N180" s="2">
        <f t="shared" si="6"/>
        <v>48268.945</v>
      </c>
      <c r="P180" s="1"/>
    </row>
    <row r="181" spans="1:16" ht="12.75">
      <c r="A181" s="1">
        <v>20760</v>
      </c>
      <c r="B181" s="3" t="s">
        <v>71</v>
      </c>
      <c r="C181" s="26">
        <f>1a!I183</f>
        <v>2080</v>
      </c>
      <c r="D181" s="26">
        <f>1a!J183</f>
        <v>0</v>
      </c>
      <c r="E181" s="26">
        <f>1a!K183</f>
        <v>17.5</v>
      </c>
      <c r="F181" s="26">
        <f>1a!L183</f>
        <v>0</v>
      </c>
      <c r="G181" s="26">
        <f>1a!M183</f>
        <v>0</v>
      </c>
      <c r="I181" s="5">
        <v>24.83</v>
      </c>
      <c r="J181" s="8" t="s">
        <v>114</v>
      </c>
      <c r="K181" s="5">
        <f t="shared" si="7"/>
        <v>37.25</v>
      </c>
      <c r="L181" s="8" t="s">
        <v>114</v>
      </c>
      <c r="M181" s="5">
        <v>1</v>
      </c>
      <c r="N181" s="2">
        <f t="shared" si="6"/>
        <v>52298.274999999994</v>
      </c>
      <c r="P181" s="1"/>
    </row>
    <row r="182" spans="1:14" ht="12.75">
      <c r="A182" s="1"/>
      <c r="B182" s="3"/>
      <c r="N182" s="2"/>
    </row>
    <row r="183" spans="1:14" ht="12.75">
      <c r="A183" s="31" t="s">
        <v>95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1:14" ht="12.75">
      <c r="A184" s="31" t="s">
        <v>96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1:14" ht="12.75">
      <c r="A185" s="31" t="s">
        <v>107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1:14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33" t="s">
        <v>106</v>
      </c>
    </row>
    <row r="187" spans="1:14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33" t="s">
        <v>113</v>
      </c>
    </row>
    <row r="188" spans="1:14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34" t="s">
        <v>99</v>
      </c>
    </row>
    <row r="189" spans="3:13" ht="12.75">
      <c r="C189" s="32" t="s">
        <v>84</v>
      </c>
      <c r="D189" s="32"/>
      <c r="E189" s="32"/>
      <c r="F189" s="32"/>
      <c r="G189" s="32"/>
      <c r="I189" s="6"/>
      <c r="J189" s="6"/>
      <c r="K189" s="6"/>
      <c r="L189" s="6"/>
      <c r="M189" s="6"/>
    </row>
    <row r="190" spans="3:13" ht="12.75">
      <c r="C190" s="32" t="s">
        <v>85</v>
      </c>
      <c r="D190" s="32"/>
      <c r="E190" s="32"/>
      <c r="F190" s="32"/>
      <c r="G190" s="32"/>
      <c r="I190" s="32" t="s">
        <v>109</v>
      </c>
      <c r="J190" s="32"/>
      <c r="K190" s="32"/>
      <c r="L190" s="32"/>
      <c r="M190" s="32"/>
    </row>
    <row r="191" spans="3:14" ht="12.75">
      <c r="C191" s="11"/>
      <c r="D191" s="20" t="s">
        <v>117</v>
      </c>
      <c r="E191" s="11"/>
      <c r="F191" s="20" t="s">
        <v>117</v>
      </c>
      <c r="G191" s="11"/>
      <c r="H191" s="11"/>
      <c r="M191" s="11"/>
      <c r="N191" s="20" t="s">
        <v>87</v>
      </c>
    </row>
    <row r="192" spans="3:14" ht="12.75">
      <c r="C192" s="20" t="s">
        <v>82</v>
      </c>
      <c r="D192" s="20" t="s">
        <v>118</v>
      </c>
      <c r="E192" s="20" t="s">
        <v>83</v>
      </c>
      <c r="F192" s="20" t="s">
        <v>83</v>
      </c>
      <c r="G192" s="20" t="s">
        <v>121</v>
      </c>
      <c r="I192" s="11"/>
      <c r="J192" s="20" t="s">
        <v>117</v>
      </c>
      <c r="K192" s="11"/>
      <c r="L192" s="20" t="s">
        <v>117</v>
      </c>
      <c r="M192" s="11"/>
      <c r="N192" s="20" t="s">
        <v>108</v>
      </c>
    </row>
    <row r="193" spans="1:14" ht="12.75">
      <c r="A193" s="11" t="s">
        <v>0</v>
      </c>
      <c r="B193" s="11" t="s">
        <v>1</v>
      </c>
      <c r="C193" s="22" t="s">
        <v>129</v>
      </c>
      <c r="D193" s="22" t="s">
        <v>129</v>
      </c>
      <c r="E193" s="25" t="s">
        <v>129</v>
      </c>
      <c r="F193" s="25" t="s">
        <v>129</v>
      </c>
      <c r="G193" s="25" t="s">
        <v>129</v>
      </c>
      <c r="H193" s="12"/>
      <c r="I193" s="12" t="s">
        <v>82</v>
      </c>
      <c r="J193" s="12" t="s">
        <v>118</v>
      </c>
      <c r="K193" s="12" t="s">
        <v>83</v>
      </c>
      <c r="L193" s="12" t="s">
        <v>83</v>
      </c>
      <c r="M193" s="12" t="s">
        <v>121</v>
      </c>
      <c r="N193" s="11" t="s">
        <v>88</v>
      </c>
    </row>
    <row r="194" spans="1:16" ht="12.75">
      <c r="A194" s="1">
        <v>60473</v>
      </c>
      <c r="B194" s="3" t="s">
        <v>3</v>
      </c>
      <c r="C194" s="26">
        <f>1a!I193</f>
        <v>2075</v>
      </c>
      <c r="D194" s="26">
        <f>1a!J193</f>
        <v>0</v>
      </c>
      <c r="E194" s="26">
        <f>1a!K193</f>
        <v>437.75</v>
      </c>
      <c r="F194" s="26">
        <f>1a!L193</f>
        <v>0</v>
      </c>
      <c r="G194" s="26">
        <f>1a!M193</f>
        <v>546</v>
      </c>
      <c r="I194" s="5">
        <v>18.87</v>
      </c>
      <c r="J194" s="5" t="s">
        <v>114</v>
      </c>
      <c r="K194" s="5">
        <f>ROUND(I194*1.5,2)</f>
        <v>28.31</v>
      </c>
      <c r="L194" s="5" t="s">
        <v>114</v>
      </c>
      <c r="M194" s="5">
        <v>1</v>
      </c>
      <c r="N194" s="2">
        <f>IF(I194&lt;&gt;"N/A",(C194*I194)+(E194*K194),0)</f>
        <v>51547.9525</v>
      </c>
      <c r="P194" s="1"/>
    </row>
    <row r="195" spans="1:16" ht="12.75">
      <c r="A195" s="1">
        <v>60461</v>
      </c>
      <c r="B195" s="3" t="s">
        <v>29</v>
      </c>
      <c r="C195" s="26">
        <f>1a!I194</f>
        <v>2080</v>
      </c>
      <c r="D195" s="26">
        <f>1a!J194</f>
        <v>0</v>
      </c>
      <c r="E195" s="26">
        <f>1a!K194</f>
        <v>156.5</v>
      </c>
      <c r="F195" s="26">
        <f>1a!L194</f>
        <v>0</v>
      </c>
      <c r="G195" s="26">
        <f>1a!M194</f>
        <v>0</v>
      </c>
      <c r="I195" s="5">
        <v>17.68</v>
      </c>
      <c r="J195" s="5" t="s">
        <v>114</v>
      </c>
      <c r="K195" s="5">
        <f aca="true" t="shared" si="8" ref="K195:K219">ROUND(I195*1.5,2)</f>
        <v>26.52</v>
      </c>
      <c r="L195" s="5" t="s">
        <v>114</v>
      </c>
      <c r="M195" s="5">
        <v>1</v>
      </c>
      <c r="N195" s="2">
        <f aca="true" t="shared" si="9" ref="N195:N219">IF(I195&lt;&gt;"N/A",(C195*I195)+(E195*K195),0)</f>
        <v>40924.78</v>
      </c>
      <c r="P195" s="1"/>
    </row>
    <row r="196" spans="1:16" ht="12.75">
      <c r="A196" s="1">
        <v>30900</v>
      </c>
      <c r="B196" s="3" t="s">
        <v>16</v>
      </c>
      <c r="C196" s="26">
        <f>1a!I195</f>
        <v>2080</v>
      </c>
      <c r="D196" s="26">
        <f>1a!J195</f>
        <v>0</v>
      </c>
      <c r="E196" s="26">
        <f>1a!K195</f>
        <v>265</v>
      </c>
      <c r="F196" s="26">
        <f>1a!L195</f>
        <v>0</v>
      </c>
      <c r="G196" s="26">
        <f>1a!M195</f>
        <v>793.5</v>
      </c>
      <c r="I196" s="5">
        <v>24.44</v>
      </c>
      <c r="J196" s="5" t="s">
        <v>114</v>
      </c>
      <c r="K196" s="5">
        <f t="shared" si="8"/>
        <v>36.66</v>
      </c>
      <c r="L196" s="5" t="s">
        <v>114</v>
      </c>
      <c r="M196" s="5">
        <v>1</v>
      </c>
      <c r="N196" s="2">
        <f t="shared" si="9"/>
        <v>60550.100000000006</v>
      </c>
      <c r="P196" s="1"/>
    </row>
    <row r="197" spans="1:16" ht="12.75">
      <c r="A197" s="1">
        <v>60481</v>
      </c>
      <c r="B197" s="3" t="s">
        <v>8</v>
      </c>
      <c r="C197" s="26">
        <f>1a!I196</f>
        <v>2120</v>
      </c>
      <c r="D197" s="26">
        <f>1a!J196</f>
        <v>0</v>
      </c>
      <c r="E197" s="26">
        <f>1a!K196</f>
        <v>41.5</v>
      </c>
      <c r="F197" s="26">
        <f>1a!L196</f>
        <v>0</v>
      </c>
      <c r="G197" s="26">
        <f>1a!M196</f>
        <v>0</v>
      </c>
      <c r="I197" s="5">
        <v>19.29</v>
      </c>
      <c r="J197" s="5">
        <f>I197+1</f>
        <v>20.29</v>
      </c>
      <c r="K197" s="5">
        <f>ROUND(I197*1.5,2)</f>
        <v>28.94</v>
      </c>
      <c r="L197" s="5">
        <f>ROUND(J197*1.5,2)</f>
        <v>30.44</v>
      </c>
      <c r="M197" s="5">
        <v>1</v>
      </c>
      <c r="N197" s="2">
        <f>IF(I197&lt;&gt;"N/A",(C197*I197)+(D197*J197)+(E197*K197)+(F197*L197)+(G197*M197),0)</f>
        <v>42095.81</v>
      </c>
      <c r="P197" s="1"/>
    </row>
    <row r="198" spans="1:16" ht="12.75">
      <c r="A198" s="1">
        <v>60478</v>
      </c>
      <c r="B198" s="3" t="s">
        <v>31</v>
      </c>
      <c r="C198" s="26">
        <f>1a!I197</f>
        <v>2080</v>
      </c>
      <c r="D198" s="26">
        <f>1a!J197</f>
        <v>0</v>
      </c>
      <c r="E198" s="26">
        <f>1a!K197</f>
        <v>103.5</v>
      </c>
      <c r="F198" s="26">
        <f>1a!L197</f>
        <v>0</v>
      </c>
      <c r="G198" s="26">
        <f>1a!M197</f>
        <v>202</v>
      </c>
      <c r="I198" s="5">
        <v>28.72</v>
      </c>
      <c r="J198" s="5" t="s">
        <v>114</v>
      </c>
      <c r="K198" s="5">
        <f t="shared" si="8"/>
        <v>43.08</v>
      </c>
      <c r="L198" s="5" t="s">
        <v>114</v>
      </c>
      <c r="M198" s="5">
        <v>1</v>
      </c>
      <c r="N198" s="2">
        <f t="shared" si="9"/>
        <v>64196.38</v>
      </c>
      <c r="P198" s="1"/>
    </row>
    <row r="199" spans="1:16" ht="12.75">
      <c r="A199" s="1">
        <v>60499</v>
      </c>
      <c r="B199" s="3" t="s">
        <v>72</v>
      </c>
      <c r="C199" s="26">
        <f>1a!I198</f>
        <v>2080</v>
      </c>
      <c r="D199" s="26">
        <f>1a!J198</f>
        <v>0</v>
      </c>
      <c r="E199" s="26">
        <f>1a!K198</f>
        <v>0</v>
      </c>
      <c r="F199" s="26">
        <f>1a!L198</f>
        <v>0</v>
      </c>
      <c r="G199" s="26">
        <f>1a!M198</f>
        <v>0</v>
      </c>
      <c r="I199" s="5">
        <v>29.34</v>
      </c>
      <c r="J199" s="5" t="s">
        <v>114</v>
      </c>
      <c r="K199" s="5">
        <f t="shared" si="8"/>
        <v>44.01</v>
      </c>
      <c r="L199" s="5" t="s">
        <v>114</v>
      </c>
      <c r="M199" s="5">
        <v>1</v>
      </c>
      <c r="N199" s="2">
        <f t="shared" si="9"/>
        <v>61027.2</v>
      </c>
      <c r="P199" s="1"/>
    </row>
    <row r="200" spans="1:16" ht="12.75">
      <c r="A200" s="1">
        <v>21375</v>
      </c>
      <c r="B200" s="3" t="s">
        <v>31</v>
      </c>
      <c r="C200" s="26">
        <f>1a!I199</f>
        <v>2120</v>
      </c>
      <c r="D200" s="26">
        <f>1a!J199</f>
        <v>0</v>
      </c>
      <c r="E200" s="26">
        <f>1a!K199</f>
        <v>510</v>
      </c>
      <c r="F200" s="26">
        <f>1a!L199</f>
        <v>0</v>
      </c>
      <c r="G200" s="26">
        <f>1a!M199</f>
        <v>0</v>
      </c>
      <c r="I200" s="5">
        <v>28.74</v>
      </c>
      <c r="J200" s="5" t="s">
        <v>114</v>
      </c>
      <c r="K200" s="5">
        <f t="shared" si="8"/>
        <v>43.11</v>
      </c>
      <c r="L200" s="5" t="s">
        <v>114</v>
      </c>
      <c r="M200" s="5">
        <v>1</v>
      </c>
      <c r="N200" s="2">
        <f t="shared" si="9"/>
        <v>82914.9</v>
      </c>
      <c r="P200" s="1"/>
    </row>
    <row r="201" spans="1:16" ht="12.75">
      <c r="A201" s="1">
        <v>60539</v>
      </c>
      <c r="B201" s="3" t="s">
        <v>43</v>
      </c>
      <c r="C201" s="26">
        <f>1a!I200</f>
        <v>600</v>
      </c>
      <c r="D201" s="26">
        <f>1a!J200</f>
        <v>0</v>
      </c>
      <c r="E201" s="26">
        <f>1a!K200</f>
        <v>0.5</v>
      </c>
      <c r="F201" s="26">
        <f>1a!L200</f>
        <v>0</v>
      </c>
      <c r="G201" s="26">
        <f>1a!M200</f>
        <v>0</v>
      </c>
      <c r="H201" s="13"/>
      <c r="I201" s="5">
        <v>18.54</v>
      </c>
      <c r="J201" s="5" t="s">
        <v>114</v>
      </c>
      <c r="K201" s="5">
        <f t="shared" si="8"/>
        <v>27.81</v>
      </c>
      <c r="L201" s="5" t="s">
        <v>114</v>
      </c>
      <c r="M201" s="5">
        <v>1</v>
      </c>
      <c r="N201" s="2">
        <f t="shared" si="9"/>
        <v>11137.905</v>
      </c>
      <c r="P201" s="1"/>
    </row>
    <row r="202" spans="1:16" ht="12.75">
      <c r="A202" s="1">
        <v>21380</v>
      </c>
      <c r="B202" s="3" t="s">
        <v>21</v>
      </c>
      <c r="C202" s="26">
        <f>1a!I201</f>
        <v>2081</v>
      </c>
      <c r="D202" s="26">
        <f>1a!J201</f>
        <v>0</v>
      </c>
      <c r="E202" s="26">
        <f>1a!K201</f>
        <v>112</v>
      </c>
      <c r="F202" s="26">
        <f>1a!L201</f>
        <v>0</v>
      </c>
      <c r="G202" s="26">
        <f>1a!M201</f>
        <v>1681</v>
      </c>
      <c r="H202" s="13"/>
      <c r="I202" s="5">
        <v>25.56</v>
      </c>
      <c r="J202" s="5" t="s">
        <v>114</v>
      </c>
      <c r="K202" s="5">
        <f t="shared" si="8"/>
        <v>38.34</v>
      </c>
      <c r="L202" s="5" t="s">
        <v>114</v>
      </c>
      <c r="M202" s="5">
        <v>1</v>
      </c>
      <c r="N202" s="2">
        <f t="shared" si="9"/>
        <v>57484.44</v>
      </c>
      <c r="P202" s="1"/>
    </row>
    <row r="203" spans="1:16" ht="12.75">
      <c r="A203" s="1">
        <v>30975</v>
      </c>
      <c r="B203" s="3" t="s">
        <v>73</v>
      </c>
      <c r="C203" s="26">
        <f>1a!I202</f>
        <v>2079.5</v>
      </c>
      <c r="D203" s="26">
        <f>1a!J202</f>
        <v>0</v>
      </c>
      <c r="E203" s="26">
        <f>1a!K202</f>
        <v>58</v>
      </c>
      <c r="F203" s="26">
        <f>1a!L202</f>
        <v>0</v>
      </c>
      <c r="G203" s="26">
        <f>1a!M202</f>
        <v>0</v>
      </c>
      <c r="H203" s="9"/>
      <c r="I203" s="5">
        <v>20.54</v>
      </c>
      <c r="J203" s="5" t="s">
        <v>114</v>
      </c>
      <c r="K203" s="5">
        <f t="shared" si="8"/>
        <v>30.81</v>
      </c>
      <c r="L203" s="5" t="s">
        <v>114</v>
      </c>
      <c r="M203" s="5">
        <v>1</v>
      </c>
      <c r="N203" s="2">
        <f t="shared" si="9"/>
        <v>44499.91</v>
      </c>
      <c r="P203" s="1"/>
    </row>
    <row r="204" spans="1:16" ht="12.75">
      <c r="A204" s="1">
        <v>21390</v>
      </c>
      <c r="B204" s="3" t="s">
        <v>74</v>
      </c>
      <c r="C204" s="26">
        <f>1a!I203</f>
        <v>577.75</v>
      </c>
      <c r="D204" s="26">
        <f>1a!J203</f>
        <v>0</v>
      </c>
      <c r="E204" s="26">
        <f>1a!K203</f>
        <v>0</v>
      </c>
      <c r="F204" s="26">
        <f>1a!L203</f>
        <v>0</v>
      </c>
      <c r="G204" s="26">
        <f>1a!M203</f>
        <v>0</v>
      </c>
      <c r="H204" s="13"/>
      <c r="I204" s="8" t="s">
        <v>114</v>
      </c>
      <c r="J204" s="5" t="s">
        <v>114</v>
      </c>
      <c r="K204" s="8" t="s">
        <v>114</v>
      </c>
      <c r="L204" s="5" t="s">
        <v>114</v>
      </c>
      <c r="M204" s="8" t="s">
        <v>114</v>
      </c>
      <c r="N204" s="2">
        <f t="shared" si="9"/>
        <v>0</v>
      </c>
      <c r="P204" s="1"/>
    </row>
    <row r="205" spans="1:16" ht="12.75">
      <c r="A205" s="1">
        <v>41320</v>
      </c>
      <c r="B205" s="3" t="s">
        <v>3</v>
      </c>
      <c r="C205" s="26">
        <f>1a!I204</f>
        <v>2077.5</v>
      </c>
      <c r="D205" s="26">
        <f>1a!J204</f>
        <v>0</v>
      </c>
      <c r="E205" s="26">
        <f>1a!K204</f>
        <v>486.75</v>
      </c>
      <c r="F205" s="26">
        <f>1a!L204</f>
        <v>0</v>
      </c>
      <c r="G205" s="26">
        <f>1a!M204</f>
        <v>379.25</v>
      </c>
      <c r="H205" s="11"/>
      <c r="I205" s="5">
        <v>27.65</v>
      </c>
      <c r="J205" s="5" t="s">
        <v>114</v>
      </c>
      <c r="K205" s="5">
        <f t="shared" si="8"/>
        <v>41.48</v>
      </c>
      <c r="L205" s="5" t="s">
        <v>114</v>
      </c>
      <c r="M205" s="5">
        <v>1</v>
      </c>
      <c r="N205" s="2">
        <f t="shared" si="9"/>
        <v>77633.265</v>
      </c>
      <c r="P205" s="1"/>
    </row>
    <row r="206" spans="1:16" ht="12.75">
      <c r="A206" s="1">
        <v>60490</v>
      </c>
      <c r="B206" s="3" t="s">
        <v>8</v>
      </c>
      <c r="C206" s="26">
        <f>1a!I205</f>
        <v>256</v>
      </c>
      <c r="D206" s="26">
        <f>1a!J205</f>
        <v>1824</v>
      </c>
      <c r="E206" s="26">
        <f>1a!K205</f>
        <v>1.5</v>
      </c>
      <c r="F206" s="26">
        <f>1a!L205</f>
        <v>3</v>
      </c>
      <c r="G206" s="26">
        <f>1a!M205</f>
        <v>0</v>
      </c>
      <c r="H206" s="11"/>
      <c r="I206" s="5">
        <v>19.44</v>
      </c>
      <c r="J206" s="5">
        <f>I206+1</f>
        <v>20.44</v>
      </c>
      <c r="K206" s="5">
        <f>ROUND(I206*1.5,2)</f>
        <v>29.16</v>
      </c>
      <c r="L206" s="5">
        <f>ROUND(J206*1.5,2)</f>
        <v>30.66</v>
      </c>
      <c r="M206" s="5">
        <v>1</v>
      </c>
      <c r="N206" s="2">
        <f>IF(I206&lt;&gt;"N/A",(C206*I206)+(D206*J206)+(E206*K206)+(F206*L206)+(G206*M206),0)</f>
        <v>42394.920000000006</v>
      </c>
      <c r="P206" s="1"/>
    </row>
    <row r="207" spans="1:16" ht="12.75">
      <c r="A207" s="1">
        <v>21415</v>
      </c>
      <c r="B207" s="3" t="s">
        <v>75</v>
      </c>
      <c r="C207" s="26">
        <f>1a!I206</f>
        <v>2127.25</v>
      </c>
      <c r="D207" s="26">
        <f>1a!J206</f>
        <v>0</v>
      </c>
      <c r="E207" s="26">
        <f>1a!K206</f>
        <v>54</v>
      </c>
      <c r="F207" s="26">
        <f>1a!L206</f>
        <v>0</v>
      </c>
      <c r="G207" s="26">
        <f>1a!M206</f>
        <v>0</v>
      </c>
      <c r="I207" s="5">
        <v>17.8</v>
      </c>
      <c r="J207" s="5" t="s">
        <v>114</v>
      </c>
      <c r="K207" s="5">
        <f t="shared" si="8"/>
        <v>26.7</v>
      </c>
      <c r="L207" s="5" t="s">
        <v>114</v>
      </c>
      <c r="M207" s="5">
        <v>1</v>
      </c>
      <c r="N207" s="2">
        <f t="shared" si="9"/>
        <v>39306.850000000006</v>
      </c>
      <c r="P207" s="1"/>
    </row>
    <row r="208" spans="1:16" ht="12.75">
      <c r="A208" s="1">
        <v>60464</v>
      </c>
      <c r="B208" s="3" t="s">
        <v>8</v>
      </c>
      <c r="C208" s="26">
        <f>1a!I207</f>
        <v>192</v>
      </c>
      <c r="D208" s="26">
        <f>1a!J207</f>
        <v>1888</v>
      </c>
      <c r="E208" s="26">
        <f>1a!K207</f>
        <v>7.5</v>
      </c>
      <c r="F208" s="26">
        <f>1a!L207</f>
        <v>45</v>
      </c>
      <c r="G208" s="26">
        <f>1a!M207</f>
        <v>0</v>
      </c>
      <c r="I208" s="5">
        <v>19.33</v>
      </c>
      <c r="J208" s="5">
        <f>I208+1</f>
        <v>20.33</v>
      </c>
      <c r="K208" s="5">
        <f>ROUND(I208*1.5,2)</f>
        <v>29</v>
      </c>
      <c r="L208" s="5">
        <f>ROUND(J208*1.5,2)</f>
        <v>30.5</v>
      </c>
      <c r="M208" s="5">
        <v>1</v>
      </c>
      <c r="N208" s="2">
        <f>IF(I208&lt;&gt;"N/A",(C208*I208)+(D208*J208)+(E208*K208)+(F208*L208)+(G208*M208),0)</f>
        <v>43684.399999999994</v>
      </c>
      <c r="P208" s="1"/>
    </row>
    <row r="209" spans="1:16" ht="12.75">
      <c r="A209" s="1">
        <v>60502</v>
      </c>
      <c r="B209" s="3" t="s">
        <v>76</v>
      </c>
      <c r="C209" s="26">
        <f>1a!I208</f>
        <v>459.25</v>
      </c>
      <c r="D209" s="26">
        <f>1a!J208</f>
        <v>0</v>
      </c>
      <c r="E209" s="26">
        <f>1a!K208</f>
        <v>0</v>
      </c>
      <c r="F209" s="26">
        <f>1a!L208</f>
        <v>0</v>
      </c>
      <c r="G209" s="26">
        <f>1a!M208</f>
        <v>0</v>
      </c>
      <c r="I209" s="8" t="s">
        <v>114</v>
      </c>
      <c r="J209" s="8" t="s">
        <v>114</v>
      </c>
      <c r="K209" s="8" t="s">
        <v>114</v>
      </c>
      <c r="L209" s="5" t="s">
        <v>114</v>
      </c>
      <c r="M209" s="8" t="s">
        <v>114</v>
      </c>
      <c r="N209" s="2">
        <f>IF(I209&lt;&gt;"N/A",(C209*I209)+(E209*K209),0)</f>
        <v>0</v>
      </c>
      <c r="P209" s="1"/>
    </row>
    <row r="210" spans="1:16" ht="12.75">
      <c r="A210" s="1">
        <v>21430</v>
      </c>
      <c r="B210" s="3" t="s">
        <v>68</v>
      </c>
      <c r="C210" s="26">
        <f>1a!I209</f>
        <v>2120</v>
      </c>
      <c r="D210" s="26">
        <f>1a!J209</f>
        <v>0</v>
      </c>
      <c r="E210" s="26">
        <f>1a!K209</f>
        <v>0</v>
      </c>
      <c r="F210" s="26">
        <f>1a!L209</f>
        <v>0</v>
      </c>
      <c r="G210" s="26">
        <f>1a!M209</f>
        <v>0</v>
      </c>
      <c r="H210" s="12"/>
      <c r="I210" s="5">
        <v>30</v>
      </c>
      <c r="J210" s="5" t="s">
        <v>114</v>
      </c>
      <c r="K210" s="5">
        <f t="shared" si="8"/>
        <v>45</v>
      </c>
      <c r="L210" s="5" t="s">
        <v>114</v>
      </c>
      <c r="M210" s="5">
        <v>1</v>
      </c>
      <c r="N210" s="2">
        <f t="shared" si="9"/>
        <v>63600</v>
      </c>
      <c r="P210" s="1"/>
    </row>
    <row r="211" spans="1:16" ht="12.75">
      <c r="A211" s="1">
        <v>21450</v>
      </c>
      <c r="B211" s="3" t="s">
        <v>77</v>
      </c>
      <c r="C211" s="26">
        <f>1a!I210</f>
        <v>2120</v>
      </c>
      <c r="D211" s="26">
        <f>1a!J210</f>
        <v>0</v>
      </c>
      <c r="E211" s="26">
        <f>1a!K210</f>
        <v>0</v>
      </c>
      <c r="F211" s="26">
        <f>1a!L210</f>
        <v>0</v>
      </c>
      <c r="G211" s="26">
        <f>1a!M210</f>
        <v>0</v>
      </c>
      <c r="I211" s="5">
        <v>49.93</v>
      </c>
      <c r="J211" s="5" t="s">
        <v>114</v>
      </c>
      <c r="K211" s="5">
        <v>0</v>
      </c>
      <c r="L211" s="5" t="s">
        <v>114</v>
      </c>
      <c r="M211" s="5">
        <v>1</v>
      </c>
      <c r="N211" s="2">
        <f t="shared" si="9"/>
        <v>105851.6</v>
      </c>
      <c r="P211" s="1"/>
    </row>
    <row r="212" spans="1:16" ht="12.75">
      <c r="A212" s="1">
        <v>41510</v>
      </c>
      <c r="B212" s="3" t="s">
        <v>7</v>
      </c>
      <c r="C212" s="26">
        <f>1a!I211</f>
        <v>2080</v>
      </c>
      <c r="D212" s="26">
        <f>1a!J211</f>
        <v>0</v>
      </c>
      <c r="E212" s="26">
        <f>1a!K211</f>
        <v>193.75</v>
      </c>
      <c r="F212" s="26">
        <f>1a!L211</f>
        <v>0</v>
      </c>
      <c r="G212" s="26">
        <f>1a!M211</f>
        <v>438.5</v>
      </c>
      <c r="I212" s="8" t="s">
        <v>114</v>
      </c>
      <c r="J212" s="5" t="s">
        <v>114</v>
      </c>
      <c r="K212" s="8" t="s">
        <v>114</v>
      </c>
      <c r="L212" s="5" t="s">
        <v>114</v>
      </c>
      <c r="M212" s="8" t="s">
        <v>114</v>
      </c>
      <c r="N212" s="2">
        <f t="shared" si="9"/>
        <v>0</v>
      </c>
      <c r="P212" s="1"/>
    </row>
    <row r="213" spans="1:16" ht="12.75">
      <c r="A213" s="1">
        <v>21475</v>
      </c>
      <c r="B213" s="3" t="s">
        <v>21</v>
      </c>
      <c r="C213" s="26">
        <f>1a!I212</f>
        <v>2080</v>
      </c>
      <c r="D213" s="26">
        <f>1a!J212</f>
        <v>0</v>
      </c>
      <c r="E213" s="26">
        <f>1a!K212</f>
        <v>71.5</v>
      </c>
      <c r="F213" s="26">
        <f>1a!L212</f>
        <v>0</v>
      </c>
      <c r="G213" s="26">
        <f>1a!M212</f>
        <v>1740</v>
      </c>
      <c r="I213" s="5">
        <v>25.46</v>
      </c>
      <c r="J213" s="5" t="s">
        <v>114</v>
      </c>
      <c r="K213" s="5">
        <f t="shared" si="8"/>
        <v>38.19</v>
      </c>
      <c r="L213" s="5" t="s">
        <v>114</v>
      </c>
      <c r="M213" s="5">
        <v>1</v>
      </c>
      <c r="N213" s="2">
        <f t="shared" si="9"/>
        <v>55687.385</v>
      </c>
      <c r="P213" s="1"/>
    </row>
    <row r="214" spans="1:16" ht="12.75">
      <c r="A214" s="1">
        <v>31025</v>
      </c>
      <c r="B214" s="3" t="s">
        <v>78</v>
      </c>
      <c r="C214" s="26">
        <f>1a!I213</f>
        <v>2080</v>
      </c>
      <c r="D214" s="26">
        <f>1a!J213</f>
        <v>0</v>
      </c>
      <c r="E214" s="26">
        <f>1a!K213</f>
        <v>26.17</v>
      </c>
      <c r="F214" s="26">
        <f>1a!L213</f>
        <v>0</v>
      </c>
      <c r="G214" s="26">
        <f>1a!M213</f>
        <v>0</v>
      </c>
      <c r="I214" s="5">
        <v>20.26</v>
      </c>
      <c r="J214" s="5" t="s">
        <v>114</v>
      </c>
      <c r="K214" s="5">
        <f t="shared" si="8"/>
        <v>30.39</v>
      </c>
      <c r="L214" s="5" t="s">
        <v>114</v>
      </c>
      <c r="M214" s="5">
        <v>1</v>
      </c>
      <c r="N214" s="2">
        <f t="shared" si="9"/>
        <v>42936.1063</v>
      </c>
      <c r="P214" s="1"/>
    </row>
    <row r="215" spans="1:16" ht="12.75">
      <c r="A215" s="1">
        <v>31050</v>
      </c>
      <c r="B215" s="3" t="s">
        <v>19</v>
      </c>
      <c r="C215" s="26">
        <f>1a!I214</f>
        <v>2120</v>
      </c>
      <c r="D215" s="26">
        <f>1a!J214</f>
        <v>0</v>
      </c>
      <c r="E215" s="26">
        <f>1a!K214</f>
        <v>0</v>
      </c>
      <c r="F215" s="26">
        <f>1a!L214</f>
        <v>0</v>
      </c>
      <c r="G215" s="26">
        <f>1a!M214</f>
        <v>0</v>
      </c>
      <c r="I215" s="5">
        <v>35.13</v>
      </c>
      <c r="J215" s="5" t="s">
        <v>114</v>
      </c>
      <c r="K215" s="5">
        <v>0</v>
      </c>
      <c r="L215" s="5" t="s">
        <v>114</v>
      </c>
      <c r="M215" s="5">
        <v>1</v>
      </c>
      <c r="N215" s="2">
        <f t="shared" si="9"/>
        <v>74475.6</v>
      </c>
      <c r="P215" s="1"/>
    </row>
    <row r="216" spans="1:16" ht="12.75">
      <c r="A216" s="1">
        <v>41550</v>
      </c>
      <c r="B216" s="3" t="s">
        <v>79</v>
      </c>
      <c r="C216" s="26">
        <f>1a!I215</f>
        <v>2129.5</v>
      </c>
      <c r="D216" s="26">
        <f>1a!J215</f>
        <v>0</v>
      </c>
      <c r="E216" s="26">
        <f>1a!K215</f>
        <v>0</v>
      </c>
      <c r="F216" s="26">
        <f>1a!L215</f>
        <v>0</v>
      </c>
      <c r="G216" s="26">
        <f>1a!M215</f>
        <v>0</v>
      </c>
      <c r="I216" s="5">
        <v>35.92</v>
      </c>
      <c r="J216" s="5" t="s">
        <v>114</v>
      </c>
      <c r="K216" s="5">
        <v>0</v>
      </c>
      <c r="L216" s="5" t="s">
        <v>114</v>
      </c>
      <c r="M216" s="5">
        <v>1</v>
      </c>
      <c r="N216" s="2">
        <f t="shared" si="9"/>
        <v>76491.64</v>
      </c>
      <c r="P216" s="1"/>
    </row>
    <row r="217" spans="1:16" ht="12.75">
      <c r="A217" s="1">
        <v>41560</v>
      </c>
      <c r="B217" s="3" t="s">
        <v>29</v>
      </c>
      <c r="C217" s="26">
        <f>1a!I216</f>
        <v>2120</v>
      </c>
      <c r="D217" s="26">
        <f>1a!J216</f>
        <v>0</v>
      </c>
      <c r="E217" s="26">
        <f>1a!K216</f>
        <v>210</v>
      </c>
      <c r="F217" s="26">
        <f>1a!L216</f>
        <v>0</v>
      </c>
      <c r="G217" s="26">
        <f>1a!M216</f>
        <v>0</v>
      </c>
      <c r="I217" s="5">
        <v>22.45</v>
      </c>
      <c r="J217" s="5" t="s">
        <v>114</v>
      </c>
      <c r="K217" s="5">
        <f t="shared" si="8"/>
        <v>33.68</v>
      </c>
      <c r="L217" s="5" t="s">
        <v>114</v>
      </c>
      <c r="M217" s="5">
        <v>1</v>
      </c>
      <c r="N217" s="2">
        <f t="shared" si="9"/>
        <v>54666.8</v>
      </c>
      <c r="P217" s="1"/>
    </row>
    <row r="218" spans="1:16" ht="12.75">
      <c r="A218" s="1">
        <v>31175</v>
      </c>
      <c r="B218" s="3" t="s">
        <v>80</v>
      </c>
      <c r="C218" s="26">
        <f>1a!I217</f>
        <v>2080</v>
      </c>
      <c r="D218" s="26">
        <f>1a!J217</f>
        <v>0</v>
      </c>
      <c r="E218" s="26">
        <f>1a!K217</f>
        <v>222</v>
      </c>
      <c r="F218" s="26">
        <f>1a!L217</f>
        <v>0</v>
      </c>
      <c r="G218" s="26">
        <f>1a!M217</f>
        <v>0</v>
      </c>
      <c r="I218" s="5">
        <v>28.98</v>
      </c>
      <c r="J218" s="5" t="s">
        <v>114</v>
      </c>
      <c r="K218" s="5">
        <f t="shared" si="8"/>
        <v>43.47</v>
      </c>
      <c r="L218" s="5" t="s">
        <v>114</v>
      </c>
      <c r="M218" s="5">
        <v>1</v>
      </c>
      <c r="N218" s="2">
        <f t="shared" si="9"/>
        <v>69928.74</v>
      </c>
      <c r="P218" s="1"/>
    </row>
    <row r="219" spans="1:16" ht="12.75">
      <c r="A219" s="1">
        <v>60530</v>
      </c>
      <c r="B219" s="3" t="s">
        <v>81</v>
      </c>
      <c r="C219" s="29">
        <f>1a!I218</f>
        <v>1360</v>
      </c>
      <c r="D219" s="29">
        <f>1a!J218</f>
        <v>0</v>
      </c>
      <c r="E219" s="29">
        <f>1a!K218</f>
        <v>91</v>
      </c>
      <c r="F219" s="29">
        <f>1a!L218</f>
        <v>0</v>
      </c>
      <c r="G219" s="29">
        <f>1a!M218</f>
        <v>122</v>
      </c>
      <c r="I219" s="5">
        <v>16.13</v>
      </c>
      <c r="J219" s="5" t="s">
        <v>114</v>
      </c>
      <c r="K219" s="5">
        <f t="shared" si="8"/>
        <v>24.2</v>
      </c>
      <c r="L219" s="5" t="s">
        <v>114</v>
      </c>
      <c r="M219" s="5">
        <v>1</v>
      </c>
      <c r="N219" s="17">
        <f t="shared" si="9"/>
        <v>24139</v>
      </c>
      <c r="P219" s="1"/>
    </row>
    <row r="221" spans="1:14" ht="13.5" thickBot="1">
      <c r="A221" s="19" t="s">
        <v>105</v>
      </c>
      <c r="C221" s="30">
        <f>SUM(C12:C60)+SUM(C73:C120)+SUM(C132:C181)+SUM(C194:C219)</f>
        <v>292821.7</v>
      </c>
      <c r="D221" s="30">
        <f>SUM(D12:D60)+SUM(D73:D120)+SUM(D132:D181)+SUM(D194:D219)</f>
        <v>14856</v>
      </c>
      <c r="E221" s="30">
        <f>SUM(E12:E60)+SUM(E73:E120)+SUM(E132:E181)+SUM(E194:E219)</f>
        <v>21957.72</v>
      </c>
      <c r="F221" s="30">
        <f>SUM(F12:F60)+SUM(F73:F120)+SUM(F132:F181)+SUM(F194:F219)</f>
        <v>609.35</v>
      </c>
      <c r="G221" s="30">
        <f>SUM(G12:G60)+SUM(G73:G120)+SUM(G132:G181)+SUM(G194:G219)</f>
        <v>50458</v>
      </c>
      <c r="I221" s="27"/>
      <c r="J221" s="27"/>
      <c r="K221" s="27"/>
      <c r="L221" s="27"/>
      <c r="M221" s="27"/>
      <c r="N221" s="30">
        <f>SUM(N12:N60)+SUM(N73:N120)+SUM(N133:N181)+SUM(N195:N219)</f>
        <v>7588194.835</v>
      </c>
    </row>
    <row r="222" ht="13.5" thickTop="1"/>
    <row r="223" ht="12.75">
      <c r="N223" s="14" t="s">
        <v>115</v>
      </c>
    </row>
  </sheetData>
  <sheetProtection/>
  <mergeCells count="24">
    <mergeCell ref="C127:G127"/>
    <mergeCell ref="C128:G128"/>
    <mergeCell ref="I128:M128"/>
    <mergeCell ref="C189:G189"/>
    <mergeCell ref="C190:G190"/>
    <mergeCell ref="I190:M190"/>
    <mergeCell ref="A183:N183"/>
    <mergeCell ref="A184:N184"/>
    <mergeCell ref="A185:N185"/>
    <mergeCell ref="A123:N123"/>
    <mergeCell ref="A63:N63"/>
    <mergeCell ref="A64:N64"/>
    <mergeCell ref="A121:N121"/>
    <mergeCell ref="A122:N122"/>
    <mergeCell ref="C68:G68"/>
    <mergeCell ref="C69:G69"/>
    <mergeCell ref="I69:M69"/>
    <mergeCell ref="A1:N1"/>
    <mergeCell ref="A2:N2"/>
    <mergeCell ref="A3:N3"/>
    <mergeCell ref="C7:G7"/>
    <mergeCell ref="C8:G8"/>
    <mergeCell ref="A62:N62"/>
    <mergeCell ref="I8:M8"/>
  </mergeCells>
  <printOptions gridLines="1" horizontalCentered="1"/>
  <pageMargins left="0" right="0" top="0.75" bottom="0.75" header="0.3" footer="0.3"/>
  <pageSetup horizontalDpi="600" verticalDpi="600" orientation="portrait" scale="63" r:id="rId1"/>
  <rowBreaks count="3" manualBreakCount="3">
    <brk id="60" max="255" man="1"/>
    <brk id="120" max="255" man="1"/>
    <brk id="1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NKW</dc:creator>
  <cp:keywords/>
  <dc:description/>
  <cp:lastModifiedBy>Lindsey Rechtin</cp:lastModifiedBy>
  <cp:lastPrinted>2015-10-19T11:09:50Z</cp:lastPrinted>
  <dcterms:created xsi:type="dcterms:W3CDTF">2003-12-22T21:29:29Z</dcterms:created>
  <dcterms:modified xsi:type="dcterms:W3CDTF">2015-10-19T11:10:36Z</dcterms:modified>
  <cp:category/>
  <cp:version/>
  <cp:contentType/>
  <cp:contentStatus/>
</cp:coreProperties>
</file>