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504" windowHeight="8448" activeTab="0"/>
  </bookViews>
  <sheets>
    <sheet name="Summary" sheetId="1" r:id="rId1"/>
    <sheet name="1997" sheetId="2" r:id="rId2"/>
    <sheet name="1998" sheetId="3" r:id="rId3"/>
    <sheet name="USDA2000" sheetId="4" r:id="rId4"/>
    <sheet name="2001" sheetId="5" r:id="rId5"/>
    <sheet name="2002A" sheetId="6" r:id="rId6"/>
    <sheet name="2002B" sheetId="7" r:id="rId7"/>
    <sheet name="2003A" sheetId="8" r:id="rId8"/>
    <sheet name="2003B" sheetId="9" r:id="rId9"/>
    <sheet name="2003C" sheetId="10" r:id="rId10"/>
    <sheet name="2004" sheetId="11" r:id="rId11"/>
    <sheet name="2006" sheetId="12" r:id="rId12"/>
    <sheet name="2009" sheetId="13" r:id="rId13"/>
    <sheet name="2011" sheetId="14" r:id="rId14"/>
    <sheet name="2012" sheetId="15" r:id="rId15"/>
    <sheet name="2013A" sheetId="16" r:id="rId16"/>
    <sheet name="2013B" sheetId="17" r:id="rId17"/>
    <sheet name="2014B" sheetId="18" r:id="rId18"/>
    <sheet name="KIAF06" sheetId="19" r:id="rId19"/>
    <sheet name="KIAF08" sheetId="20" r:id="rId20"/>
    <sheet name="KIAF09" sheetId="21" r:id="rId21"/>
    <sheet name="KIAC08" sheetId="22" r:id="rId22"/>
  </sheets>
  <definedNames/>
  <calcPr fullCalcOnLoad="1"/>
</workbook>
</file>

<file path=xl/sharedStrings.xml><?xml version="1.0" encoding="utf-8"?>
<sst xmlns="http://schemas.openxmlformats.org/spreadsheetml/2006/main" count="1219" uniqueCount="85">
  <si>
    <t>Date</t>
  </si>
  <si>
    <t>Principal</t>
  </si>
  <si>
    <t>Total 2012</t>
  </si>
  <si>
    <t>Interest</t>
  </si>
  <si>
    <t>Total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</si>
  <si>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</si>
  <si>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</si>
  <si>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</si>
  <si>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</si>
  <si>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</si>
  <si>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</si>
  <si>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</si>
  <si>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</si>
  <si>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2022</t>
  </si>
  <si>
    <t>Total 2023</t>
  </si>
  <si>
    <t>Total 2024</t>
  </si>
  <si>
    <t>Total 2025</t>
  </si>
  <si>
    <t>Total 2026</t>
  </si>
  <si>
    <t>Total 2027</t>
  </si>
  <si>
    <t>Total 2028</t>
  </si>
  <si>
    <t>USDA 2000</t>
  </si>
  <si>
    <t>Total 2029</t>
  </si>
  <si>
    <t>Total 2030</t>
  </si>
  <si>
    <t>Total 2031</t>
  </si>
  <si>
    <t>Total 2032</t>
  </si>
  <si>
    <t>Total 2033</t>
  </si>
  <si>
    <t>Total 2034</t>
  </si>
  <si>
    <t>Grand Total</t>
  </si>
  <si>
    <t>Total 2035</t>
  </si>
  <si>
    <t>Total 2036</t>
  </si>
  <si>
    <t>Total 2037</t>
  </si>
  <si>
    <t>Total 2038</t>
  </si>
  <si>
    <t>Total 2039</t>
  </si>
  <si>
    <t>Total 2021</t>
  </si>
  <si>
    <t>Year</t>
  </si>
  <si>
    <t>Series</t>
  </si>
  <si>
    <t>2003C</t>
  </si>
  <si>
    <t>Total Senior Debt</t>
  </si>
  <si>
    <t xml:space="preserve">Total Debt </t>
  </si>
  <si>
    <t>Service</t>
  </si>
  <si>
    <t>KIA F-06</t>
  </si>
  <si>
    <t>KIA C-08</t>
  </si>
  <si>
    <t>Total Subordinate Debt</t>
  </si>
  <si>
    <t>Total Debt Service Senior &amp; Subordinate</t>
  </si>
  <si>
    <t>Northern Kentucky Water District</t>
  </si>
  <si>
    <t xml:space="preserve"> </t>
  </si>
  <si>
    <t>Maximum Debt Service</t>
  </si>
  <si>
    <t>Series 1997 Defeased 2012</t>
  </si>
  <si>
    <t>1997 Def. 2012</t>
  </si>
  <si>
    <t>Series 1998 Defeased 2012</t>
  </si>
  <si>
    <t>1998 Def. 2012</t>
  </si>
  <si>
    <t>Series 2001A Defeased 2012</t>
  </si>
  <si>
    <t>Series 2002A Defeased 2012</t>
  </si>
  <si>
    <t>2001 Def. 2012</t>
  </si>
  <si>
    <t>2002A Def. 2012</t>
  </si>
  <si>
    <t>Series 2002B Defeased 2013</t>
  </si>
  <si>
    <t>Series 2003A Defeased 2013</t>
  </si>
  <si>
    <t>Series 2003B Defeased 2013</t>
  </si>
  <si>
    <t>KIA F-09</t>
  </si>
  <si>
    <t>2013A</t>
  </si>
  <si>
    <t>2013B</t>
  </si>
  <si>
    <t>2002B Def. 2013</t>
  </si>
  <si>
    <t>2003A def. 2013</t>
  </si>
  <si>
    <t>2003B def. 2013</t>
  </si>
  <si>
    <t>KIA F-08</t>
  </si>
  <si>
    <t>2003C Defeased 2014 with 2014B</t>
  </si>
  <si>
    <t>Series 2004A Defeased 2014B</t>
  </si>
  <si>
    <t>2003C Def 2014</t>
  </si>
  <si>
    <t>2004 Def 2014</t>
  </si>
  <si>
    <t>2003C def 2014</t>
  </si>
  <si>
    <t>2004 def 2014</t>
  </si>
  <si>
    <t>2014B</t>
  </si>
  <si>
    <t>USDA 2000 after August 1, 2015</t>
  </si>
  <si>
    <t>Series 2006A After August 1, 2015</t>
  </si>
  <si>
    <t>Series 2009 After August 1, 2015</t>
  </si>
  <si>
    <t>Series 2011 After August 1, 2015</t>
  </si>
  <si>
    <t>Series 2012 Refunding After August 1, 2015</t>
  </si>
  <si>
    <t>Series 2013A After August 1, 2015</t>
  </si>
  <si>
    <t>Series 2013B Refunding After August 1, 2015</t>
  </si>
  <si>
    <t>Series 2014B Refunding After August 1, 2015</t>
  </si>
  <si>
    <t>KIA  F-06 Memorial Chemical After August 1, 2015</t>
  </si>
  <si>
    <t>KIA  F-08-07 Various After August 1, 2015</t>
  </si>
  <si>
    <t>KIA  F-09-02 GAC After August 1, 2015</t>
  </si>
  <si>
    <t>KIA  C-08-01 AMR After August 1, 2015</t>
  </si>
  <si>
    <t>Summary of Debt Service After August 1,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</si>
</sst>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421875" style="0" customWidth="1"/>
    <col min="2" max="2" width="14.421875" style="0" customWidth="1"/>
    <col min="3" max="3" width="13.00390625" style="0" customWidth="1"/>
    <col min="4" max="4" width="13.8515625" style="0" customWidth="1"/>
    <col min="5" max="5" width="13.421875" style="0" customWidth="1"/>
    <col min="7" max="7" width="13.8515625" style="0" customWidth="1"/>
  </cols>
  <sheetData>
    <row r="1" spans="1:7" ht="12.75">
      <c r="A1" s="10" t="s">
        <v>44</v>
      </c>
      <c r="B1" s="10"/>
      <c r="C1" s="10"/>
      <c r="D1" s="10"/>
      <c r="E1" s="10"/>
      <c r="F1" s="10"/>
      <c r="G1" s="10"/>
    </row>
    <row r="2" spans="1:7" ht="12.75">
      <c r="A2" s="10" t="s">
        <v>84</v>
      </c>
      <c r="B2" s="10"/>
      <c r="C2" s="10"/>
      <c r="D2" s="10"/>
      <c r="E2" s="10"/>
      <c r="F2" s="10"/>
      <c r="G2" s="10"/>
    </row>
    <row r="3" ht="12.75">
      <c r="A3" t="s">
        <v>45</v>
      </c>
    </row>
    <row r="4" ht="12.75">
      <c r="G4" s="2" t="s">
        <v>38</v>
      </c>
    </row>
    <row r="5" spans="1:7" ht="12.75">
      <c r="A5" s="2" t="s">
        <v>34</v>
      </c>
      <c r="B5" s="2" t="s">
        <v>35</v>
      </c>
      <c r="C5" s="2" t="s">
        <v>1</v>
      </c>
      <c r="D5" s="2" t="s">
        <v>3</v>
      </c>
      <c r="E5" s="2" t="s">
        <v>4</v>
      </c>
      <c r="G5" s="2" t="s">
        <v>39</v>
      </c>
    </row>
    <row r="7" ht="12.75">
      <c r="A7" s="2">
        <v>2012</v>
      </c>
    </row>
    <row r="8" spans="2:5" ht="12.75">
      <c r="B8" t="s">
        <v>48</v>
      </c>
      <c r="C8" s="7">
        <f>'1997'!B8</f>
        <v>0</v>
      </c>
      <c r="D8" s="7">
        <f>'1997'!C8</f>
        <v>0</v>
      </c>
      <c r="E8" s="7">
        <f>C8+D8</f>
        <v>0</v>
      </c>
    </row>
    <row r="9" spans="2:5" ht="12.75">
      <c r="B9" t="s">
        <v>50</v>
      </c>
      <c r="C9" s="7">
        <f>'1998'!B8</f>
        <v>0</v>
      </c>
      <c r="D9" s="7">
        <f>'1998'!C8</f>
        <v>0</v>
      </c>
      <c r="E9" s="7">
        <f aca="true" t="shared" si="0" ref="E9:E20">C9+D9</f>
        <v>0</v>
      </c>
    </row>
    <row r="10" spans="2:5" ht="12.75">
      <c r="B10" s="9" t="s">
        <v>20</v>
      </c>
      <c r="C10" s="7">
        <f>USDA2000!B8</f>
        <v>0</v>
      </c>
      <c r="D10" s="7">
        <f>USDA2000!C8</f>
        <v>0</v>
      </c>
      <c r="E10" s="7">
        <f t="shared" si="0"/>
        <v>0</v>
      </c>
    </row>
    <row r="11" spans="2:5" ht="12.75">
      <c r="B11" t="s">
        <v>53</v>
      </c>
      <c r="C11" s="7">
        <f>'2001'!B8</f>
        <v>0</v>
      </c>
      <c r="D11" s="7">
        <f>'2001'!C8</f>
        <v>0</v>
      </c>
      <c r="E11" s="7">
        <f t="shared" si="0"/>
        <v>0</v>
      </c>
    </row>
    <row r="12" spans="2:5" ht="12.75">
      <c r="B12" s="9" t="s">
        <v>54</v>
      </c>
      <c r="C12" s="7">
        <f>'2002A'!B8</f>
        <v>0</v>
      </c>
      <c r="D12" s="7">
        <f>'2002A'!C8</f>
        <v>0</v>
      </c>
      <c r="E12" s="7">
        <f t="shared" si="0"/>
        <v>0</v>
      </c>
    </row>
    <row r="13" spans="2:5" ht="12.75">
      <c r="B13" s="9" t="s">
        <v>61</v>
      </c>
      <c r="C13" s="7">
        <f>'2002B'!B8</f>
        <v>0</v>
      </c>
      <c r="D13" s="7">
        <f>'2002B'!C8</f>
        <v>0</v>
      </c>
      <c r="E13" s="7">
        <f t="shared" si="0"/>
        <v>0</v>
      </c>
    </row>
    <row r="14" spans="2:5" ht="12.75">
      <c r="B14" s="9" t="s">
        <v>62</v>
      </c>
      <c r="C14" s="7">
        <f>'2003A'!B8</f>
        <v>0</v>
      </c>
      <c r="D14" s="7">
        <f>'2003A'!C8</f>
        <v>0</v>
      </c>
      <c r="E14" s="7">
        <f t="shared" si="0"/>
        <v>0</v>
      </c>
    </row>
    <row r="15" spans="2:5" ht="12.75">
      <c r="B15" s="9" t="s">
        <v>63</v>
      </c>
      <c r="C15" s="7">
        <f>'2003B'!B8</f>
        <v>0</v>
      </c>
      <c r="D15" s="7">
        <f>'2003B'!C8</f>
        <v>0</v>
      </c>
      <c r="E15" s="7">
        <f t="shared" si="0"/>
        <v>0</v>
      </c>
    </row>
    <row r="16" spans="2:5" ht="12.75">
      <c r="B16" s="9" t="s">
        <v>67</v>
      </c>
      <c r="C16" s="7">
        <f>'2003C'!B8</f>
        <v>0</v>
      </c>
      <c r="D16" s="7">
        <f>'2003C'!C8</f>
        <v>0</v>
      </c>
      <c r="E16" s="7">
        <f t="shared" si="0"/>
        <v>0</v>
      </c>
    </row>
    <row r="17" spans="2:5" ht="12.75">
      <c r="B17" t="s">
        <v>68</v>
      </c>
      <c r="C17" s="7">
        <f>'2004'!B8</f>
        <v>0</v>
      </c>
      <c r="D17" s="7">
        <f>'2004'!C8</f>
        <v>0</v>
      </c>
      <c r="E17" s="7">
        <f t="shared" si="0"/>
        <v>0</v>
      </c>
    </row>
    <row r="18" spans="2:5" ht="12.75">
      <c r="B18">
        <v>2006</v>
      </c>
      <c r="C18" s="7">
        <f>'2006'!B8</f>
        <v>0</v>
      </c>
      <c r="D18" s="7">
        <f>'2006'!C8</f>
        <v>0</v>
      </c>
      <c r="E18" s="7">
        <f t="shared" si="0"/>
        <v>0</v>
      </c>
    </row>
    <row r="19" spans="2:5" ht="12.75">
      <c r="B19">
        <v>2009</v>
      </c>
      <c r="C19" s="7">
        <f>'2009'!B8</f>
        <v>0</v>
      </c>
      <c r="D19" s="7">
        <f>'2009'!C8</f>
        <v>0</v>
      </c>
      <c r="E19" s="7">
        <f t="shared" si="0"/>
        <v>0</v>
      </c>
    </row>
    <row r="20" spans="2:5" ht="12.75">
      <c r="B20">
        <v>2011</v>
      </c>
      <c r="C20" s="7">
        <f>'2011'!B8</f>
        <v>0</v>
      </c>
      <c r="D20" s="7">
        <f>'2011'!C8</f>
        <v>0</v>
      </c>
      <c r="E20" s="7">
        <f t="shared" si="0"/>
        <v>0</v>
      </c>
    </row>
    <row r="21" spans="3:5" ht="12.75">
      <c r="C21" s="7"/>
      <c r="D21" s="7"/>
      <c r="E21" s="7"/>
    </row>
    <row r="22" spans="1:7" ht="12.75">
      <c r="A22" s="1" t="s">
        <v>37</v>
      </c>
      <c r="C22" s="8">
        <f>SUM(C8:C21)</f>
        <v>0</v>
      </c>
      <c r="D22" s="8">
        <f>SUM(D8:D21)</f>
        <v>0</v>
      </c>
      <c r="E22" s="8">
        <f>SUM(E8:E21)</f>
        <v>0</v>
      </c>
      <c r="G22" s="8">
        <f>C22+D22</f>
        <v>0</v>
      </c>
    </row>
    <row r="23" spans="3:5" ht="12.75">
      <c r="C23" s="7"/>
      <c r="D23" s="7"/>
      <c r="E23" s="7"/>
    </row>
    <row r="24" spans="2:5" ht="12.75">
      <c r="B24" t="s">
        <v>40</v>
      </c>
      <c r="C24" s="7">
        <f>KIAF06!B8</f>
        <v>0</v>
      </c>
      <c r="D24" s="7">
        <f>KIAF06!C8</f>
        <v>0</v>
      </c>
      <c r="E24" s="7">
        <f>C24+D24</f>
        <v>0</v>
      </c>
    </row>
    <row r="25" spans="2:5" ht="12.75">
      <c r="B25" t="s">
        <v>41</v>
      </c>
      <c r="C25" s="7">
        <f>KIAC08!B18</f>
        <v>0</v>
      </c>
      <c r="D25" s="7">
        <f>KIAC08!C18</f>
        <v>0</v>
      </c>
      <c r="E25" s="7">
        <f>C25+D25</f>
        <v>0</v>
      </c>
    </row>
    <row r="26" spans="3:5" ht="12.75">
      <c r="C26" s="7"/>
      <c r="D26" s="7"/>
      <c r="E26" s="7"/>
    </row>
    <row r="27" spans="1:7" ht="12.75">
      <c r="A27" s="1" t="s">
        <v>42</v>
      </c>
      <c r="C27" s="8">
        <f>SUM(C24:C26)</f>
        <v>0</v>
      </c>
      <c r="D27" s="8">
        <f>SUM(D24:D26)</f>
        <v>0</v>
      </c>
      <c r="E27" s="8">
        <f>SUM(E24:E26)</f>
        <v>0</v>
      </c>
      <c r="G27" s="8">
        <f>C27+D27</f>
        <v>0</v>
      </c>
    </row>
    <row r="29" spans="1:7" ht="12.75">
      <c r="A29" s="1" t="s">
        <v>43</v>
      </c>
      <c r="G29" s="8">
        <f>G22+G27</f>
        <v>0</v>
      </c>
    </row>
    <row r="31" ht="12.75">
      <c r="G31" s="2" t="s">
        <v>38</v>
      </c>
    </row>
    <row r="32" spans="1:7" ht="12.75">
      <c r="A32" s="2" t="s">
        <v>34</v>
      </c>
      <c r="B32" s="2" t="s">
        <v>35</v>
      </c>
      <c r="C32" s="2" t="s">
        <v>1</v>
      </c>
      <c r="D32" s="2" t="s">
        <v>3</v>
      </c>
      <c r="E32" s="2" t="s">
        <v>4</v>
      </c>
      <c r="G32" s="2" t="s">
        <v>39</v>
      </c>
    </row>
    <row r="33" ht="12.75">
      <c r="A33" s="2">
        <v>2013</v>
      </c>
    </row>
    <row r="34" spans="2:5" ht="12.75">
      <c r="B34" t="str">
        <f>B8</f>
        <v>1997 Def. 2012</v>
      </c>
      <c r="C34" s="7">
        <f>'1997'!B13</f>
        <v>0</v>
      </c>
      <c r="D34" s="7">
        <f>'1997'!C13</f>
        <v>0</v>
      </c>
      <c r="E34" s="7">
        <f>C34+D34</f>
        <v>0</v>
      </c>
    </row>
    <row r="35" spans="2:5" ht="12.75">
      <c r="B35" t="str">
        <f>B9</f>
        <v>1998 Def. 2012</v>
      </c>
      <c r="C35" s="7">
        <f>'1998'!B13</f>
        <v>0</v>
      </c>
      <c r="D35" s="7">
        <f>'1998'!C13</f>
        <v>0</v>
      </c>
      <c r="E35" s="7">
        <f aca="true" t="shared" si="1" ref="E35:E46">C35+D35</f>
        <v>0</v>
      </c>
    </row>
    <row r="36" spans="2:5" ht="12.75">
      <c r="B36" s="9" t="s">
        <v>20</v>
      </c>
      <c r="C36" s="7">
        <f>USDA2000!B13</f>
        <v>0</v>
      </c>
      <c r="D36" s="7">
        <f>USDA2000!C13</f>
        <v>0</v>
      </c>
      <c r="E36" s="7">
        <f t="shared" si="1"/>
        <v>0</v>
      </c>
    </row>
    <row r="37" spans="2:5" ht="12.75">
      <c r="B37" t="str">
        <f>B11</f>
        <v>2001 Def. 2012</v>
      </c>
      <c r="C37" s="7">
        <f>'2001'!B13</f>
        <v>0</v>
      </c>
      <c r="D37" s="7">
        <f>'2001'!C13</f>
        <v>0</v>
      </c>
      <c r="E37" s="7">
        <f t="shared" si="1"/>
        <v>0</v>
      </c>
    </row>
    <row r="38" spans="2:5" ht="12.75">
      <c r="B38" t="str">
        <f>B12</f>
        <v>2002A Def. 2012</v>
      </c>
      <c r="C38" s="7">
        <f>'2002A'!B13</f>
        <v>0</v>
      </c>
      <c r="D38" s="7">
        <f>'2002A'!C13</f>
        <v>0</v>
      </c>
      <c r="E38" s="7">
        <f t="shared" si="1"/>
        <v>0</v>
      </c>
    </row>
    <row r="39" spans="2:5" ht="12.75">
      <c r="B39" s="9" t="str">
        <f>B13</f>
        <v>2002B Def. 2013</v>
      </c>
      <c r="C39" s="7">
        <f>'2002B'!B13</f>
        <v>0</v>
      </c>
      <c r="D39" s="7">
        <f>'2002B'!C13</f>
        <v>0</v>
      </c>
      <c r="E39" s="7">
        <f t="shared" si="1"/>
        <v>0</v>
      </c>
    </row>
    <row r="40" spans="2:5" ht="12.75">
      <c r="B40" s="9" t="str">
        <f>B14</f>
        <v>2003A def. 2013</v>
      </c>
      <c r="C40" s="7">
        <f>'2003A'!B13</f>
        <v>0</v>
      </c>
      <c r="D40" s="7">
        <f>'2003A'!C13</f>
        <v>0</v>
      </c>
      <c r="E40" s="7">
        <f t="shared" si="1"/>
        <v>0</v>
      </c>
    </row>
    <row r="41" spans="2:5" ht="12.75">
      <c r="B41" s="9" t="str">
        <f>B15</f>
        <v>2003B def. 2013</v>
      </c>
      <c r="C41" s="7">
        <f>'2003B'!B13</f>
        <v>0</v>
      </c>
      <c r="D41" s="7">
        <f>'2003B'!C13</f>
        <v>0</v>
      </c>
      <c r="E41" s="7">
        <f t="shared" si="1"/>
        <v>0</v>
      </c>
    </row>
    <row r="42" spans="2:5" ht="12.75">
      <c r="B42" s="9" t="s">
        <v>36</v>
      </c>
      <c r="C42" s="7">
        <f>'2003C'!B13</f>
        <v>0</v>
      </c>
      <c r="D42" s="7">
        <f>'2003C'!C13</f>
        <v>0</v>
      </c>
      <c r="E42" s="7">
        <f t="shared" si="1"/>
        <v>0</v>
      </c>
    </row>
    <row r="43" spans="2:5" ht="12.75">
      <c r="B43">
        <v>2004</v>
      </c>
      <c r="C43" s="7">
        <f>'2004'!B13</f>
        <v>0</v>
      </c>
      <c r="D43" s="7">
        <f>'2004'!C13</f>
        <v>0</v>
      </c>
      <c r="E43" s="7">
        <f t="shared" si="1"/>
        <v>0</v>
      </c>
    </row>
    <row r="44" spans="2:5" ht="12.75">
      <c r="B44">
        <v>2006</v>
      </c>
      <c r="C44" s="7">
        <f>'2006'!B13</f>
        <v>0</v>
      </c>
      <c r="D44" s="7">
        <f>'2006'!C13</f>
        <v>0</v>
      </c>
      <c r="E44" s="7">
        <f t="shared" si="1"/>
        <v>0</v>
      </c>
    </row>
    <row r="45" spans="2:5" ht="12.75">
      <c r="B45">
        <v>2009</v>
      </c>
      <c r="C45" s="7">
        <f>'2009'!B13</f>
        <v>0</v>
      </c>
      <c r="D45" s="7">
        <f>'2009'!C13</f>
        <v>0</v>
      </c>
      <c r="E45" s="7">
        <f t="shared" si="1"/>
        <v>0</v>
      </c>
    </row>
    <row r="46" spans="2:5" ht="12.75">
      <c r="B46">
        <v>2011</v>
      </c>
      <c r="C46" s="7">
        <f>'2011'!B13</f>
        <v>0</v>
      </c>
      <c r="D46" s="7">
        <f>'2011'!C13</f>
        <v>0</v>
      </c>
      <c r="E46" s="7">
        <f t="shared" si="1"/>
        <v>0</v>
      </c>
    </row>
    <row r="47" spans="2:5" ht="12.75">
      <c r="B47">
        <v>2012</v>
      </c>
      <c r="C47" s="7">
        <f>'2012'!B13</f>
        <v>0</v>
      </c>
      <c r="D47" s="7">
        <f>'2012'!C13</f>
        <v>0</v>
      </c>
      <c r="E47" s="7">
        <f>C47+D47</f>
        <v>0</v>
      </c>
    </row>
    <row r="48" spans="3:5" ht="12.75">
      <c r="C48" s="7"/>
      <c r="D48" s="7"/>
      <c r="E48" s="7"/>
    </row>
    <row r="49" spans="1:7" ht="12.75">
      <c r="A49" s="1" t="s">
        <v>37</v>
      </c>
      <c r="C49" s="8">
        <f>SUM(C34:C47)</f>
        <v>0</v>
      </c>
      <c r="D49" s="8">
        <f>SUM(D34:D47)</f>
        <v>0</v>
      </c>
      <c r="E49" s="8">
        <f>SUM(E34:E47)</f>
        <v>0</v>
      </c>
      <c r="G49" s="8">
        <f>C49+D49</f>
        <v>0</v>
      </c>
    </row>
    <row r="50" spans="3:5" ht="12.75">
      <c r="C50" s="7"/>
      <c r="D50" s="7"/>
      <c r="E50" s="7"/>
    </row>
    <row r="51" spans="2:5" ht="12.75">
      <c r="B51" t="s">
        <v>40</v>
      </c>
      <c r="C51" s="7">
        <f>KIAF06!B13</f>
        <v>0</v>
      </c>
      <c r="D51" s="7">
        <f>KIAF06!C13</f>
        <v>0</v>
      </c>
      <c r="E51" s="7">
        <f>C51+D51</f>
        <v>0</v>
      </c>
    </row>
    <row r="52" spans="2:5" ht="12.75">
      <c r="B52" t="s">
        <v>41</v>
      </c>
      <c r="C52" s="7">
        <f>KIAC08!B33</f>
        <v>0</v>
      </c>
      <c r="D52" s="7">
        <f>KIAC08!C33</f>
        <v>0</v>
      </c>
      <c r="E52" s="7">
        <f>C52+D52</f>
        <v>0</v>
      </c>
    </row>
    <row r="53" spans="3:5" ht="12.75">
      <c r="C53" s="7"/>
      <c r="D53" s="7"/>
      <c r="E53" s="7"/>
    </row>
    <row r="54" spans="1:7" ht="12.75">
      <c r="A54" s="1" t="s">
        <v>42</v>
      </c>
      <c r="C54" s="8">
        <f>SUM(C51:C53)</f>
        <v>0</v>
      </c>
      <c r="D54" s="8">
        <f>SUM(D51:D53)</f>
        <v>0</v>
      </c>
      <c r="E54" s="8">
        <f>SUM(E51:E53)</f>
        <v>0</v>
      </c>
      <c r="G54" s="8">
        <f>C54+D54</f>
        <v>0</v>
      </c>
    </row>
    <row r="56" spans="1:7" ht="12.75">
      <c r="A56" s="1" t="s">
        <v>43</v>
      </c>
      <c r="G56" s="8">
        <f>G49+G54</f>
        <v>0</v>
      </c>
    </row>
    <row r="61" spans="1:7" ht="12.75">
      <c r="A61" s="10" t="s">
        <v>44</v>
      </c>
      <c r="B61" s="10"/>
      <c r="C61" s="10"/>
      <c r="D61" s="10"/>
      <c r="E61" s="10"/>
      <c r="F61" s="10"/>
      <c r="G61" s="10"/>
    </row>
    <row r="62" spans="1:7" ht="12.75">
      <c r="A62" s="10" t="str">
        <f>A2</f>
        <v>Summary of Debt Service After August 1, 2015</v>
      </c>
      <c r="B62" s="10"/>
      <c r="C62" s="10"/>
      <c r="D62" s="10"/>
      <c r="E62" s="10"/>
      <c r="F62" s="10"/>
      <c r="G62" s="10"/>
    </row>
    <row r="64" ht="12.75">
      <c r="G64" s="2" t="s">
        <v>38</v>
      </c>
    </row>
    <row r="65" spans="1:7" ht="12.75">
      <c r="A65" s="2" t="s">
        <v>34</v>
      </c>
      <c r="B65" s="2" t="s">
        <v>35</v>
      </c>
      <c r="C65" s="2" t="s">
        <v>1</v>
      </c>
      <c r="D65" s="2" t="s">
        <v>3</v>
      </c>
      <c r="E65" s="2" t="s">
        <v>4</v>
      </c>
      <c r="G65" s="2" t="s">
        <v>39</v>
      </c>
    </row>
    <row r="67" ht="12.75">
      <c r="A67" s="2">
        <v>2014</v>
      </c>
    </row>
    <row r="68" spans="2:5" ht="12.75">
      <c r="B68" t="str">
        <f>B8</f>
        <v>1997 Def. 2012</v>
      </c>
      <c r="C68" s="7">
        <f>'1997'!$B$18</f>
        <v>0</v>
      </c>
      <c r="D68" s="7">
        <f>'1997'!$C$18</f>
        <v>0</v>
      </c>
      <c r="E68" s="7">
        <f>C68+D68</f>
        <v>0</v>
      </c>
    </row>
    <row r="69" spans="2:5" ht="12.75">
      <c r="B69" t="str">
        <f>B9</f>
        <v>1998 Def. 2012</v>
      </c>
      <c r="C69" s="7">
        <f>'1998'!B18</f>
        <v>0</v>
      </c>
      <c r="D69" s="7">
        <f>'1998'!C18</f>
        <v>0</v>
      </c>
      <c r="E69" s="7">
        <f aca="true" t="shared" si="2" ref="E69:E80">C69+D69</f>
        <v>0</v>
      </c>
    </row>
    <row r="70" spans="2:5" ht="12.75">
      <c r="B70" s="9" t="s">
        <v>20</v>
      </c>
      <c r="C70" s="7">
        <f>USDA2000!B18</f>
        <v>0</v>
      </c>
      <c r="D70" s="7">
        <f>USDA2000!C18</f>
        <v>0</v>
      </c>
      <c r="E70" s="7">
        <f t="shared" si="2"/>
        <v>0</v>
      </c>
    </row>
    <row r="71" spans="2:5" ht="12.75">
      <c r="B71" t="str">
        <f>B11</f>
        <v>2001 Def. 2012</v>
      </c>
      <c r="C71" s="7">
        <f>'2001'!B18</f>
        <v>0</v>
      </c>
      <c r="D71" s="7">
        <f>'2001'!C18</f>
        <v>0</v>
      </c>
      <c r="E71" s="7">
        <f t="shared" si="2"/>
        <v>0</v>
      </c>
    </row>
    <row r="72" spans="2:5" ht="12.75">
      <c r="B72" s="9" t="str">
        <f>B12</f>
        <v>2002A Def. 2012</v>
      </c>
      <c r="C72" s="7">
        <f>'2002A'!B18</f>
        <v>0</v>
      </c>
      <c r="D72" s="7">
        <f>'2002A'!C18</f>
        <v>0</v>
      </c>
      <c r="E72" s="7">
        <f t="shared" si="2"/>
        <v>0</v>
      </c>
    </row>
    <row r="73" spans="2:5" ht="12.75">
      <c r="B73" s="9" t="str">
        <f>B13</f>
        <v>2002B Def. 2013</v>
      </c>
      <c r="C73" s="7">
        <f>'2002B'!B18</f>
        <v>0</v>
      </c>
      <c r="D73" s="7">
        <f>'2002B'!C18</f>
        <v>0</v>
      </c>
      <c r="E73" s="7">
        <f t="shared" si="2"/>
        <v>0</v>
      </c>
    </row>
    <row r="74" spans="2:5" ht="12.75">
      <c r="B74" s="9" t="str">
        <f>B14</f>
        <v>2003A def. 2013</v>
      </c>
      <c r="C74" s="7">
        <f>'2003A'!B18</f>
        <v>0</v>
      </c>
      <c r="D74" s="7">
        <f>'2003A'!C18</f>
        <v>0</v>
      </c>
      <c r="E74" s="7">
        <f t="shared" si="2"/>
        <v>0</v>
      </c>
    </row>
    <row r="75" spans="2:5" ht="12.75">
      <c r="B75" s="9" t="str">
        <f>B15</f>
        <v>2003B def. 2013</v>
      </c>
      <c r="C75" s="7">
        <f>'2003B'!B18</f>
        <v>0</v>
      </c>
      <c r="D75" s="7">
        <f>'2003B'!C18</f>
        <v>0</v>
      </c>
      <c r="E75" s="7">
        <f t="shared" si="2"/>
        <v>0</v>
      </c>
    </row>
    <row r="76" spans="2:5" ht="12.75">
      <c r="B76" s="9" t="s">
        <v>36</v>
      </c>
      <c r="C76" s="7">
        <f>'2003C'!B18</f>
        <v>0</v>
      </c>
      <c r="D76" s="7">
        <f>'2003C'!C18</f>
        <v>0</v>
      </c>
      <c r="E76" s="7">
        <f t="shared" si="2"/>
        <v>0</v>
      </c>
    </row>
    <row r="77" spans="2:5" ht="12.75">
      <c r="B77">
        <v>2004</v>
      </c>
      <c r="C77" s="7">
        <f>'2004'!B18</f>
        <v>0</v>
      </c>
      <c r="D77" s="7">
        <f>'2004'!C18</f>
        <v>0</v>
      </c>
      <c r="E77" s="7">
        <f t="shared" si="2"/>
        <v>0</v>
      </c>
    </row>
    <row r="78" spans="2:5" ht="12.75">
      <c r="B78">
        <v>2006</v>
      </c>
      <c r="C78" s="7">
        <f>'2006'!B18</f>
        <v>0</v>
      </c>
      <c r="D78" s="7">
        <f>'2006'!C18</f>
        <v>0</v>
      </c>
      <c r="E78" s="7">
        <f t="shared" si="2"/>
        <v>0</v>
      </c>
    </row>
    <row r="79" spans="2:5" ht="12.75">
      <c r="B79">
        <v>2009</v>
      </c>
      <c r="C79" s="7">
        <f>'2009'!B18</f>
        <v>0</v>
      </c>
      <c r="D79" s="7">
        <f>'2009'!C18</f>
        <v>0</v>
      </c>
      <c r="E79" s="7">
        <f t="shared" si="2"/>
        <v>0</v>
      </c>
    </row>
    <row r="80" spans="2:5" ht="12.75">
      <c r="B80">
        <v>2011</v>
      </c>
      <c r="C80" s="7">
        <f>'2011'!B18</f>
        <v>0</v>
      </c>
      <c r="D80" s="7">
        <f>'2011'!C18</f>
        <v>0</v>
      </c>
      <c r="E80" s="7">
        <f t="shared" si="2"/>
        <v>0</v>
      </c>
    </row>
    <row r="81" spans="2:5" ht="12.75">
      <c r="B81">
        <f>B47</f>
        <v>2012</v>
      </c>
      <c r="C81" s="7">
        <f>'2012'!B18</f>
        <v>0</v>
      </c>
      <c r="D81" s="7">
        <f>'2012'!C18</f>
        <v>0</v>
      </c>
      <c r="E81" s="7">
        <f>C81+D81</f>
        <v>0</v>
      </c>
    </row>
    <row r="82" spans="2:5" ht="12.75">
      <c r="B82" s="9" t="s">
        <v>59</v>
      </c>
      <c r="C82" s="7">
        <f>'2013A'!B18</f>
        <v>0</v>
      </c>
      <c r="D82" s="7">
        <f>'2013A'!C18</f>
        <v>0</v>
      </c>
      <c r="E82" s="7">
        <f>C82+D82</f>
        <v>0</v>
      </c>
    </row>
    <row r="83" spans="2:5" ht="12.75">
      <c r="B83" s="9" t="s">
        <v>60</v>
      </c>
      <c r="C83" s="7">
        <f>'2013B'!B18</f>
        <v>0</v>
      </c>
      <c r="D83" s="7">
        <f>'2013B'!C18</f>
        <v>0</v>
      </c>
      <c r="E83" s="7">
        <f>C83+D83</f>
        <v>0</v>
      </c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1:7" ht="12.75">
      <c r="A86" s="1" t="s">
        <v>37</v>
      </c>
      <c r="C86" s="8">
        <f>SUM(C68:C84)</f>
        <v>0</v>
      </c>
      <c r="D86" s="8">
        <f>SUM(D68:D84)</f>
        <v>0</v>
      </c>
      <c r="E86" s="8">
        <f>SUM(E68:E84)</f>
        <v>0</v>
      </c>
      <c r="G86" s="8">
        <f>C86+D86</f>
        <v>0</v>
      </c>
    </row>
    <row r="87" spans="3:5" ht="12.75">
      <c r="C87" s="7"/>
      <c r="D87" s="7"/>
      <c r="E87" s="7"/>
    </row>
    <row r="88" spans="2:5" ht="12.75">
      <c r="B88" t="s">
        <v>40</v>
      </c>
      <c r="C88" s="7">
        <f>KIAF06!B18</f>
        <v>0</v>
      </c>
      <c r="D88" s="7">
        <f>KIAF06!C18</f>
        <v>0</v>
      </c>
      <c r="E88" s="7">
        <f>C88+D88</f>
        <v>0</v>
      </c>
    </row>
    <row r="89" spans="2:5" ht="12.75">
      <c r="B89" t="s">
        <v>41</v>
      </c>
      <c r="C89" s="7">
        <f>KIAC08!B48</f>
        <v>0</v>
      </c>
      <c r="D89" s="7">
        <f>KIAC08!C48</f>
        <v>0</v>
      </c>
      <c r="E89" s="7">
        <f>C89+D89</f>
        <v>0</v>
      </c>
    </row>
    <row r="90" spans="2:5" ht="12.75">
      <c r="B90" t="s">
        <v>64</v>
      </c>
      <c r="C90" s="7">
        <f>KIAF08!B18</f>
        <v>0</v>
      </c>
      <c r="D90" s="7">
        <f>KIAF08!C18</f>
        <v>0</v>
      </c>
      <c r="E90" s="7">
        <f>C90+D90</f>
        <v>0</v>
      </c>
    </row>
    <row r="91" spans="2:5" ht="12.75">
      <c r="B91" t="s">
        <v>58</v>
      </c>
      <c r="C91" s="7">
        <f>KIAF09!B13</f>
        <v>0</v>
      </c>
      <c r="D91" s="7">
        <f>KIAF09!C13</f>
        <v>0</v>
      </c>
      <c r="E91" s="7">
        <f>C91+D91</f>
        <v>0</v>
      </c>
    </row>
    <row r="92" spans="3:5" ht="12.75">
      <c r="C92" s="7"/>
      <c r="D92" s="7"/>
      <c r="E92" s="7"/>
    </row>
    <row r="93" spans="1:7" ht="12.75">
      <c r="A93" s="1" t="s">
        <v>42</v>
      </c>
      <c r="C93" s="8">
        <f>SUM(C88:C92)</f>
        <v>0</v>
      </c>
      <c r="D93" s="8">
        <f>SUM(D88:D92)</f>
        <v>0</v>
      </c>
      <c r="E93" s="8">
        <f>SUM(E88:E92)</f>
        <v>0</v>
      </c>
      <c r="G93" s="8">
        <f>C93+D93</f>
        <v>0</v>
      </c>
    </row>
    <row r="95" spans="1:7" ht="12.75">
      <c r="A95" s="1" t="s">
        <v>43</v>
      </c>
      <c r="G95" s="8">
        <f>G86+G93</f>
        <v>0</v>
      </c>
    </row>
    <row r="97" ht="12.75">
      <c r="G97" s="2" t="s">
        <v>38</v>
      </c>
    </row>
    <row r="98" spans="1:7" ht="12.75">
      <c r="A98" s="2" t="s">
        <v>34</v>
      </c>
      <c r="B98" s="2" t="s">
        <v>35</v>
      </c>
      <c r="C98" s="2" t="s">
        <v>1</v>
      </c>
      <c r="D98" s="2" t="s">
        <v>3</v>
      </c>
      <c r="E98" s="2" t="s">
        <v>4</v>
      </c>
      <c r="G98" s="2" t="s">
        <v>39</v>
      </c>
    </row>
    <row r="100" ht="12.75">
      <c r="A100" s="2">
        <v>2015</v>
      </c>
    </row>
    <row r="101" spans="2:5" ht="12.75">
      <c r="B101" t="str">
        <f>B8</f>
        <v>1997 Def. 2012</v>
      </c>
      <c r="C101" s="7">
        <f>'1997'!$B$23</f>
        <v>0</v>
      </c>
      <c r="D101" s="7">
        <f>'1997'!$C$23</f>
        <v>0</v>
      </c>
      <c r="E101" s="7">
        <f>C101+D101</f>
        <v>0</v>
      </c>
    </row>
    <row r="102" spans="2:5" ht="12.75">
      <c r="B102" t="str">
        <f>B9</f>
        <v>1998 Def. 2012</v>
      </c>
      <c r="C102" s="7">
        <f>'1998'!B23</f>
        <v>0</v>
      </c>
      <c r="D102" s="7">
        <f>'1998'!C23</f>
        <v>0</v>
      </c>
      <c r="E102" s="7">
        <f aca="true" t="shared" si="3" ref="E102:E113">C102+D102</f>
        <v>0</v>
      </c>
    </row>
    <row r="103" spans="2:5" ht="12.75">
      <c r="B103" s="9" t="s">
        <v>20</v>
      </c>
      <c r="C103" s="7">
        <f>USDA2000!B23</f>
        <v>0</v>
      </c>
      <c r="D103" s="7">
        <f>USDA2000!C23</f>
        <v>46825</v>
      </c>
      <c r="E103" s="7">
        <f t="shared" si="3"/>
        <v>46825</v>
      </c>
    </row>
    <row r="104" spans="2:5" ht="12.75">
      <c r="B104" t="str">
        <f>B11</f>
        <v>2001 Def. 2012</v>
      </c>
      <c r="C104" s="7">
        <f>'2001'!B23</f>
        <v>0</v>
      </c>
      <c r="D104" s="7">
        <f>'2001'!C23</f>
        <v>0</v>
      </c>
      <c r="E104" s="7">
        <f t="shared" si="3"/>
        <v>0</v>
      </c>
    </row>
    <row r="105" spans="2:5" ht="12.75">
      <c r="B105" s="9" t="str">
        <f>B12</f>
        <v>2002A Def. 2012</v>
      </c>
      <c r="C105" s="7">
        <f>'2002A'!B23</f>
        <v>0</v>
      </c>
      <c r="D105" s="7">
        <f>'2002A'!C23</f>
        <v>0</v>
      </c>
      <c r="E105" s="7">
        <f t="shared" si="3"/>
        <v>0</v>
      </c>
    </row>
    <row r="106" spans="2:5" ht="12.75">
      <c r="B106" s="9" t="str">
        <f>B13</f>
        <v>2002B Def. 2013</v>
      </c>
      <c r="C106" s="7">
        <f>'2002B'!B23</f>
        <v>0</v>
      </c>
      <c r="D106" s="7">
        <f>'2002B'!C23</f>
        <v>0</v>
      </c>
      <c r="E106" s="7">
        <f t="shared" si="3"/>
        <v>0</v>
      </c>
    </row>
    <row r="107" spans="2:5" ht="12.75">
      <c r="B107" s="9" t="str">
        <f>B14</f>
        <v>2003A def. 2013</v>
      </c>
      <c r="C107" s="7">
        <f>'2003A'!B23</f>
        <v>0</v>
      </c>
      <c r="D107" s="7">
        <f>'2003A'!C23</f>
        <v>0</v>
      </c>
      <c r="E107" s="7">
        <f t="shared" si="3"/>
        <v>0</v>
      </c>
    </row>
    <row r="108" spans="2:5" ht="12.75">
      <c r="B108" s="9" t="str">
        <f>B15</f>
        <v>2003B def. 2013</v>
      </c>
      <c r="C108" s="7">
        <f>'2003B'!B23</f>
        <v>0</v>
      </c>
      <c r="D108" s="7">
        <f>'2003B'!C23</f>
        <v>0</v>
      </c>
      <c r="E108" s="7">
        <f t="shared" si="3"/>
        <v>0</v>
      </c>
    </row>
    <row r="109" spans="2:5" ht="12.75">
      <c r="B109" s="9" t="s">
        <v>69</v>
      </c>
      <c r="C109" s="7">
        <f>'2003C'!B23</f>
        <v>0</v>
      </c>
      <c r="D109" s="7">
        <f>'2003C'!C23</f>
        <v>0</v>
      </c>
      <c r="E109" s="7">
        <f t="shared" si="3"/>
        <v>0</v>
      </c>
    </row>
    <row r="110" spans="2:5" ht="12.75">
      <c r="B110" s="9" t="s">
        <v>70</v>
      </c>
      <c r="C110" s="7">
        <f>'2004'!B23</f>
        <v>0</v>
      </c>
      <c r="D110" s="7">
        <f>'2004'!C23</f>
        <v>0</v>
      </c>
      <c r="E110" s="7">
        <f t="shared" si="3"/>
        <v>0</v>
      </c>
    </row>
    <row r="111" spans="2:5" ht="12.75">
      <c r="B111">
        <v>2006</v>
      </c>
      <c r="C111" s="7">
        <f>'2006'!B23</f>
        <v>0</v>
      </c>
      <c r="D111" s="7">
        <f>'2006'!C23</f>
        <v>0</v>
      </c>
      <c r="E111" s="7">
        <f t="shared" si="3"/>
        <v>0</v>
      </c>
    </row>
    <row r="112" spans="2:5" ht="12.75">
      <c r="B112">
        <v>2009</v>
      </c>
      <c r="C112" s="7">
        <f>'2009'!B23</f>
        <v>0</v>
      </c>
      <c r="D112" s="7">
        <f>'2009'!C23</f>
        <v>0</v>
      </c>
      <c r="E112" s="7">
        <f t="shared" si="3"/>
        <v>0</v>
      </c>
    </row>
    <row r="113" spans="2:5" ht="12.75">
      <c r="B113">
        <v>2011</v>
      </c>
      <c r="C113" s="7">
        <f>'2011'!B23</f>
        <v>0</v>
      </c>
      <c r="D113" s="7">
        <f>'2011'!C23</f>
        <v>0</v>
      </c>
      <c r="E113" s="7">
        <f t="shared" si="3"/>
        <v>0</v>
      </c>
    </row>
    <row r="114" spans="2:5" ht="12.75">
      <c r="B114">
        <f>B47</f>
        <v>2012</v>
      </c>
      <c r="C114" s="7">
        <f>'2012'!B23</f>
        <v>0</v>
      </c>
      <c r="D114" s="7">
        <f>'2012'!C23</f>
        <v>0</v>
      </c>
      <c r="E114" s="7">
        <f>C114+D114</f>
        <v>0</v>
      </c>
    </row>
    <row r="115" spans="2:5" ht="12.75">
      <c r="B115" s="9" t="s">
        <v>59</v>
      </c>
      <c r="C115" s="7">
        <f>'2013A'!B23</f>
        <v>0</v>
      </c>
      <c r="D115" s="7">
        <f>'2013A'!C23</f>
        <v>0</v>
      </c>
      <c r="E115" s="7">
        <f>'2013A'!D23</f>
        <v>0</v>
      </c>
    </row>
    <row r="116" spans="2:5" ht="12.75">
      <c r="B116" s="9" t="s">
        <v>60</v>
      </c>
      <c r="C116" s="7">
        <f>'2013B'!B23</f>
        <v>0</v>
      </c>
      <c r="D116" s="7">
        <f>'2013B'!C23</f>
        <v>0</v>
      </c>
      <c r="E116" s="7">
        <f>'2013B'!D23</f>
        <v>0</v>
      </c>
    </row>
    <row r="117" spans="2:5" ht="12.75">
      <c r="B117" s="9" t="s">
        <v>71</v>
      </c>
      <c r="C117" s="7">
        <f>'2014B'!B23</f>
        <v>0</v>
      </c>
      <c r="D117" s="7">
        <f>'2014B'!C23</f>
        <v>0</v>
      </c>
      <c r="E117" s="7">
        <f>'2014B'!D23</f>
        <v>0</v>
      </c>
    </row>
    <row r="118" spans="3:5" ht="12.75">
      <c r="C118" s="7"/>
      <c r="D118" s="7"/>
      <c r="E118" s="7"/>
    </row>
    <row r="119" spans="1:7" ht="12.75">
      <c r="A119" s="1" t="s">
        <v>37</v>
      </c>
      <c r="C119" s="8">
        <f>SUM(C101:C117)</f>
        <v>0</v>
      </c>
      <c r="D119" s="8">
        <f>SUM(D101:D117)</f>
        <v>46825</v>
      </c>
      <c r="E119" s="8">
        <f>SUM(E101:E117)</f>
        <v>46825</v>
      </c>
      <c r="G119" s="8">
        <f>C119+D119</f>
        <v>46825</v>
      </c>
    </row>
    <row r="120" spans="3:5" ht="12.75">
      <c r="C120" s="7"/>
      <c r="D120" s="7"/>
      <c r="E120" s="7"/>
    </row>
    <row r="121" spans="2:5" ht="12.75">
      <c r="B121" t="s">
        <v>40</v>
      </c>
      <c r="C121" s="7">
        <f>KIAF06!B23</f>
        <v>91042</v>
      </c>
      <c r="D121" s="7">
        <f>KIAF06!C23</f>
        <v>46622</v>
      </c>
      <c r="E121" s="7">
        <f>C121+D121</f>
        <v>137664</v>
      </c>
    </row>
    <row r="122" spans="2:5" ht="12.75">
      <c r="B122" t="s">
        <v>41</v>
      </c>
      <c r="C122" s="7">
        <f>KIAC08!B70</f>
        <v>148882</v>
      </c>
      <c r="D122" s="7">
        <f>KIAC08!C70</f>
        <v>26589</v>
      </c>
      <c r="E122" s="7">
        <f>C122+D122</f>
        <v>175471</v>
      </c>
    </row>
    <row r="123" spans="2:5" ht="12.75">
      <c r="B123" t="s">
        <v>64</v>
      </c>
      <c r="C123" s="7">
        <f>KIAF08!B23</f>
        <v>92869</v>
      </c>
      <c r="D123" s="7">
        <f>KIAF08!C23</f>
        <v>22141</v>
      </c>
      <c r="E123" s="7">
        <f>C123+D123</f>
        <v>115010</v>
      </c>
    </row>
    <row r="124" spans="2:5" ht="12.75">
      <c r="B124" t="s">
        <v>58</v>
      </c>
      <c r="C124" s="7">
        <f>KIAF09!B18</f>
        <v>510868</v>
      </c>
      <c r="D124" s="7">
        <f>KIAF09!C18</f>
        <v>247574</v>
      </c>
      <c r="E124" s="7">
        <f>C124+D124</f>
        <v>758442</v>
      </c>
    </row>
    <row r="125" spans="3:5" ht="12.75">
      <c r="C125" s="7"/>
      <c r="D125" s="7"/>
      <c r="E125" s="7"/>
    </row>
    <row r="126" spans="1:7" ht="12.75">
      <c r="A126" s="1" t="s">
        <v>42</v>
      </c>
      <c r="C126" s="8">
        <f>SUM(C121:C125)</f>
        <v>843661</v>
      </c>
      <c r="D126" s="8">
        <f>SUM(D121:D125)</f>
        <v>342926</v>
      </c>
      <c r="E126" s="8">
        <f>SUM(E121:E125)</f>
        <v>1186587</v>
      </c>
      <c r="G126" s="8">
        <f>C126+D126</f>
        <v>1186587</v>
      </c>
    </row>
    <row r="128" spans="1:7" ht="12.75">
      <c r="A128" s="1" t="s">
        <v>43</v>
      </c>
      <c r="G128" s="8">
        <f>G119+G126</f>
        <v>1233412</v>
      </c>
    </row>
    <row r="131" spans="1:7" ht="12.75">
      <c r="A131" s="10" t="s">
        <v>44</v>
      </c>
      <c r="B131" s="10"/>
      <c r="C131" s="10"/>
      <c r="D131" s="10"/>
      <c r="E131" s="10"/>
      <c r="F131" s="10"/>
      <c r="G131" s="10"/>
    </row>
    <row r="132" spans="1:7" ht="12.75">
      <c r="A132" s="10" t="str">
        <f>A2</f>
        <v>Summary of Debt Service After August 1, 2015</v>
      </c>
      <c r="B132" s="10"/>
      <c r="C132" s="10"/>
      <c r="D132" s="10"/>
      <c r="E132" s="10"/>
      <c r="F132" s="10"/>
      <c r="G132" s="10"/>
    </row>
    <row r="134" ht="12.75">
      <c r="G134" s="2" t="s">
        <v>38</v>
      </c>
    </row>
    <row r="135" spans="1:7" ht="12.75">
      <c r="A135" s="2" t="s">
        <v>34</v>
      </c>
      <c r="B135" s="2" t="s">
        <v>35</v>
      </c>
      <c r="C135" s="2" t="s">
        <v>1</v>
      </c>
      <c r="D135" s="2" t="s">
        <v>3</v>
      </c>
      <c r="E135" s="2" t="s">
        <v>4</v>
      </c>
      <c r="G135" s="2" t="s">
        <v>39</v>
      </c>
    </row>
    <row r="137" ht="12.75">
      <c r="A137" s="2">
        <v>2016</v>
      </c>
    </row>
    <row r="138" spans="2:5" ht="12.75">
      <c r="B138" t="str">
        <f>B8</f>
        <v>1997 Def. 2012</v>
      </c>
      <c r="C138" s="7">
        <f>'1997'!$B$28</f>
        <v>0</v>
      </c>
      <c r="D138" s="7">
        <f>'1997'!$C$28</f>
        <v>0</v>
      </c>
      <c r="E138" s="7">
        <f>C138+D138</f>
        <v>0</v>
      </c>
    </row>
    <row r="139" spans="2:5" ht="12.75">
      <c r="B139" t="str">
        <f>B9</f>
        <v>1998 Def. 2012</v>
      </c>
      <c r="C139" s="7">
        <f>'1998'!B28</f>
        <v>0</v>
      </c>
      <c r="D139" s="7">
        <f>'1998'!C28</f>
        <v>0</v>
      </c>
      <c r="E139" s="7">
        <f aca="true" t="shared" si="4" ref="E139:E150">C139+D139</f>
        <v>0</v>
      </c>
    </row>
    <row r="140" spans="2:5" ht="12.75">
      <c r="B140" s="9" t="s">
        <v>20</v>
      </c>
      <c r="C140" s="7">
        <f>USDA2000!B28</f>
        <v>42000</v>
      </c>
      <c r="D140" s="7">
        <f>USDA2000!C28</f>
        <v>92600</v>
      </c>
      <c r="E140" s="7">
        <f t="shared" si="4"/>
        <v>134600</v>
      </c>
    </row>
    <row r="141" spans="2:5" ht="12.75">
      <c r="B141" t="str">
        <f>B11</f>
        <v>2001 Def. 2012</v>
      </c>
      <c r="C141" s="7">
        <f>'2001'!B28</f>
        <v>0</v>
      </c>
      <c r="D141" s="7">
        <f>'2001'!C28</f>
        <v>0</v>
      </c>
      <c r="E141" s="7">
        <f t="shared" si="4"/>
        <v>0</v>
      </c>
    </row>
    <row r="142" spans="2:5" ht="12.75">
      <c r="B142" s="9" t="str">
        <f>B12</f>
        <v>2002A Def. 2012</v>
      </c>
      <c r="C142" s="7">
        <f>'2002A'!B28</f>
        <v>0</v>
      </c>
      <c r="D142" s="7">
        <f>'2002A'!C28</f>
        <v>0</v>
      </c>
      <c r="E142" s="7">
        <f t="shared" si="4"/>
        <v>0</v>
      </c>
    </row>
    <row r="143" spans="2:5" ht="12.75">
      <c r="B143" s="9" t="str">
        <f>B13</f>
        <v>2002B Def. 2013</v>
      </c>
      <c r="C143" s="7">
        <f>'2002B'!B28</f>
        <v>0</v>
      </c>
      <c r="D143" s="7">
        <f>'2002B'!C28</f>
        <v>0</v>
      </c>
      <c r="E143" s="7">
        <f t="shared" si="4"/>
        <v>0</v>
      </c>
    </row>
    <row r="144" spans="2:5" ht="12.75">
      <c r="B144" s="9" t="str">
        <f>B14</f>
        <v>2003A def. 2013</v>
      </c>
      <c r="C144" s="7">
        <f>'2003A'!B28</f>
        <v>0</v>
      </c>
      <c r="D144" s="7">
        <f>'2003A'!C28</f>
        <v>0</v>
      </c>
      <c r="E144" s="7">
        <f t="shared" si="4"/>
        <v>0</v>
      </c>
    </row>
    <row r="145" spans="2:5" ht="12.75">
      <c r="B145" s="9" t="str">
        <f>B15</f>
        <v>2003B def. 2013</v>
      </c>
      <c r="C145" s="7">
        <f>'2003B'!B28</f>
        <v>0</v>
      </c>
      <c r="D145" s="7">
        <f>'2003B'!C28</f>
        <v>0</v>
      </c>
      <c r="E145" s="7">
        <f t="shared" si="4"/>
        <v>0</v>
      </c>
    </row>
    <row r="146" spans="2:5" ht="12.75">
      <c r="B146" s="9" t="str">
        <f>B109</f>
        <v>2003C def 2014</v>
      </c>
      <c r="C146" s="7">
        <f>'2003C'!B28</f>
        <v>0</v>
      </c>
      <c r="D146" s="7">
        <f>'2003C'!C28</f>
        <v>0</v>
      </c>
      <c r="E146" s="7">
        <f t="shared" si="4"/>
        <v>0</v>
      </c>
    </row>
    <row r="147" spans="2:5" ht="12.75">
      <c r="B147" s="9" t="str">
        <f>B110</f>
        <v>2004 def 2014</v>
      </c>
      <c r="C147" s="7">
        <f>'2004'!B28</f>
        <v>0</v>
      </c>
      <c r="D147" s="7">
        <f>'2004'!C28</f>
        <v>0</v>
      </c>
      <c r="E147" s="7">
        <f t="shared" si="4"/>
        <v>0</v>
      </c>
    </row>
    <row r="148" spans="2:5" ht="12.75">
      <c r="B148">
        <v>2006</v>
      </c>
      <c r="C148" s="7">
        <f>'2006'!B28</f>
        <v>980000</v>
      </c>
      <c r="D148" s="7">
        <f>'2006'!C28</f>
        <v>904488</v>
      </c>
      <c r="E148" s="7">
        <f t="shared" si="4"/>
        <v>1884488</v>
      </c>
    </row>
    <row r="149" spans="2:5" ht="12.75">
      <c r="B149">
        <v>2009</v>
      </c>
      <c r="C149" s="7">
        <f>'2009'!B28</f>
        <v>815000</v>
      </c>
      <c r="D149" s="7">
        <f>'2009'!C28</f>
        <v>1362169</v>
      </c>
      <c r="E149" s="7">
        <f t="shared" si="4"/>
        <v>2177169</v>
      </c>
    </row>
    <row r="150" spans="2:5" ht="12.75">
      <c r="B150">
        <v>2011</v>
      </c>
      <c r="C150" s="7">
        <f>'2011'!B28</f>
        <v>930000</v>
      </c>
      <c r="D150" s="7">
        <f>'2011'!C28</f>
        <v>1146512</v>
      </c>
      <c r="E150" s="7">
        <f t="shared" si="4"/>
        <v>2076512</v>
      </c>
    </row>
    <row r="151" spans="2:5" ht="12.75">
      <c r="B151">
        <f>B47</f>
        <v>2012</v>
      </c>
      <c r="C151" s="7">
        <f>'2012'!B28</f>
        <v>1960000</v>
      </c>
      <c r="D151" s="7">
        <f>'2012'!C28</f>
        <v>2413200</v>
      </c>
      <c r="E151" s="7">
        <f>C151+D151</f>
        <v>4373200</v>
      </c>
    </row>
    <row r="152" spans="2:5" ht="12.75">
      <c r="B152" s="9" t="s">
        <v>59</v>
      </c>
      <c r="C152" s="7">
        <f>'2013A'!B28</f>
        <v>645000</v>
      </c>
      <c r="D152" s="7">
        <f>'2013A'!C28</f>
        <v>1083051</v>
      </c>
      <c r="E152" s="7">
        <f>C152+D152</f>
        <v>1728051</v>
      </c>
    </row>
    <row r="153" spans="2:5" ht="12.75">
      <c r="B153" s="9" t="s">
        <v>60</v>
      </c>
      <c r="C153" s="7">
        <f>'2013B'!B28</f>
        <v>2020000</v>
      </c>
      <c r="D153" s="7">
        <f>'2013B'!C28</f>
        <v>910450</v>
      </c>
      <c r="E153" s="7">
        <f>C153+D153</f>
        <v>2930450</v>
      </c>
    </row>
    <row r="154" spans="2:5" ht="12.75">
      <c r="B154" s="9" t="s">
        <v>71</v>
      </c>
      <c r="C154" s="7">
        <f>'2014B'!B28</f>
        <v>1850000</v>
      </c>
      <c r="D154" s="7">
        <f>'2014B'!C28</f>
        <v>580388</v>
      </c>
      <c r="E154" s="7">
        <f>'2014B'!D28</f>
        <v>2430388</v>
      </c>
    </row>
    <row r="155" spans="3:5" ht="12.75">
      <c r="C155" s="7"/>
      <c r="D155" s="7"/>
      <c r="E155" s="7"/>
    </row>
    <row r="156" spans="1:7" ht="12.75">
      <c r="A156" s="1" t="s">
        <v>37</v>
      </c>
      <c r="C156" s="8">
        <f>SUM(C138:C154)</f>
        <v>9242000</v>
      </c>
      <c r="D156" s="8">
        <f>SUM(D138:D154)</f>
        <v>8492858</v>
      </c>
      <c r="E156" s="8">
        <f>SUM(E138:E154)</f>
        <v>17734858</v>
      </c>
      <c r="G156" s="8">
        <f>C156+D156</f>
        <v>17734858</v>
      </c>
    </row>
    <row r="157" spans="3:5" ht="12.75">
      <c r="C157" s="7"/>
      <c r="D157" s="7"/>
      <c r="E157" s="7"/>
    </row>
    <row r="158" spans="2:5" ht="12.75">
      <c r="B158" t="s">
        <v>40</v>
      </c>
      <c r="C158" s="7">
        <f>KIAF06!B28</f>
        <v>186201</v>
      </c>
      <c r="D158" s="7">
        <f>KIAF06!C28</f>
        <v>88786</v>
      </c>
      <c r="E158" s="7">
        <f>C158+D158</f>
        <v>274987</v>
      </c>
    </row>
    <row r="159" spans="2:5" ht="12.75">
      <c r="B159" t="s">
        <v>41</v>
      </c>
      <c r="C159" s="7">
        <f>KIAC08!B85</f>
        <v>606807</v>
      </c>
      <c r="D159" s="7">
        <f>KIAC08!C85</f>
        <v>94325</v>
      </c>
      <c r="E159" s="7">
        <f>C159+D159</f>
        <v>701132</v>
      </c>
    </row>
    <row r="160" spans="2:5" ht="12.75">
      <c r="B160" t="s">
        <v>64</v>
      </c>
      <c r="C160" s="7">
        <f>KIAF08!B28</f>
        <v>187134</v>
      </c>
      <c r="D160" s="7">
        <f>KIAF08!C28</f>
        <v>42537</v>
      </c>
      <c r="E160" s="7">
        <f>C160+D160</f>
        <v>229671</v>
      </c>
    </row>
    <row r="161" spans="2:5" ht="12.75">
      <c r="B161" t="s">
        <v>58</v>
      </c>
      <c r="C161" s="7">
        <f>KIAF09!B23</f>
        <v>1037114</v>
      </c>
      <c r="D161" s="7">
        <f>KIAF09!C23</f>
        <v>477849</v>
      </c>
      <c r="E161" s="7">
        <f>C161+D161</f>
        <v>1514963</v>
      </c>
    </row>
    <row r="162" spans="3:5" ht="12.75">
      <c r="C162" s="7"/>
      <c r="D162" s="7"/>
      <c r="E162" s="7"/>
    </row>
    <row r="163" spans="1:7" ht="12.75">
      <c r="A163" s="1" t="s">
        <v>42</v>
      </c>
      <c r="C163" s="8">
        <f>SUM(C158:C162)</f>
        <v>2017256</v>
      </c>
      <c r="D163" s="8">
        <f>SUM(D158:D162)</f>
        <v>703497</v>
      </c>
      <c r="E163" s="8">
        <f>SUM(E158:E162)</f>
        <v>2720753</v>
      </c>
      <c r="G163" s="8">
        <f>C163+D163</f>
        <v>2720753</v>
      </c>
    </row>
    <row r="165" spans="1:7" ht="12.75">
      <c r="A165" s="1" t="s">
        <v>43</v>
      </c>
      <c r="G165" s="8">
        <f>G156+G163</f>
        <v>20455611</v>
      </c>
    </row>
    <row r="167" ht="12.75">
      <c r="G167" s="2" t="s">
        <v>38</v>
      </c>
    </row>
    <row r="168" spans="1:7" ht="12.75">
      <c r="A168" s="2" t="s">
        <v>34</v>
      </c>
      <c r="B168" s="2" t="s">
        <v>35</v>
      </c>
      <c r="C168" s="2" t="s">
        <v>1</v>
      </c>
      <c r="D168" s="2" t="s">
        <v>3</v>
      </c>
      <c r="E168" s="2" t="s">
        <v>4</v>
      </c>
      <c r="G168" s="2" t="s">
        <v>39</v>
      </c>
    </row>
    <row r="170" ht="12.75">
      <c r="A170" s="2">
        <v>2017</v>
      </c>
    </row>
    <row r="171" spans="2:5" ht="12.75">
      <c r="B171" t="str">
        <f>B8</f>
        <v>1997 Def. 2012</v>
      </c>
      <c r="C171" s="7">
        <f>'1997'!$B$33</f>
        <v>0</v>
      </c>
      <c r="D171" s="7">
        <f>'1997'!$C$33</f>
        <v>0</v>
      </c>
      <c r="E171" s="7">
        <f>C171+D171</f>
        <v>0</v>
      </c>
    </row>
    <row r="172" spans="2:5" ht="12.75">
      <c r="B172" t="str">
        <f>B9</f>
        <v>1998 Def. 2012</v>
      </c>
      <c r="C172" s="7">
        <f>'1998'!B33</f>
        <v>0</v>
      </c>
      <c r="D172" s="7">
        <f>'1998'!C33</f>
        <v>0</v>
      </c>
      <c r="E172" s="7">
        <f aca="true" t="shared" si="5" ref="E172:E183">C172+D172</f>
        <v>0</v>
      </c>
    </row>
    <row r="173" spans="2:5" ht="12.75">
      <c r="B173" s="9" t="s">
        <v>20</v>
      </c>
      <c r="C173" s="7">
        <f>USDA2000!B33</f>
        <v>44000</v>
      </c>
      <c r="D173" s="7">
        <f>USDA2000!C33</f>
        <v>90450</v>
      </c>
      <c r="E173" s="7">
        <f t="shared" si="5"/>
        <v>134450</v>
      </c>
    </row>
    <row r="174" spans="2:5" ht="12.75">
      <c r="B174" t="str">
        <f>B11</f>
        <v>2001 Def. 2012</v>
      </c>
      <c r="C174" s="7">
        <f>'2001'!B33</f>
        <v>0</v>
      </c>
      <c r="D174" s="7">
        <f>'2001'!C33</f>
        <v>0</v>
      </c>
      <c r="E174" s="7">
        <f t="shared" si="5"/>
        <v>0</v>
      </c>
    </row>
    <row r="175" spans="2:5" ht="12.75">
      <c r="B175" s="9" t="str">
        <f>B12</f>
        <v>2002A Def. 2012</v>
      </c>
      <c r="C175" s="7">
        <f>'2002A'!B33</f>
        <v>0</v>
      </c>
      <c r="D175" s="7">
        <f>'2002A'!C33</f>
        <v>0</v>
      </c>
      <c r="E175" s="7">
        <f t="shared" si="5"/>
        <v>0</v>
      </c>
    </row>
    <row r="176" spans="2:5" ht="12.75">
      <c r="B176" s="9" t="str">
        <f>B13</f>
        <v>2002B Def. 2013</v>
      </c>
      <c r="C176" s="7">
        <f>'2002B'!B33</f>
        <v>0</v>
      </c>
      <c r="D176" s="7">
        <f>'2002B'!C33</f>
        <v>0</v>
      </c>
      <c r="E176" s="7">
        <f t="shared" si="5"/>
        <v>0</v>
      </c>
    </row>
    <row r="177" spans="2:5" ht="12.75">
      <c r="B177" s="9" t="str">
        <f>B14</f>
        <v>2003A def. 2013</v>
      </c>
      <c r="C177" s="7">
        <f>'2003A'!B33</f>
        <v>0</v>
      </c>
      <c r="D177" s="7">
        <f>'2003A'!C33</f>
        <v>0</v>
      </c>
      <c r="E177" s="7">
        <f t="shared" si="5"/>
        <v>0</v>
      </c>
    </row>
    <row r="178" spans="2:5" ht="12.75">
      <c r="B178" s="9" t="str">
        <f>B15</f>
        <v>2003B def. 2013</v>
      </c>
      <c r="C178" s="7">
        <f>'2003B'!B33</f>
        <v>0</v>
      </c>
      <c r="D178" s="7">
        <f>'2003B'!C33</f>
        <v>0</v>
      </c>
      <c r="E178" s="7">
        <f t="shared" si="5"/>
        <v>0</v>
      </c>
    </row>
    <row r="179" spans="2:5" ht="12.75">
      <c r="B179" s="9" t="str">
        <f>B109</f>
        <v>2003C def 2014</v>
      </c>
      <c r="C179" s="7">
        <f>'2003C'!B33</f>
        <v>0</v>
      </c>
      <c r="D179" s="7">
        <f>'2003C'!C33</f>
        <v>0</v>
      </c>
      <c r="E179" s="7">
        <f t="shared" si="5"/>
        <v>0</v>
      </c>
    </row>
    <row r="180" spans="2:5" ht="12.75">
      <c r="B180" s="9" t="str">
        <f>B110</f>
        <v>2004 def 2014</v>
      </c>
      <c r="C180" s="7">
        <f>'2004'!B33</f>
        <v>0</v>
      </c>
      <c r="D180" s="7">
        <f>'2004'!C33</f>
        <v>0</v>
      </c>
      <c r="E180" s="7">
        <f t="shared" si="5"/>
        <v>0</v>
      </c>
    </row>
    <row r="181" spans="2:5" ht="12.75">
      <c r="B181">
        <v>2006</v>
      </c>
      <c r="C181" s="7">
        <f>'2006'!B33</f>
        <v>1020000</v>
      </c>
      <c r="D181" s="7">
        <f>'2006'!C33</f>
        <v>864488</v>
      </c>
      <c r="E181" s="7">
        <f t="shared" si="5"/>
        <v>1884488</v>
      </c>
    </row>
    <row r="182" spans="2:5" ht="12.75">
      <c r="B182">
        <v>2009</v>
      </c>
      <c r="C182" s="7">
        <f>'2009'!B33</f>
        <v>850000</v>
      </c>
      <c r="D182" s="7">
        <f>'2009'!C33</f>
        <v>1324663</v>
      </c>
      <c r="E182" s="7">
        <f t="shared" si="5"/>
        <v>2174663</v>
      </c>
    </row>
    <row r="183" spans="2:5" ht="12.75">
      <c r="B183">
        <v>2011</v>
      </c>
      <c r="C183" s="7">
        <f>'2011'!B33</f>
        <v>960000</v>
      </c>
      <c r="D183" s="7">
        <f>'2011'!C33</f>
        <v>1118162</v>
      </c>
      <c r="E183" s="7">
        <f t="shared" si="5"/>
        <v>2078162</v>
      </c>
    </row>
    <row r="184" spans="2:5" ht="12.75">
      <c r="B184">
        <f>B47</f>
        <v>2012</v>
      </c>
      <c r="C184" s="7">
        <f>'2012'!B33</f>
        <v>2530000</v>
      </c>
      <c r="D184" s="7">
        <f>'2012'!C33</f>
        <v>2310750</v>
      </c>
      <c r="E184" s="7">
        <f>C184+D184</f>
        <v>4840750</v>
      </c>
    </row>
    <row r="185" spans="2:5" ht="12.75">
      <c r="B185" s="9" t="s">
        <v>59</v>
      </c>
      <c r="C185" s="7">
        <f>'2013A'!B33</f>
        <v>665000</v>
      </c>
      <c r="D185" s="7">
        <f>'2013A'!C33</f>
        <v>1063401</v>
      </c>
      <c r="E185" s="7">
        <f>C185+D185</f>
        <v>1728401</v>
      </c>
    </row>
    <row r="186" spans="2:5" ht="12.75">
      <c r="B186" s="9" t="s">
        <v>60</v>
      </c>
      <c r="C186" s="7">
        <f>'2013B'!B33</f>
        <v>1645000</v>
      </c>
      <c r="D186" s="7">
        <f>'2013B'!C33</f>
        <v>818825</v>
      </c>
      <c r="E186" s="7">
        <f>C186+D186</f>
        <v>2463825</v>
      </c>
    </row>
    <row r="187" spans="2:5" ht="12.75">
      <c r="B187" s="9" t="s">
        <v>71</v>
      </c>
      <c r="C187" s="7">
        <f>'2014B'!B33</f>
        <v>1940000</v>
      </c>
      <c r="D187" s="7">
        <f>'2014B'!C33</f>
        <v>485638</v>
      </c>
      <c r="E187" s="7">
        <f>'2014B'!D33</f>
        <v>2425638</v>
      </c>
    </row>
    <row r="188" spans="3:5" ht="12.75">
      <c r="C188" s="7"/>
      <c r="D188" s="7"/>
      <c r="E188" s="7"/>
    </row>
    <row r="189" spans="1:7" ht="12.75">
      <c r="A189" s="1" t="s">
        <v>37</v>
      </c>
      <c r="C189" s="8">
        <f>SUM(C171:C187)</f>
        <v>9654000</v>
      </c>
      <c r="D189" s="8">
        <f>SUM(D171:D187)</f>
        <v>8076377</v>
      </c>
      <c r="E189" s="8">
        <f>SUM(E171:E187)</f>
        <v>17730377</v>
      </c>
      <c r="G189" s="8">
        <f>E189</f>
        <v>17730377</v>
      </c>
    </row>
    <row r="190" spans="3:5" ht="12.75">
      <c r="C190" s="7"/>
      <c r="D190" s="7"/>
      <c r="E190" s="7"/>
    </row>
    <row r="191" spans="2:5" ht="12.75">
      <c r="B191" t="s">
        <v>40</v>
      </c>
      <c r="C191" s="7">
        <f>KIAF06!B33</f>
        <v>191828</v>
      </c>
      <c r="D191" s="7">
        <f>KIAF06!C33</f>
        <v>82689</v>
      </c>
      <c r="E191" s="7">
        <f>C191+D191</f>
        <v>274517</v>
      </c>
    </row>
    <row r="192" spans="2:5" ht="12.75">
      <c r="B192" t="s">
        <v>41</v>
      </c>
      <c r="C192" s="7">
        <f>KIAC08!B100</f>
        <v>625264</v>
      </c>
      <c r="D192" s="7">
        <f>KIAC08!C100</f>
        <v>74639</v>
      </c>
      <c r="E192" s="7">
        <f>C192+D192</f>
        <v>699903</v>
      </c>
    </row>
    <row r="193" spans="2:5" ht="12.75">
      <c r="B193" t="s">
        <v>64</v>
      </c>
      <c r="C193" s="7">
        <f>KIAF08!B33</f>
        <v>189010</v>
      </c>
      <c r="D193" s="7">
        <f>KIAF08!C33</f>
        <v>40192</v>
      </c>
      <c r="E193" s="7">
        <f>C193+D193</f>
        <v>229202</v>
      </c>
    </row>
    <row r="194" spans="2:5" ht="12.75">
      <c r="B194" t="s">
        <v>58</v>
      </c>
      <c r="C194" s="7">
        <f>KIAF09!B28</f>
        <v>1057960</v>
      </c>
      <c r="D194" s="7">
        <f>KIAF09!C28</f>
        <v>454398</v>
      </c>
      <c r="E194" s="7">
        <f>C194+D194</f>
        <v>1512358</v>
      </c>
    </row>
    <row r="195" spans="3:5" ht="12.75">
      <c r="C195" s="7"/>
      <c r="D195" s="7"/>
      <c r="E195" s="7"/>
    </row>
    <row r="196" spans="1:7" ht="12.75">
      <c r="A196" s="1" t="s">
        <v>42</v>
      </c>
      <c r="C196" s="8">
        <f>SUM(C191:C195)</f>
        <v>2064062</v>
      </c>
      <c r="D196" s="8">
        <f>SUM(D191:D195)</f>
        <v>651918</v>
      </c>
      <c r="E196" s="8">
        <f>SUM(E191:E195)</f>
        <v>2715980</v>
      </c>
      <c r="G196" s="8">
        <f>E196</f>
        <v>2715980</v>
      </c>
    </row>
    <row r="198" spans="1:7" ht="12.75">
      <c r="A198" s="1" t="s">
        <v>43</v>
      </c>
      <c r="G198" s="8">
        <f>G189+G196</f>
        <v>20446357</v>
      </c>
    </row>
    <row r="201" spans="1:7" ht="12.75">
      <c r="A201" s="10" t="s">
        <v>44</v>
      </c>
      <c r="B201" s="10"/>
      <c r="C201" s="10"/>
      <c r="D201" s="10"/>
      <c r="E201" s="10"/>
      <c r="F201" s="10"/>
      <c r="G201" s="10"/>
    </row>
    <row r="202" spans="1:7" ht="12.75">
      <c r="A202" s="10" t="str">
        <f>A2</f>
        <v>Summary of Debt Service After August 1, 2015</v>
      </c>
      <c r="B202" s="10"/>
      <c r="C202" s="10"/>
      <c r="D202" s="10"/>
      <c r="E202" s="10"/>
      <c r="F202" s="10"/>
      <c r="G202" s="10"/>
    </row>
    <row r="204" ht="12.75">
      <c r="G204" s="2" t="s">
        <v>38</v>
      </c>
    </row>
    <row r="205" spans="1:7" ht="12.75">
      <c r="A205" s="2" t="s">
        <v>34</v>
      </c>
      <c r="B205" s="2" t="s">
        <v>35</v>
      </c>
      <c r="C205" s="2" t="s">
        <v>1</v>
      </c>
      <c r="D205" s="2" t="s">
        <v>3</v>
      </c>
      <c r="E205" s="2" t="s">
        <v>4</v>
      </c>
      <c r="G205" s="2" t="s">
        <v>39</v>
      </c>
    </row>
    <row r="207" ht="12.75">
      <c r="A207" s="2">
        <v>2018</v>
      </c>
    </row>
    <row r="208" spans="2:5" ht="12.75">
      <c r="B208" t="str">
        <f>B8</f>
        <v>1997 Def. 2012</v>
      </c>
      <c r="C208" s="7">
        <f>'1997'!$B$38</f>
        <v>0</v>
      </c>
      <c r="D208" s="7">
        <f>'1997'!$C$38</f>
        <v>0</v>
      </c>
      <c r="E208" s="7">
        <f>C208+D208</f>
        <v>0</v>
      </c>
    </row>
    <row r="209" spans="2:5" ht="12.75">
      <c r="B209" t="str">
        <f>B9</f>
        <v>1998 Def. 2012</v>
      </c>
      <c r="C209" s="7">
        <f>'1998'!B38</f>
        <v>0</v>
      </c>
      <c r="D209" s="7">
        <f>'1998'!C38</f>
        <v>0</v>
      </c>
      <c r="E209" s="7">
        <f aca="true" t="shared" si="6" ref="E209:E220">C209+D209</f>
        <v>0</v>
      </c>
    </row>
    <row r="210" spans="2:5" ht="12.75">
      <c r="B210" s="9" t="s">
        <v>20</v>
      </c>
      <c r="C210" s="7">
        <f>USDA2000!B38</f>
        <v>46000</v>
      </c>
      <c r="D210" s="7">
        <f>USDA2000!C38</f>
        <v>88200</v>
      </c>
      <c r="E210" s="7">
        <f t="shared" si="6"/>
        <v>134200</v>
      </c>
    </row>
    <row r="211" spans="2:5" ht="12.75">
      <c r="B211" t="str">
        <f>B11</f>
        <v>2001 Def. 2012</v>
      </c>
      <c r="C211" s="7">
        <f>'2001'!B38</f>
        <v>0</v>
      </c>
      <c r="D211" s="7">
        <f>'2001'!C38</f>
        <v>0</v>
      </c>
      <c r="E211" s="7">
        <f t="shared" si="6"/>
        <v>0</v>
      </c>
    </row>
    <row r="212" spans="2:5" ht="12.75">
      <c r="B212" s="9" t="str">
        <f>B12</f>
        <v>2002A Def. 2012</v>
      </c>
      <c r="C212" s="7">
        <f>'2002A'!B38</f>
        <v>0</v>
      </c>
      <c r="D212" s="7">
        <f>'2002A'!C38</f>
        <v>0</v>
      </c>
      <c r="E212" s="7">
        <f t="shared" si="6"/>
        <v>0</v>
      </c>
    </row>
    <row r="213" spans="2:5" ht="12.75">
      <c r="B213" s="9" t="str">
        <f>B13</f>
        <v>2002B Def. 2013</v>
      </c>
      <c r="C213" s="7">
        <f>'2002B'!B38</f>
        <v>0</v>
      </c>
      <c r="D213" s="7">
        <f>'2002B'!C38</f>
        <v>0</v>
      </c>
      <c r="E213" s="7">
        <f t="shared" si="6"/>
        <v>0</v>
      </c>
    </row>
    <row r="214" spans="2:5" ht="12.75">
      <c r="B214" s="9" t="str">
        <f>B14</f>
        <v>2003A def. 2013</v>
      </c>
      <c r="C214" s="7">
        <f>'2003A'!B38</f>
        <v>0</v>
      </c>
      <c r="D214" s="7">
        <f>'2003A'!C38</f>
        <v>0</v>
      </c>
      <c r="E214" s="7">
        <f t="shared" si="6"/>
        <v>0</v>
      </c>
    </row>
    <row r="215" spans="2:5" ht="12.75">
      <c r="B215" s="9" t="str">
        <f>B15</f>
        <v>2003B def. 2013</v>
      </c>
      <c r="C215" s="7">
        <f>'2003B'!B38</f>
        <v>0</v>
      </c>
      <c r="D215" s="7">
        <f>'2003B'!C38</f>
        <v>0</v>
      </c>
      <c r="E215" s="7">
        <f t="shared" si="6"/>
        <v>0</v>
      </c>
    </row>
    <row r="216" spans="2:5" ht="12.75">
      <c r="B216" s="9" t="str">
        <f>B109</f>
        <v>2003C def 2014</v>
      </c>
      <c r="C216" s="7">
        <f>'2003C'!B38</f>
        <v>0</v>
      </c>
      <c r="D216" s="7">
        <f>'2003C'!C38</f>
        <v>0</v>
      </c>
      <c r="E216" s="7">
        <f t="shared" si="6"/>
        <v>0</v>
      </c>
    </row>
    <row r="217" spans="2:5" ht="12.75">
      <c r="B217" s="9" t="str">
        <f>B110</f>
        <v>2004 def 2014</v>
      </c>
      <c r="C217" s="7">
        <f>'2004'!B38</f>
        <v>0</v>
      </c>
      <c r="D217" s="7">
        <f>'2004'!C38</f>
        <v>0</v>
      </c>
      <c r="E217" s="7">
        <f t="shared" si="6"/>
        <v>0</v>
      </c>
    </row>
    <row r="218" spans="2:5" ht="12.75">
      <c r="B218">
        <v>2006</v>
      </c>
      <c r="C218" s="7">
        <f>'2006'!B38</f>
        <v>970000</v>
      </c>
      <c r="D218" s="7">
        <f>'2006'!C38</f>
        <v>824688</v>
      </c>
      <c r="E218" s="7">
        <f t="shared" si="6"/>
        <v>1794688</v>
      </c>
    </row>
    <row r="219" spans="2:5" ht="12.75">
      <c r="B219">
        <v>2009</v>
      </c>
      <c r="C219" s="7">
        <f>'2009'!B38</f>
        <v>895000</v>
      </c>
      <c r="D219" s="7">
        <f>'2009'!C38</f>
        <v>1282101</v>
      </c>
      <c r="E219" s="7">
        <f t="shared" si="6"/>
        <v>2177101</v>
      </c>
    </row>
    <row r="220" spans="2:5" ht="12.75">
      <c r="B220">
        <v>2011</v>
      </c>
      <c r="C220" s="7">
        <f>'2011'!B38</f>
        <v>985000</v>
      </c>
      <c r="D220" s="7">
        <f>'2011'!C38</f>
        <v>1088987</v>
      </c>
      <c r="E220" s="7">
        <f t="shared" si="6"/>
        <v>2073987</v>
      </c>
    </row>
    <row r="221" spans="2:5" ht="12.75">
      <c r="B221">
        <f>B47</f>
        <v>2012</v>
      </c>
      <c r="C221" s="7">
        <f>'2012'!B38</f>
        <v>3475000</v>
      </c>
      <c r="D221" s="7">
        <f>'2012'!C38</f>
        <v>2160625</v>
      </c>
      <c r="E221" s="7">
        <f>C221+D221</f>
        <v>5635625</v>
      </c>
    </row>
    <row r="222" spans="2:5" ht="12.75">
      <c r="B222" s="9" t="s">
        <v>59</v>
      </c>
      <c r="C222" s="7">
        <f>'2013A'!B38</f>
        <v>685000</v>
      </c>
      <c r="D222" s="7">
        <f>'2013A'!C38</f>
        <v>1039726</v>
      </c>
      <c r="E222" s="7">
        <f>C222+D222</f>
        <v>1724726</v>
      </c>
    </row>
    <row r="223" spans="2:5" ht="12.75">
      <c r="B223" s="9" t="s">
        <v>60</v>
      </c>
      <c r="C223" s="7">
        <f>'2013B'!B38</f>
        <v>1170000</v>
      </c>
      <c r="D223" s="7">
        <f>'2013B'!C38</f>
        <v>748450</v>
      </c>
      <c r="E223" s="7">
        <f>C223+D223</f>
        <v>1918450</v>
      </c>
    </row>
    <row r="224" spans="2:5" ht="12.75">
      <c r="B224" s="9" t="s">
        <v>71</v>
      </c>
      <c r="C224" s="7">
        <f>'2014B'!B38</f>
        <v>1880000</v>
      </c>
      <c r="D224" s="7">
        <f>'2014B'!C38</f>
        <v>390138</v>
      </c>
      <c r="E224" s="7">
        <f>'2014B'!D38</f>
        <v>2270138</v>
      </c>
    </row>
    <row r="225" spans="3:5" ht="12.75">
      <c r="C225" s="7"/>
      <c r="D225" s="7"/>
      <c r="E225" s="7"/>
    </row>
    <row r="226" spans="1:7" ht="12.75">
      <c r="A226" s="1" t="s">
        <v>37</v>
      </c>
      <c r="C226" s="8">
        <f>SUM(C208:C224)</f>
        <v>10106000</v>
      </c>
      <c r="D226" s="8">
        <f>SUM(D208:D224)</f>
        <v>7622915</v>
      </c>
      <c r="E226" s="8">
        <f>SUM(E208:E224)</f>
        <v>17728915</v>
      </c>
      <c r="G226" s="8">
        <f>E226</f>
        <v>17728915</v>
      </c>
    </row>
    <row r="227" spans="3:5" ht="12.75">
      <c r="C227" s="7"/>
      <c r="D227" s="7"/>
      <c r="E227" s="7"/>
    </row>
    <row r="228" spans="2:5" ht="12.75">
      <c r="B228" t="s">
        <v>40</v>
      </c>
      <c r="C228" s="7">
        <f>KIAF06!B38</f>
        <v>197627</v>
      </c>
      <c r="D228" s="7">
        <f>KIAF06!C38</f>
        <v>76406</v>
      </c>
      <c r="E228" s="7">
        <f>C228+D228</f>
        <v>274033</v>
      </c>
    </row>
    <row r="229" spans="2:5" ht="12.75">
      <c r="B229" t="s">
        <v>41</v>
      </c>
      <c r="C229" s="7">
        <f>KIAC08!B121</f>
        <v>644281</v>
      </c>
      <c r="D229" s="7">
        <f>KIAC08!C121</f>
        <v>54323</v>
      </c>
      <c r="E229" s="7">
        <f>C229+D229</f>
        <v>698604</v>
      </c>
    </row>
    <row r="230" spans="2:5" ht="12.75">
      <c r="B230" t="s">
        <v>64</v>
      </c>
      <c r="C230" s="7">
        <f>KIAF08!B38</f>
        <v>190905</v>
      </c>
      <c r="D230" s="7">
        <f>KIAF08!C38</f>
        <v>37825</v>
      </c>
      <c r="E230" s="7">
        <f>C230+D230</f>
        <v>228730</v>
      </c>
    </row>
    <row r="231" spans="2:5" ht="12.75">
      <c r="B231" t="s">
        <v>58</v>
      </c>
      <c r="C231" s="7">
        <f>KIAF09!B33</f>
        <v>1079225</v>
      </c>
      <c r="D231" s="7">
        <f>KIAF09!C33</f>
        <v>430475</v>
      </c>
      <c r="E231" s="7">
        <f>C231+D231</f>
        <v>1509700</v>
      </c>
    </row>
    <row r="232" spans="3:5" ht="12.75">
      <c r="C232" s="7"/>
      <c r="D232" s="7"/>
      <c r="E232" s="7"/>
    </row>
    <row r="233" spans="1:7" ht="12.75">
      <c r="A233" s="1" t="s">
        <v>42</v>
      </c>
      <c r="C233" s="8">
        <f>SUM(C228:C232)</f>
        <v>2112038</v>
      </c>
      <c r="D233" s="8">
        <f>SUM(D228:D232)</f>
        <v>599029</v>
      </c>
      <c r="E233" s="8">
        <f>SUM(E228:E232)</f>
        <v>2711067</v>
      </c>
      <c r="G233" s="8">
        <f>E233</f>
        <v>2711067</v>
      </c>
    </row>
    <row r="235" spans="1:7" ht="12.75">
      <c r="A235" s="1" t="s">
        <v>43</v>
      </c>
      <c r="G235" s="8">
        <f>G226+G233</f>
        <v>20439982</v>
      </c>
    </row>
    <row r="237" ht="12.75">
      <c r="G237" s="2" t="s">
        <v>38</v>
      </c>
    </row>
    <row r="238" spans="1:7" ht="12.75">
      <c r="A238" s="2" t="s">
        <v>34</v>
      </c>
      <c r="B238" s="2" t="s">
        <v>35</v>
      </c>
      <c r="C238" s="2" t="s">
        <v>1</v>
      </c>
      <c r="D238" s="2" t="s">
        <v>3</v>
      </c>
      <c r="E238" s="2" t="s">
        <v>4</v>
      </c>
      <c r="G238" s="2" t="s">
        <v>39</v>
      </c>
    </row>
    <row r="240" ht="12.75">
      <c r="A240" s="2">
        <v>2019</v>
      </c>
    </row>
    <row r="241" spans="2:5" ht="12.75">
      <c r="B241" t="str">
        <f>B8</f>
        <v>1997 Def. 2012</v>
      </c>
      <c r="C241" s="7">
        <f>'1997'!$B$43</f>
        <v>0</v>
      </c>
      <c r="D241" s="7">
        <f>'1997'!$C$43</f>
        <v>0</v>
      </c>
      <c r="E241" s="7">
        <f>C241+D241</f>
        <v>0</v>
      </c>
    </row>
    <row r="242" spans="2:5" ht="12.75">
      <c r="B242" t="str">
        <f>B9</f>
        <v>1998 Def. 2012</v>
      </c>
      <c r="C242" s="7">
        <f>'1998'!B43</f>
        <v>0</v>
      </c>
      <c r="D242" s="7">
        <f>'1998'!C43</f>
        <v>0</v>
      </c>
      <c r="E242" s="7">
        <f aca="true" t="shared" si="7" ref="E242:E253">C242+D242</f>
        <v>0</v>
      </c>
    </row>
    <row r="243" spans="2:5" ht="12.75">
      <c r="B243" s="9" t="s">
        <v>20</v>
      </c>
      <c r="C243" s="7">
        <f>USDA2000!B43</f>
        <v>49000</v>
      </c>
      <c r="D243" s="7">
        <f>USDA2000!C43</f>
        <v>85825</v>
      </c>
      <c r="E243" s="7">
        <f t="shared" si="7"/>
        <v>134825</v>
      </c>
    </row>
    <row r="244" spans="2:5" ht="12.75">
      <c r="B244" t="str">
        <f>B11</f>
        <v>2001 Def. 2012</v>
      </c>
      <c r="C244" s="7">
        <f>'2001'!B43</f>
        <v>0</v>
      </c>
      <c r="D244" s="7">
        <f>'2001'!C43</f>
        <v>0</v>
      </c>
      <c r="E244" s="7">
        <f t="shared" si="7"/>
        <v>0</v>
      </c>
    </row>
    <row r="245" spans="2:5" ht="12.75">
      <c r="B245" s="9" t="str">
        <f>B12</f>
        <v>2002A Def. 2012</v>
      </c>
      <c r="C245" s="7">
        <f>'2002A'!B43</f>
        <v>0</v>
      </c>
      <c r="D245" s="7">
        <f>'2002A'!C43</f>
        <v>0</v>
      </c>
      <c r="E245" s="7">
        <f t="shared" si="7"/>
        <v>0</v>
      </c>
    </row>
    <row r="246" spans="2:5" ht="12.75">
      <c r="B246" s="9" t="str">
        <f>B13</f>
        <v>2002B Def. 2013</v>
      </c>
      <c r="C246" s="7">
        <f>'2002B'!B43</f>
        <v>0</v>
      </c>
      <c r="D246" s="7">
        <f>'2002B'!C43</f>
        <v>0</v>
      </c>
      <c r="E246" s="7">
        <f t="shared" si="7"/>
        <v>0</v>
      </c>
    </row>
    <row r="247" spans="2:5" ht="12.75">
      <c r="B247" s="9" t="str">
        <f>B14</f>
        <v>2003A def. 2013</v>
      </c>
      <c r="C247" s="7">
        <f>'2003A'!B43</f>
        <v>0</v>
      </c>
      <c r="D247" s="7">
        <f>'2003A'!C43</f>
        <v>0</v>
      </c>
      <c r="E247" s="7">
        <f t="shared" si="7"/>
        <v>0</v>
      </c>
    </row>
    <row r="248" spans="2:5" ht="12.75">
      <c r="B248" s="9" t="str">
        <f>B15</f>
        <v>2003B def. 2013</v>
      </c>
      <c r="C248" s="7">
        <f>'2003B'!B43</f>
        <v>0</v>
      </c>
      <c r="D248" s="7">
        <f>'2003B'!C43</f>
        <v>0</v>
      </c>
      <c r="E248" s="7">
        <f t="shared" si="7"/>
        <v>0</v>
      </c>
    </row>
    <row r="249" spans="2:5" ht="12.75">
      <c r="B249" s="9" t="s">
        <v>36</v>
      </c>
      <c r="C249" s="7">
        <f>'2003C'!B43</f>
        <v>0</v>
      </c>
      <c r="D249" s="7">
        <f>'2003C'!C43</f>
        <v>0</v>
      </c>
      <c r="E249" s="7">
        <f t="shared" si="7"/>
        <v>0</v>
      </c>
    </row>
    <row r="250" spans="2:5" ht="12.75">
      <c r="B250">
        <v>2004</v>
      </c>
      <c r="C250" s="7">
        <f>'2004'!B43</f>
        <v>0</v>
      </c>
      <c r="D250" s="7">
        <f>'2004'!C43</f>
        <v>0</v>
      </c>
      <c r="E250" s="7">
        <f t="shared" si="7"/>
        <v>0</v>
      </c>
    </row>
    <row r="251" spans="2:5" ht="12.75">
      <c r="B251">
        <v>2006</v>
      </c>
      <c r="C251" s="7">
        <f>'2006'!B43</f>
        <v>1010000</v>
      </c>
      <c r="D251" s="7">
        <f>'2006'!C43</f>
        <v>785088</v>
      </c>
      <c r="E251" s="7">
        <f t="shared" si="7"/>
        <v>1795088</v>
      </c>
    </row>
    <row r="252" spans="2:5" ht="12.75">
      <c r="B252">
        <v>2009</v>
      </c>
      <c r="C252" s="7">
        <f>'2009'!B43</f>
        <v>940000</v>
      </c>
      <c r="D252" s="7">
        <f>'2009'!C43</f>
        <v>1236226</v>
      </c>
      <c r="E252" s="7">
        <f t="shared" si="7"/>
        <v>2176226</v>
      </c>
    </row>
    <row r="253" spans="2:5" ht="12.75">
      <c r="B253">
        <v>2011</v>
      </c>
      <c r="C253" s="7">
        <f>'2011'!B43</f>
        <v>1015000</v>
      </c>
      <c r="D253" s="7">
        <f>'2011'!C43</f>
        <v>1058987</v>
      </c>
      <c r="E253" s="7">
        <f t="shared" si="7"/>
        <v>2073987</v>
      </c>
    </row>
    <row r="254" spans="2:5" ht="12.75">
      <c r="B254">
        <f>B47</f>
        <v>2012</v>
      </c>
      <c r="C254" s="7">
        <f>'2012'!B43</f>
        <v>3650000</v>
      </c>
      <c r="D254" s="7">
        <f>'2012'!C43</f>
        <v>1982500</v>
      </c>
      <c r="E254" s="7">
        <f>C254+D254</f>
        <v>5632500</v>
      </c>
    </row>
    <row r="255" spans="2:5" ht="12.75">
      <c r="B255" s="9" t="s">
        <v>59</v>
      </c>
      <c r="C255" s="7">
        <f>'2013A'!B43</f>
        <v>720000</v>
      </c>
      <c r="D255" s="7">
        <f>'2013A'!C43</f>
        <v>1008026</v>
      </c>
      <c r="E255" s="7">
        <f>C255+D255</f>
        <v>1728026</v>
      </c>
    </row>
    <row r="256" spans="2:5" ht="12.75">
      <c r="B256" s="9" t="s">
        <v>60</v>
      </c>
      <c r="C256" s="7">
        <f>'2013B'!B43</f>
        <v>1230000</v>
      </c>
      <c r="D256" s="7">
        <f>'2013B'!C43</f>
        <v>688450</v>
      </c>
      <c r="E256" s="7">
        <f>C256+D256</f>
        <v>1918450</v>
      </c>
    </row>
    <row r="257" spans="2:5" ht="12.75">
      <c r="B257" s="9" t="s">
        <v>71</v>
      </c>
      <c r="C257" s="7">
        <f>'2014B'!B43</f>
        <v>1980000</v>
      </c>
      <c r="D257" s="7">
        <f>'2014B'!C43</f>
        <v>293638</v>
      </c>
      <c r="E257" s="7">
        <f>'2014B'!D43</f>
        <v>2273638</v>
      </c>
    </row>
    <row r="258" spans="3:5" ht="12.75">
      <c r="C258" s="7"/>
      <c r="D258" s="7"/>
      <c r="E258" s="7"/>
    </row>
    <row r="259" spans="1:7" ht="12.75">
      <c r="A259" s="1" t="s">
        <v>37</v>
      </c>
      <c r="C259" s="8">
        <f>SUM(C241:C257)</f>
        <v>10594000</v>
      </c>
      <c r="D259" s="8">
        <f>SUM(D241:D257)</f>
        <v>7138740</v>
      </c>
      <c r="E259" s="8">
        <f>SUM(E241:E257)</f>
        <v>17732740</v>
      </c>
      <c r="G259" s="8">
        <f>E259</f>
        <v>17732740</v>
      </c>
    </row>
    <row r="260" spans="3:5" ht="12.75">
      <c r="C260" s="7"/>
      <c r="D260" s="7"/>
      <c r="E260" s="7"/>
    </row>
    <row r="261" spans="2:5" ht="12.75">
      <c r="B261" t="s">
        <v>40</v>
      </c>
      <c r="C261" s="7">
        <f>KIAF06!B43</f>
        <v>203600</v>
      </c>
      <c r="D261" s="7">
        <f>KIAF06!C43</f>
        <v>69956</v>
      </c>
      <c r="E261" s="7">
        <f>C261+D261</f>
        <v>273556</v>
      </c>
    </row>
    <row r="262" spans="2:5" ht="12.75">
      <c r="B262" t="s">
        <v>41</v>
      </c>
      <c r="C262" s="7">
        <f>KIAC08!B136</f>
        <v>663879</v>
      </c>
      <c r="D262" s="7">
        <f>KIAC08!C136</f>
        <v>33450</v>
      </c>
      <c r="E262" s="7">
        <f>C262+D262</f>
        <v>697329</v>
      </c>
    </row>
    <row r="263" spans="2:5" ht="12.75">
      <c r="B263" t="s">
        <v>64</v>
      </c>
      <c r="C263" s="7">
        <f>KIAF08!B43</f>
        <v>192819</v>
      </c>
      <c r="D263" s="7">
        <f>KIAF08!C43</f>
        <v>35431</v>
      </c>
      <c r="E263" s="7">
        <f>C263+D263</f>
        <v>228250</v>
      </c>
    </row>
    <row r="264" spans="2:5" ht="12.75">
      <c r="B264" t="s">
        <v>58</v>
      </c>
      <c r="C264" s="7">
        <f>KIAF09!B38</f>
        <v>1100917</v>
      </c>
      <c r="D264" s="7">
        <f>KIAF09!C38</f>
        <v>406070.63</v>
      </c>
      <c r="E264" s="7">
        <f>C264+D264</f>
        <v>1506987.63</v>
      </c>
    </row>
    <row r="265" spans="3:5" ht="12.75">
      <c r="C265" s="7"/>
      <c r="D265" s="7"/>
      <c r="E265" s="7"/>
    </row>
    <row r="266" spans="1:7" ht="12.75">
      <c r="A266" s="1" t="s">
        <v>42</v>
      </c>
      <c r="C266" s="8">
        <f>SUM(C261:C265)</f>
        <v>2161215</v>
      </c>
      <c r="D266" s="8">
        <f>SUM(D261:D265)</f>
        <v>544907.63</v>
      </c>
      <c r="E266" s="8">
        <f>SUM(E261:E265)</f>
        <v>2706122.63</v>
      </c>
      <c r="G266" s="8">
        <f>E266</f>
        <v>2706122.63</v>
      </c>
    </row>
    <row r="268" spans="1:7" ht="12.75">
      <c r="A268" s="1" t="s">
        <v>43</v>
      </c>
      <c r="G268" s="8">
        <f>G259+G266</f>
        <v>20438862.63</v>
      </c>
    </row>
    <row r="271" spans="1:7" ht="12.75">
      <c r="A271" s="10" t="s">
        <v>44</v>
      </c>
      <c r="B271" s="10"/>
      <c r="C271" s="10"/>
      <c r="D271" s="10"/>
      <c r="E271" s="10"/>
      <c r="F271" s="10"/>
      <c r="G271" s="10"/>
    </row>
    <row r="272" spans="1:7" ht="12.75">
      <c r="A272" s="10" t="str">
        <f>A2</f>
        <v>Summary of Debt Service After August 1, 2015</v>
      </c>
      <c r="B272" s="10"/>
      <c r="C272" s="10"/>
      <c r="D272" s="10"/>
      <c r="E272" s="10"/>
      <c r="F272" s="10"/>
      <c r="G272" s="10"/>
    </row>
    <row r="274" ht="12.75">
      <c r="G274" s="2" t="s">
        <v>38</v>
      </c>
    </row>
    <row r="275" spans="1:7" ht="12.75">
      <c r="A275" s="2" t="s">
        <v>34</v>
      </c>
      <c r="B275" s="2" t="s">
        <v>35</v>
      </c>
      <c r="C275" s="2" t="s">
        <v>1</v>
      </c>
      <c r="D275" s="2" t="s">
        <v>3</v>
      </c>
      <c r="E275" s="2" t="s">
        <v>4</v>
      </c>
      <c r="G275" s="2" t="s">
        <v>39</v>
      </c>
    </row>
    <row r="277" ht="12.75">
      <c r="A277" s="2">
        <v>2020</v>
      </c>
    </row>
    <row r="278" spans="2:5" ht="12.75">
      <c r="B278" t="str">
        <f>B8</f>
        <v>1997 Def. 2012</v>
      </c>
      <c r="C278" s="7">
        <f>'1997'!$B$48</f>
        <v>0</v>
      </c>
      <c r="D278" s="7">
        <f>'1997'!$C$48</f>
        <v>0</v>
      </c>
      <c r="E278" s="7">
        <f>C278+D278</f>
        <v>0</v>
      </c>
    </row>
    <row r="279" spans="2:5" ht="12.75">
      <c r="B279" t="str">
        <f>B9</f>
        <v>1998 Def. 2012</v>
      </c>
      <c r="C279" s="7">
        <f>'1998'!B48</f>
        <v>0</v>
      </c>
      <c r="D279" s="7">
        <f>'1998'!C48</f>
        <v>0</v>
      </c>
      <c r="E279" s="7">
        <f aca="true" t="shared" si="8" ref="E279:E290">C279+D279</f>
        <v>0</v>
      </c>
    </row>
    <row r="280" spans="2:5" ht="12.75">
      <c r="B280" s="9" t="s">
        <v>20</v>
      </c>
      <c r="C280" s="7">
        <f>USDA2000!B48</f>
        <v>51000</v>
      </c>
      <c r="D280" s="7">
        <f>USDA2000!C48</f>
        <v>83325</v>
      </c>
      <c r="E280" s="7">
        <f t="shared" si="8"/>
        <v>134325</v>
      </c>
    </row>
    <row r="281" spans="2:5" ht="12.75">
      <c r="B281" t="str">
        <f>B11</f>
        <v>2001 Def. 2012</v>
      </c>
      <c r="C281" s="7">
        <f>'2001'!B48</f>
        <v>0</v>
      </c>
      <c r="D281" s="7">
        <f>'2001'!C48</f>
        <v>0</v>
      </c>
      <c r="E281" s="7">
        <f t="shared" si="8"/>
        <v>0</v>
      </c>
    </row>
    <row r="282" spans="2:5" ht="12.75">
      <c r="B282" s="9" t="str">
        <f>B12</f>
        <v>2002A Def. 2012</v>
      </c>
      <c r="C282" s="7">
        <f>'2002A'!B48</f>
        <v>0</v>
      </c>
      <c r="D282" s="7">
        <f>'2002A'!C48</f>
        <v>0</v>
      </c>
      <c r="E282" s="7">
        <f t="shared" si="8"/>
        <v>0</v>
      </c>
    </row>
    <row r="283" spans="2:5" ht="12.75">
      <c r="B283" s="9" t="str">
        <f>B13</f>
        <v>2002B Def. 2013</v>
      </c>
      <c r="C283" s="7">
        <f>'2002B'!B48</f>
        <v>0</v>
      </c>
      <c r="D283" s="7">
        <f>'2002B'!C48</f>
        <v>0</v>
      </c>
      <c r="E283" s="7">
        <f t="shared" si="8"/>
        <v>0</v>
      </c>
    </row>
    <row r="284" spans="2:5" ht="12.75">
      <c r="B284" s="9" t="str">
        <f>B14</f>
        <v>2003A def. 2013</v>
      </c>
      <c r="C284" s="7">
        <f>'2003A'!B48</f>
        <v>0</v>
      </c>
      <c r="D284" s="7">
        <f>'2003A'!C48</f>
        <v>0</v>
      </c>
      <c r="E284" s="7">
        <f t="shared" si="8"/>
        <v>0</v>
      </c>
    </row>
    <row r="285" spans="2:5" ht="12.75">
      <c r="B285" s="9" t="str">
        <f>B15</f>
        <v>2003B def. 2013</v>
      </c>
      <c r="C285" s="7">
        <f>'2003B'!B48</f>
        <v>0</v>
      </c>
      <c r="D285" s="7">
        <f>'2003B'!C48</f>
        <v>0</v>
      </c>
      <c r="E285" s="7">
        <f t="shared" si="8"/>
        <v>0</v>
      </c>
    </row>
    <row r="286" spans="2:5" ht="12.75">
      <c r="B286" s="9" t="str">
        <f>B109</f>
        <v>2003C def 2014</v>
      </c>
      <c r="C286" s="7">
        <f>'2003C'!B48</f>
        <v>0</v>
      </c>
      <c r="D286" s="7">
        <f>'2003C'!C48</f>
        <v>0</v>
      </c>
      <c r="E286" s="7">
        <f t="shared" si="8"/>
        <v>0</v>
      </c>
    </row>
    <row r="287" spans="2:5" ht="12.75">
      <c r="B287" s="9" t="str">
        <f>B110</f>
        <v>2004 def 2014</v>
      </c>
      <c r="C287" s="7">
        <f>'2004'!B48</f>
        <v>0</v>
      </c>
      <c r="D287" s="7">
        <f>'2004'!C48</f>
        <v>0</v>
      </c>
      <c r="E287" s="7">
        <f t="shared" si="8"/>
        <v>0</v>
      </c>
    </row>
    <row r="288" spans="2:5" ht="12.75">
      <c r="B288">
        <v>2006</v>
      </c>
      <c r="C288" s="7">
        <f>'2006'!B48</f>
        <v>1320000</v>
      </c>
      <c r="D288" s="7">
        <f>'2006'!C48</f>
        <v>737663</v>
      </c>
      <c r="E288" s="7">
        <f t="shared" si="8"/>
        <v>2057663</v>
      </c>
    </row>
    <row r="289" spans="2:5" ht="12.75">
      <c r="B289">
        <v>2009</v>
      </c>
      <c r="C289" s="7">
        <f>'2009'!B48</f>
        <v>990000</v>
      </c>
      <c r="D289" s="7">
        <f>'2009'!C48</f>
        <v>1187357</v>
      </c>
      <c r="E289" s="7">
        <f t="shared" si="8"/>
        <v>2177357</v>
      </c>
    </row>
    <row r="290" spans="2:5" ht="12.75">
      <c r="B290">
        <v>2011</v>
      </c>
      <c r="C290" s="7">
        <f>'2011'!B48</f>
        <v>1055000</v>
      </c>
      <c r="D290" s="7">
        <f>'2011'!C48</f>
        <v>1022662</v>
      </c>
      <c r="E290" s="7">
        <f t="shared" si="8"/>
        <v>2077662</v>
      </c>
    </row>
    <row r="291" spans="2:5" ht="12.75">
      <c r="B291">
        <f>B47</f>
        <v>2012</v>
      </c>
      <c r="C291" s="7">
        <f>'2012'!B48</f>
        <v>4150000</v>
      </c>
      <c r="D291" s="7">
        <f>'2012'!C48</f>
        <v>1787500</v>
      </c>
      <c r="E291" s="7">
        <f>C291+D291</f>
        <v>5937500</v>
      </c>
    </row>
    <row r="292" spans="2:5" ht="12.75">
      <c r="B292" s="9" t="s">
        <v>59</v>
      </c>
      <c r="C292" s="7">
        <f>'2013A'!B48</f>
        <v>755000</v>
      </c>
      <c r="D292" s="7">
        <f>'2013A'!C48</f>
        <v>971151</v>
      </c>
      <c r="E292" s="7">
        <f>C292+D292</f>
        <v>1726151</v>
      </c>
    </row>
    <row r="293" spans="2:5" ht="12.75">
      <c r="B293" s="9" t="s">
        <v>60</v>
      </c>
      <c r="C293" s="7">
        <f>'2013B'!B48</f>
        <v>1295000</v>
      </c>
      <c r="D293" s="7">
        <f>'2013B'!C48</f>
        <v>625325</v>
      </c>
      <c r="E293" s="7">
        <f>C293+D293</f>
        <v>1920325</v>
      </c>
    </row>
    <row r="294" spans="2:5" ht="12.75">
      <c r="B294" s="9" t="s">
        <v>71</v>
      </c>
      <c r="C294" s="7">
        <f>'2014B'!B48</f>
        <v>1505000</v>
      </c>
      <c r="D294" s="7">
        <f>'2014B'!C48</f>
        <v>206513</v>
      </c>
      <c r="E294" s="7">
        <f>'2014B'!D48</f>
        <v>1711513</v>
      </c>
    </row>
    <row r="295" spans="3:5" ht="12.75">
      <c r="C295" s="7"/>
      <c r="D295" s="7"/>
      <c r="E295" s="7"/>
    </row>
    <row r="296" spans="1:7" ht="12.75">
      <c r="A296" s="1" t="s">
        <v>37</v>
      </c>
      <c r="C296" s="8">
        <f>SUM(C278:C294)</f>
        <v>11121000</v>
      </c>
      <c r="D296" s="8">
        <f>SUM(D278:D294)</f>
        <v>6621496</v>
      </c>
      <c r="E296" s="8">
        <f>SUM(E278:E294)</f>
        <v>17742496</v>
      </c>
      <c r="G296" s="8">
        <f>E296</f>
        <v>17742496</v>
      </c>
    </row>
    <row r="297" spans="3:5" ht="12.75">
      <c r="C297" s="7"/>
      <c r="D297" s="7"/>
      <c r="E297" s="7"/>
    </row>
    <row r="298" spans="2:5" ht="12.75">
      <c r="B298" t="s">
        <v>40</v>
      </c>
      <c r="C298" s="7">
        <f>KIAF06!B48</f>
        <v>209754</v>
      </c>
      <c r="D298" s="7">
        <f>KIAF06!C48</f>
        <v>63268</v>
      </c>
      <c r="E298" s="7">
        <f>C298+D298</f>
        <v>273022</v>
      </c>
    </row>
    <row r="299" spans="2:5" ht="12.75">
      <c r="B299" t="s">
        <v>41</v>
      </c>
      <c r="C299" s="7">
        <f>KIAC08!B151</f>
        <v>684072</v>
      </c>
      <c r="D299" s="7">
        <f>KIAC08!C151</f>
        <v>11912</v>
      </c>
      <c r="E299" s="7">
        <f>C299+D299</f>
        <v>695984</v>
      </c>
    </row>
    <row r="300" spans="2:5" ht="12.75">
      <c r="B300" t="s">
        <v>64</v>
      </c>
      <c r="C300" s="7">
        <f>KIAF08!B48</f>
        <v>194752</v>
      </c>
      <c r="D300" s="7">
        <f>KIAF08!C48</f>
        <v>33015</v>
      </c>
      <c r="E300" s="7">
        <f>C300+D300</f>
        <v>227767</v>
      </c>
    </row>
    <row r="301" spans="2:5" ht="12.75">
      <c r="B301" t="s">
        <v>58</v>
      </c>
      <c r="C301" s="7">
        <f>KIAF09!B43</f>
        <v>1123045</v>
      </c>
      <c r="D301" s="7">
        <f>KIAF09!C43</f>
        <v>381176</v>
      </c>
      <c r="E301" s="7">
        <f>C301+D301</f>
        <v>1504221</v>
      </c>
    </row>
    <row r="302" spans="3:5" ht="12.75">
      <c r="C302" s="7"/>
      <c r="D302" s="7"/>
      <c r="E302" s="7"/>
    </row>
    <row r="303" spans="1:7" ht="12.75">
      <c r="A303" s="1" t="s">
        <v>42</v>
      </c>
      <c r="C303" s="8">
        <f>SUM(C298:C302)</f>
        <v>2211623</v>
      </c>
      <c r="D303" s="8">
        <f>SUM(D298:D302)</f>
        <v>489371</v>
      </c>
      <c r="E303" s="8">
        <f>SUM(E298:E302)</f>
        <v>2700994</v>
      </c>
      <c r="G303" s="8">
        <f>E303</f>
        <v>2700994</v>
      </c>
    </row>
    <row r="305" spans="1:7" ht="12.75">
      <c r="A305" s="1" t="s">
        <v>43</v>
      </c>
      <c r="G305" s="8">
        <f>G296+G303</f>
        <v>20443490</v>
      </c>
    </row>
    <row r="307" ht="12.75">
      <c r="G307" s="2" t="s">
        <v>38</v>
      </c>
    </row>
    <row r="308" spans="1:7" ht="12.75">
      <c r="A308" s="2" t="s">
        <v>34</v>
      </c>
      <c r="B308" s="2" t="s">
        <v>35</v>
      </c>
      <c r="C308" s="2" t="s">
        <v>1</v>
      </c>
      <c r="D308" s="2" t="s">
        <v>3</v>
      </c>
      <c r="E308" s="2" t="s">
        <v>4</v>
      </c>
      <c r="G308" s="2" t="s">
        <v>39</v>
      </c>
    </row>
    <row r="310" ht="12.75">
      <c r="A310" s="2">
        <v>2021</v>
      </c>
    </row>
    <row r="311" spans="2:5" ht="12.75">
      <c r="B311" t="str">
        <f>B8</f>
        <v>1997 Def. 2012</v>
      </c>
      <c r="C311" s="7">
        <f>'1997'!$B$60</f>
        <v>0</v>
      </c>
      <c r="D311" s="7">
        <f>'1997'!$C$60</f>
        <v>0</v>
      </c>
      <c r="E311" s="7">
        <f>C311+D311</f>
        <v>0</v>
      </c>
    </row>
    <row r="312" spans="2:5" ht="12.75">
      <c r="B312" t="str">
        <f>B9</f>
        <v>1998 Def. 2012</v>
      </c>
      <c r="C312" s="7">
        <f>'1998'!B60</f>
        <v>0</v>
      </c>
      <c r="D312" s="7">
        <f>'1998'!C60</f>
        <v>0</v>
      </c>
      <c r="E312" s="7">
        <f aca="true" t="shared" si="9" ref="E312:E323">C312+D312</f>
        <v>0</v>
      </c>
    </row>
    <row r="313" spans="2:5" ht="12.75">
      <c r="B313" s="9" t="s">
        <v>20</v>
      </c>
      <c r="C313" s="7">
        <f>USDA2000!B60</f>
        <v>54000</v>
      </c>
      <c r="D313" s="7">
        <f>USDA2000!C60</f>
        <v>80700</v>
      </c>
      <c r="E313" s="7">
        <f t="shared" si="9"/>
        <v>134700</v>
      </c>
    </row>
    <row r="314" spans="2:5" ht="12.75">
      <c r="B314" t="str">
        <f>B11</f>
        <v>2001 Def. 2012</v>
      </c>
      <c r="C314" s="7">
        <f>'2001'!B60</f>
        <v>0</v>
      </c>
      <c r="D314" s="7">
        <f>'2001'!C60</f>
        <v>0</v>
      </c>
      <c r="E314" s="7">
        <f t="shared" si="9"/>
        <v>0</v>
      </c>
    </row>
    <row r="315" spans="2:5" ht="12.75">
      <c r="B315" s="9" t="str">
        <f>B12</f>
        <v>2002A Def. 2012</v>
      </c>
      <c r="C315" s="7">
        <f>'2002A'!B60</f>
        <v>0</v>
      </c>
      <c r="D315" s="7">
        <f>'2002A'!C60</f>
        <v>0</v>
      </c>
      <c r="E315" s="7">
        <f t="shared" si="9"/>
        <v>0</v>
      </c>
    </row>
    <row r="316" spans="2:5" ht="12.75">
      <c r="B316" s="9" t="str">
        <f>B13</f>
        <v>2002B Def. 2013</v>
      </c>
      <c r="C316" s="7">
        <f>'2002B'!B60</f>
        <v>0</v>
      </c>
      <c r="D316" s="7">
        <f>'2002B'!C60</f>
        <v>0</v>
      </c>
      <c r="E316" s="7">
        <f t="shared" si="9"/>
        <v>0</v>
      </c>
    </row>
    <row r="317" spans="2:5" ht="12.75">
      <c r="B317" s="9" t="str">
        <f>B14</f>
        <v>2003A def. 2013</v>
      </c>
      <c r="C317" s="7">
        <f>'2003A'!B60</f>
        <v>0</v>
      </c>
      <c r="D317" s="7">
        <f>'2003A'!C60</f>
        <v>0</v>
      </c>
      <c r="E317" s="7">
        <f t="shared" si="9"/>
        <v>0</v>
      </c>
    </row>
    <row r="318" spans="2:5" ht="12.75">
      <c r="B318" s="9" t="str">
        <f>B15</f>
        <v>2003B def. 2013</v>
      </c>
      <c r="C318" s="7">
        <f>'2003B'!B60</f>
        <v>0</v>
      </c>
      <c r="D318" s="7">
        <f>'2003B'!C60</f>
        <v>0</v>
      </c>
      <c r="E318" s="7">
        <f t="shared" si="9"/>
        <v>0</v>
      </c>
    </row>
    <row r="319" spans="2:5" ht="12.75">
      <c r="B319" s="9" t="str">
        <f>B109</f>
        <v>2003C def 2014</v>
      </c>
      <c r="C319" s="7">
        <f>'2003C'!B60</f>
        <v>0</v>
      </c>
      <c r="D319" s="7">
        <f>'2003C'!C60</f>
        <v>0</v>
      </c>
      <c r="E319" s="7">
        <f t="shared" si="9"/>
        <v>0</v>
      </c>
    </row>
    <row r="320" spans="2:5" ht="12.75">
      <c r="B320" s="9" t="str">
        <f>B110</f>
        <v>2004 def 2014</v>
      </c>
      <c r="C320" s="7">
        <f>'2004'!B60</f>
        <v>0</v>
      </c>
      <c r="D320" s="7">
        <f>'2004'!C60</f>
        <v>0</v>
      </c>
      <c r="E320" s="7">
        <f t="shared" si="9"/>
        <v>0</v>
      </c>
    </row>
    <row r="321" spans="2:5" ht="12.75">
      <c r="B321">
        <v>2006</v>
      </c>
      <c r="C321" s="7">
        <f>'2006'!B60</f>
        <v>1205000</v>
      </c>
      <c r="D321" s="7">
        <f>'2006'!C60</f>
        <v>685585</v>
      </c>
      <c r="E321" s="7">
        <f t="shared" si="9"/>
        <v>1890585</v>
      </c>
    </row>
    <row r="322" spans="2:5" ht="12.75">
      <c r="B322">
        <v>2009</v>
      </c>
      <c r="C322" s="7">
        <f>'2009'!B60</f>
        <v>1040000</v>
      </c>
      <c r="D322" s="7">
        <f>'2009'!C60</f>
        <v>1134688</v>
      </c>
      <c r="E322" s="7">
        <f t="shared" si="9"/>
        <v>2174688</v>
      </c>
    </row>
    <row r="323" spans="2:5" ht="12.75">
      <c r="B323">
        <v>2011</v>
      </c>
      <c r="C323" s="7">
        <f>'2011'!B60</f>
        <v>1095000</v>
      </c>
      <c r="D323" s="7">
        <f>'2011'!C60</f>
        <v>979662</v>
      </c>
      <c r="E323" s="7">
        <f t="shared" si="9"/>
        <v>2074662</v>
      </c>
    </row>
    <row r="324" spans="2:5" ht="12.75">
      <c r="B324">
        <f>B47</f>
        <v>2012</v>
      </c>
      <c r="C324" s="7">
        <f>'2012'!B60</f>
        <v>4365000</v>
      </c>
      <c r="D324" s="7">
        <f>'2012'!C60</f>
        <v>1574625</v>
      </c>
      <c r="E324" s="7">
        <f>C324+D324</f>
        <v>5939625</v>
      </c>
    </row>
    <row r="325" spans="2:5" ht="12.75">
      <c r="B325" s="9" t="s">
        <v>59</v>
      </c>
      <c r="C325" s="7">
        <f>'2013A'!B60</f>
        <v>795000</v>
      </c>
      <c r="D325" s="7">
        <f>'2013A'!C60</f>
        <v>932401</v>
      </c>
      <c r="E325" s="7">
        <f>C325+D325</f>
        <v>1727401</v>
      </c>
    </row>
    <row r="326" spans="2:5" ht="12.75">
      <c r="B326" s="9" t="s">
        <v>60</v>
      </c>
      <c r="C326" s="7">
        <f>'2013B'!B60</f>
        <v>1355000</v>
      </c>
      <c r="D326" s="7">
        <f>'2013B'!C60</f>
        <v>559075</v>
      </c>
      <c r="E326" s="7">
        <f>C326+D326</f>
        <v>1914075</v>
      </c>
    </row>
    <row r="327" spans="2:5" ht="12.75">
      <c r="B327" s="9" t="s">
        <v>71</v>
      </c>
      <c r="C327" s="7">
        <f>'2014B'!B60</f>
        <v>440000</v>
      </c>
      <c r="D327" s="7">
        <f>'2014B'!C60</f>
        <v>157888</v>
      </c>
      <c r="E327" s="7">
        <f>'2014B'!D60</f>
        <v>597888</v>
      </c>
    </row>
    <row r="328" spans="3:5" ht="12.75">
      <c r="C328" s="7"/>
      <c r="D328" s="7"/>
      <c r="E328" s="7"/>
    </row>
    <row r="329" spans="1:7" ht="12.75">
      <c r="A329" s="1" t="s">
        <v>37</v>
      </c>
      <c r="C329" s="8">
        <f>SUM(C311:C327)</f>
        <v>10349000</v>
      </c>
      <c r="D329" s="8">
        <f>SUM(D311:D327)</f>
        <v>6104624</v>
      </c>
      <c r="E329" s="8">
        <f>SUM(E311:E327)</f>
        <v>16453624</v>
      </c>
      <c r="G329" s="8">
        <f>E329</f>
        <v>16453624</v>
      </c>
    </row>
    <row r="330" spans="3:5" ht="12.75">
      <c r="C330" s="7"/>
      <c r="D330" s="7"/>
      <c r="E330" s="7"/>
    </row>
    <row r="331" spans="2:5" ht="12.75">
      <c r="B331" t="s">
        <v>40</v>
      </c>
      <c r="C331" s="7">
        <f>KIAF06!B60</f>
        <v>216094</v>
      </c>
      <c r="D331" s="7">
        <f>KIAF06!C60</f>
        <v>56401</v>
      </c>
      <c r="E331" s="7">
        <f>C331+D331</f>
        <v>272495</v>
      </c>
    </row>
    <row r="332" spans="2:5" ht="12.75">
      <c r="B332" t="s">
        <v>41</v>
      </c>
      <c r="C332" s="7">
        <f>KIAC08!B194</f>
        <v>0</v>
      </c>
      <c r="D332" s="7">
        <f>KIAC08!C194</f>
        <v>0</v>
      </c>
      <c r="E332" s="7">
        <f>C332+D332</f>
        <v>0</v>
      </c>
    </row>
    <row r="333" spans="2:5" ht="12.75">
      <c r="B333" t="s">
        <v>64</v>
      </c>
      <c r="C333" s="7">
        <f>KIAF08!B60</f>
        <v>196704</v>
      </c>
      <c r="D333" s="7">
        <f>KIAF08!C60</f>
        <v>30575</v>
      </c>
      <c r="E333" s="7">
        <f>C333+D333</f>
        <v>227279</v>
      </c>
    </row>
    <row r="334" spans="2:5" ht="12.75">
      <c r="B334" t="s">
        <v>58</v>
      </c>
      <c r="C334" s="7">
        <f>KIAF09!B55</f>
        <v>1145619.13</v>
      </c>
      <c r="D334" s="7">
        <f>KIAF09!C55</f>
        <v>355782</v>
      </c>
      <c r="E334" s="7">
        <f>C334+D334</f>
        <v>1501401.13</v>
      </c>
    </row>
    <row r="335" spans="3:5" ht="12.75">
      <c r="C335" s="7"/>
      <c r="D335" s="7"/>
      <c r="E335" s="7"/>
    </row>
    <row r="336" spans="1:7" ht="12.75">
      <c r="A336" s="1" t="s">
        <v>42</v>
      </c>
      <c r="C336" s="8">
        <f>SUM(C331:C335)</f>
        <v>1558417.13</v>
      </c>
      <c r="D336" s="8">
        <f>SUM(D331:D335)</f>
        <v>442758</v>
      </c>
      <c r="E336" s="8">
        <f>SUM(E331:E335)</f>
        <v>2001175.13</v>
      </c>
      <c r="G336" s="8">
        <f>E336</f>
        <v>2001175.13</v>
      </c>
    </row>
    <row r="338" spans="1:7" ht="12.75">
      <c r="A338" s="1" t="s">
        <v>43</v>
      </c>
      <c r="G338" s="8">
        <f>G329+G336</f>
        <v>18454799.13</v>
      </c>
    </row>
    <row r="341" spans="1:7" ht="12.75">
      <c r="A341" s="10" t="s">
        <v>44</v>
      </c>
      <c r="B341" s="10"/>
      <c r="C341" s="10"/>
      <c r="D341" s="10"/>
      <c r="E341" s="10"/>
      <c r="F341" s="10"/>
      <c r="G341" s="10"/>
    </row>
    <row r="342" spans="1:7" ht="12.75">
      <c r="A342" s="10" t="str">
        <f>A2</f>
        <v>Summary of Debt Service After August 1, 2015</v>
      </c>
      <c r="B342" s="10"/>
      <c r="C342" s="10"/>
      <c r="D342" s="10"/>
      <c r="E342" s="10"/>
      <c r="F342" s="10"/>
      <c r="G342" s="10"/>
    </row>
    <row r="344" ht="12.75">
      <c r="G344" s="2" t="s">
        <v>38</v>
      </c>
    </row>
    <row r="345" spans="1:7" ht="12.75">
      <c r="A345" s="2" t="s">
        <v>34</v>
      </c>
      <c r="B345" s="2" t="s">
        <v>35</v>
      </c>
      <c r="C345" s="2" t="s">
        <v>1</v>
      </c>
      <c r="D345" s="2" t="s">
        <v>3</v>
      </c>
      <c r="E345" s="2" t="s">
        <v>4</v>
      </c>
      <c r="G345" s="2" t="s">
        <v>39</v>
      </c>
    </row>
    <row r="347" ht="12.75">
      <c r="A347" s="2">
        <v>2022</v>
      </c>
    </row>
    <row r="348" spans="2:5" ht="12.75">
      <c r="B348" t="str">
        <f>B8</f>
        <v>1997 Def. 2012</v>
      </c>
      <c r="C348" s="7">
        <f>'1997'!$B$65</f>
        <v>0</v>
      </c>
      <c r="D348" s="7">
        <f>'1997'!$C$65</f>
        <v>0</v>
      </c>
      <c r="E348" s="7">
        <f>C348+D348</f>
        <v>0</v>
      </c>
    </row>
    <row r="349" spans="2:5" ht="12.75">
      <c r="B349" t="str">
        <f>B9</f>
        <v>1998 Def. 2012</v>
      </c>
      <c r="C349" s="7">
        <f>'1998'!B65</f>
        <v>0</v>
      </c>
      <c r="D349" s="7">
        <f>'1998'!C65</f>
        <v>0</v>
      </c>
      <c r="E349" s="7">
        <f aca="true" t="shared" si="10" ref="E349:E360">C349+D349</f>
        <v>0</v>
      </c>
    </row>
    <row r="350" spans="2:5" ht="12.75">
      <c r="B350" s="9" t="s">
        <v>20</v>
      </c>
      <c r="C350" s="7">
        <f>USDA2000!B65</f>
        <v>56000</v>
      </c>
      <c r="D350" s="7">
        <f>USDA2000!C65</f>
        <v>77950</v>
      </c>
      <c r="E350" s="7">
        <f t="shared" si="10"/>
        <v>133950</v>
      </c>
    </row>
    <row r="351" spans="2:5" ht="12.75">
      <c r="B351" t="str">
        <f>B11</f>
        <v>2001 Def. 2012</v>
      </c>
      <c r="C351" s="7">
        <f>'2001'!B65</f>
        <v>0</v>
      </c>
      <c r="D351" s="7">
        <f>'2001'!C65</f>
        <v>0</v>
      </c>
      <c r="E351" s="7">
        <f t="shared" si="10"/>
        <v>0</v>
      </c>
    </row>
    <row r="352" spans="2:5" ht="12.75">
      <c r="B352" s="9" t="str">
        <f>B12</f>
        <v>2002A Def. 2012</v>
      </c>
      <c r="C352" s="7">
        <f>'2002A'!B65</f>
        <v>0</v>
      </c>
      <c r="D352" s="7">
        <f>'2002A'!C65</f>
        <v>0</v>
      </c>
      <c r="E352" s="7">
        <f t="shared" si="10"/>
        <v>0</v>
      </c>
    </row>
    <row r="353" spans="2:5" ht="12.75">
      <c r="B353" s="9" t="str">
        <f>B13</f>
        <v>2002B Def. 2013</v>
      </c>
      <c r="C353" s="7">
        <f>'2002B'!B65</f>
        <v>0</v>
      </c>
      <c r="D353" s="7">
        <f>'2002B'!C65</f>
        <v>0</v>
      </c>
      <c r="E353" s="7">
        <f t="shared" si="10"/>
        <v>0</v>
      </c>
    </row>
    <row r="354" spans="2:5" ht="12.75">
      <c r="B354" s="9" t="str">
        <f>B14</f>
        <v>2003A def. 2013</v>
      </c>
      <c r="C354" s="7">
        <f>'2003A'!B65</f>
        <v>0</v>
      </c>
      <c r="D354" s="7">
        <f>'2003A'!C65</f>
        <v>0</v>
      </c>
      <c r="E354" s="7">
        <f t="shared" si="10"/>
        <v>0</v>
      </c>
    </row>
    <row r="355" spans="2:5" ht="12.75">
      <c r="B355" s="9" t="str">
        <f>B15</f>
        <v>2003B def. 2013</v>
      </c>
      <c r="C355" s="7">
        <f>'2003B'!B65</f>
        <v>0</v>
      </c>
      <c r="D355" s="7">
        <f>'2003B'!C65</f>
        <v>0</v>
      </c>
      <c r="E355" s="7">
        <f t="shared" si="10"/>
        <v>0</v>
      </c>
    </row>
    <row r="356" spans="2:5" ht="12.75">
      <c r="B356" s="9" t="str">
        <f>B109</f>
        <v>2003C def 2014</v>
      </c>
      <c r="C356" s="7">
        <f>'2003C'!B65</f>
        <v>0</v>
      </c>
      <c r="D356" s="7">
        <f>'2003C'!C65</f>
        <v>0</v>
      </c>
      <c r="E356" s="7">
        <f t="shared" si="10"/>
        <v>0</v>
      </c>
    </row>
    <row r="357" spans="2:5" ht="12.75">
      <c r="B357" s="9" t="str">
        <f>B110</f>
        <v>2004 def 2014</v>
      </c>
      <c r="C357" s="7">
        <f>'2004'!B65</f>
        <v>0</v>
      </c>
      <c r="D357" s="7">
        <f>'2004'!C65</f>
        <v>0</v>
      </c>
      <c r="E357" s="7">
        <f t="shared" si="10"/>
        <v>0</v>
      </c>
    </row>
    <row r="358" spans="2:5" ht="12.75">
      <c r="B358">
        <v>2006</v>
      </c>
      <c r="C358" s="7">
        <f>'2006'!B65</f>
        <v>1255000</v>
      </c>
      <c r="D358" s="7">
        <f>'2006'!C65</f>
        <v>634847</v>
      </c>
      <c r="E358" s="7">
        <f t="shared" si="10"/>
        <v>1889847</v>
      </c>
    </row>
    <row r="359" spans="2:5" ht="12.75">
      <c r="B359">
        <v>2009</v>
      </c>
      <c r="C359" s="7">
        <f>'2009'!B65</f>
        <v>1100000</v>
      </c>
      <c r="D359" s="7">
        <f>'2009'!C65</f>
        <v>1077725</v>
      </c>
      <c r="E359" s="7">
        <f t="shared" si="10"/>
        <v>2177725</v>
      </c>
    </row>
    <row r="360" spans="2:5" ht="12.75">
      <c r="B360">
        <v>2011</v>
      </c>
      <c r="C360" s="7">
        <f>'2011'!B65</f>
        <v>1140000</v>
      </c>
      <c r="D360" s="7">
        <f>'2011'!C65</f>
        <v>934962</v>
      </c>
      <c r="E360" s="7">
        <f t="shared" si="10"/>
        <v>2074962</v>
      </c>
    </row>
    <row r="361" spans="2:5" ht="12.75">
      <c r="B361">
        <f>B47</f>
        <v>2012</v>
      </c>
      <c r="C361" s="7">
        <f>'2012'!B65</f>
        <v>4590000</v>
      </c>
      <c r="D361" s="7">
        <f>'2012'!C65</f>
        <v>1350750</v>
      </c>
      <c r="E361" s="7">
        <f>C361+D361</f>
        <v>5940750</v>
      </c>
    </row>
    <row r="362" spans="2:5" ht="12.75">
      <c r="B362" s="9" t="s">
        <v>59</v>
      </c>
      <c r="C362" s="7">
        <f>'2013A'!B65</f>
        <v>835000</v>
      </c>
      <c r="D362" s="7">
        <f>'2013A'!C65</f>
        <v>891651</v>
      </c>
      <c r="E362" s="7">
        <f>C362+D362</f>
        <v>1726651</v>
      </c>
    </row>
    <row r="363" spans="2:5" ht="12.75">
      <c r="B363" s="9" t="s">
        <v>60</v>
      </c>
      <c r="C363" s="7">
        <f>'2013B'!B65</f>
        <v>1430000</v>
      </c>
      <c r="D363" s="7">
        <f>'2013B'!C65</f>
        <v>489450</v>
      </c>
      <c r="E363" s="7">
        <f>C363+D363</f>
        <v>1919450</v>
      </c>
    </row>
    <row r="364" spans="2:5" ht="12.75">
      <c r="B364" s="9" t="s">
        <v>71</v>
      </c>
      <c r="C364" s="7">
        <f>'2014B'!B65</f>
        <v>465000</v>
      </c>
      <c r="D364" s="7">
        <f>'2014B'!C65</f>
        <v>135263</v>
      </c>
      <c r="E364" s="7">
        <f>'2014B'!D65</f>
        <v>600263</v>
      </c>
    </row>
    <row r="365" spans="3:5" ht="12.75">
      <c r="C365" s="7"/>
      <c r="D365" s="7"/>
      <c r="E365" s="7"/>
    </row>
    <row r="366" spans="1:7" ht="12.75">
      <c r="A366" s="1" t="s">
        <v>37</v>
      </c>
      <c r="C366" s="8">
        <f>SUM(C350:C364)</f>
        <v>10871000</v>
      </c>
      <c r="D366" s="8">
        <f>SUM(D350:D364)</f>
        <v>5592598</v>
      </c>
      <c r="E366" s="8">
        <f>SUM(E350:E364)</f>
        <v>16463598</v>
      </c>
      <c r="G366" s="8">
        <f>E366</f>
        <v>16463598</v>
      </c>
    </row>
    <row r="367" spans="3:5" ht="12.75">
      <c r="C367" s="7"/>
      <c r="D367" s="7"/>
      <c r="E367" s="7"/>
    </row>
    <row r="368" spans="2:5" ht="12.75">
      <c r="B368" t="s">
        <v>40</v>
      </c>
      <c r="C368" s="7">
        <f>KIAF06!B65</f>
        <v>222625</v>
      </c>
      <c r="D368" s="7">
        <f>KIAF06!C65</f>
        <v>49325</v>
      </c>
      <c r="E368" s="7">
        <f>C368+D368</f>
        <v>271950</v>
      </c>
    </row>
    <row r="369" spans="2:5" ht="12.75">
      <c r="B369" t="s">
        <v>41</v>
      </c>
      <c r="C369" s="7">
        <f>KIAC08!B209</f>
        <v>0</v>
      </c>
      <c r="D369" s="7">
        <f>KIAC08!C209</f>
        <v>0</v>
      </c>
      <c r="E369" s="7">
        <f>C369+D369</f>
        <v>0</v>
      </c>
    </row>
    <row r="370" spans="2:5" ht="12.75">
      <c r="B370" t="s">
        <v>64</v>
      </c>
      <c r="C370" s="7">
        <f>KIAF08!B65</f>
        <v>198676</v>
      </c>
      <c r="D370" s="7">
        <f>KIAF08!C65</f>
        <v>28110</v>
      </c>
      <c r="E370" s="7">
        <f>C370+D370</f>
        <v>226786</v>
      </c>
    </row>
    <row r="371" spans="2:5" ht="12.75">
      <c r="B371" t="s">
        <v>58</v>
      </c>
      <c r="C371" s="7">
        <f>KIAF09!B60</f>
        <v>1168646</v>
      </c>
      <c r="D371" s="7">
        <f>KIAF09!C60</f>
        <v>329876</v>
      </c>
      <c r="E371" s="7">
        <f>C371+D371</f>
        <v>1498522</v>
      </c>
    </row>
    <row r="372" spans="3:5" ht="12.75">
      <c r="C372" s="7"/>
      <c r="D372" s="7"/>
      <c r="E372" s="7"/>
    </row>
    <row r="373" spans="1:7" ht="12.75">
      <c r="A373" s="1" t="s">
        <v>42</v>
      </c>
      <c r="C373" s="8">
        <f>SUM(C368:C372)</f>
        <v>1589947</v>
      </c>
      <c r="D373" s="8">
        <f>SUM(D368:D372)</f>
        <v>407311</v>
      </c>
      <c r="E373" s="8">
        <f>SUM(E368:E372)</f>
        <v>1997258</v>
      </c>
      <c r="G373" s="8">
        <f>E373</f>
        <v>1997258</v>
      </c>
    </row>
    <row r="375" spans="1:7" ht="12.75">
      <c r="A375" s="1" t="s">
        <v>43</v>
      </c>
      <c r="G375" s="8">
        <f>G366+G373</f>
        <v>18460856</v>
      </c>
    </row>
    <row r="377" ht="12.75">
      <c r="G377" s="2" t="s">
        <v>38</v>
      </c>
    </row>
    <row r="378" spans="1:7" ht="12.75">
      <c r="A378" s="2" t="s">
        <v>34</v>
      </c>
      <c r="B378" s="2" t="s">
        <v>35</v>
      </c>
      <c r="C378" s="2" t="s">
        <v>1</v>
      </c>
      <c r="D378" s="2" t="s">
        <v>3</v>
      </c>
      <c r="E378" s="2" t="s">
        <v>4</v>
      </c>
      <c r="G378" s="2" t="s">
        <v>39</v>
      </c>
    </row>
    <row r="380" ht="12.75">
      <c r="A380" s="2">
        <v>2023</v>
      </c>
    </row>
    <row r="381" spans="2:5" ht="12.75">
      <c r="B381" t="str">
        <f>B8</f>
        <v>1997 Def. 2012</v>
      </c>
      <c r="C381" s="7">
        <f>'1997'!$B$70</f>
        <v>0</v>
      </c>
      <c r="D381" s="7">
        <f>'1997'!$C$70</f>
        <v>0</v>
      </c>
      <c r="E381" s="7">
        <f>C381+D381</f>
        <v>0</v>
      </c>
    </row>
    <row r="382" spans="2:5" ht="12.75">
      <c r="B382" t="str">
        <f>B9</f>
        <v>1998 Def. 2012</v>
      </c>
      <c r="C382" s="7">
        <f>'1998'!B70</f>
        <v>0</v>
      </c>
      <c r="D382" s="7">
        <f>'1998'!C70</f>
        <v>0</v>
      </c>
      <c r="E382" s="7">
        <f aca="true" t="shared" si="11" ref="E382:E393">C382+D382</f>
        <v>0</v>
      </c>
    </row>
    <row r="383" spans="2:5" ht="12.75">
      <c r="B383" s="9" t="s">
        <v>20</v>
      </c>
      <c r="C383" s="7">
        <f>USDA2000!B70</f>
        <v>59000</v>
      </c>
      <c r="D383" s="7">
        <f>USDA2000!C70</f>
        <v>75075</v>
      </c>
      <c r="E383" s="7">
        <f t="shared" si="11"/>
        <v>134075</v>
      </c>
    </row>
    <row r="384" spans="2:5" ht="12.75">
      <c r="B384" t="str">
        <f>B11</f>
        <v>2001 Def. 2012</v>
      </c>
      <c r="C384" s="7">
        <f>'2001'!B70</f>
        <v>0</v>
      </c>
      <c r="D384" s="7">
        <f>'2001'!C70</f>
        <v>0</v>
      </c>
      <c r="E384" s="7">
        <f t="shared" si="11"/>
        <v>0</v>
      </c>
    </row>
    <row r="385" spans="2:5" ht="12.75">
      <c r="B385" s="9" t="str">
        <f>B12</f>
        <v>2002A Def. 2012</v>
      </c>
      <c r="C385" s="7">
        <f>'2002A'!B70</f>
        <v>0</v>
      </c>
      <c r="D385" s="7">
        <f>'2002A'!C70</f>
        <v>0</v>
      </c>
      <c r="E385" s="7">
        <f t="shared" si="11"/>
        <v>0</v>
      </c>
    </row>
    <row r="386" spans="2:5" ht="12.75">
      <c r="B386" s="9" t="str">
        <f>B13</f>
        <v>2002B Def. 2013</v>
      </c>
      <c r="C386" s="7">
        <f>'2002B'!B70</f>
        <v>0</v>
      </c>
      <c r="D386" s="7">
        <f>'2002B'!C70</f>
        <v>0</v>
      </c>
      <c r="E386" s="7">
        <f t="shared" si="11"/>
        <v>0</v>
      </c>
    </row>
    <row r="387" spans="2:5" ht="12.75">
      <c r="B387" s="9" t="str">
        <f>B14</f>
        <v>2003A def. 2013</v>
      </c>
      <c r="C387" s="7">
        <f>'2003A'!B70</f>
        <v>0</v>
      </c>
      <c r="D387" s="7">
        <f>'2003A'!C70</f>
        <v>0</v>
      </c>
      <c r="E387" s="7">
        <f t="shared" si="11"/>
        <v>0</v>
      </c>
    </row>
    <row r="388" spans="2:5" ht="12.75">
      <c r="B388" s="9" t="str">
        <f>B15</f>
        <v>2003B def. 2013</v>
      </c>
      <c r="C388" s="7">
        <f>'2003B'!B70</f>
        <v>0</v>
      </c>
      <c r="D388" s="7">
        <f>'2003B'!C70</f>
        <v>0</v>
      </c>
      <c r="E388" s="7">
        <f t="shared" si="11"/>
        <v>0</v>
      </c>
    </row>
    <row r="389" spans="2:5" ht="12.75">
      <c r="B389" s="9" t="str">
        <f>B109</f>
        <v>2003C def 2014</v>
      </c>
      <c r="C389" s="7">
        <f>'2003C'!B70</f>
        <v>0</v>
      </c>
      <c r="D389" s="7">
        <f>'2003C'!C70</f>
        <v>0</v>
      </c>
      <c r="E389" s="7">
        <f t="shared" si="11"/>
        <v>0</v>
      </c>
    </row>
    <row r="390" spans="2:5" ht="12.75">
      <c r="B390" s="9" t="str">
        <f>B110</f>
        <v>2004 def 2014</v>
      </c>
      <c r="C390" s="7">
        <f>'2004'!B70</f>
        <v>0</v>
      </c>
      <c r="D390" s="7">
        <f>'2004'!C70</f>
        <v>0</v>
      </c>
      <c r="E390" s="7">
        <f t="shared" si="11"/>
        <v>0</v>
      </c>
    </row>
    <row r="391" spans="2:5" ht="12.75">
      <c r="B391">
        <v>2006</v>
      </c>
      <c r="C391" s="7">
        <f>'2006'!B70</f>
        <v>1420000</v>
      </c>
      <c r="D391" s="7">
        <f>'2006'!C70</f>
        <v>579675</v>
      </c>
      <c r="E391" s="7">
        <f t="shared" si="11"/>
        <v>1999675</v>
      </c>
    </row>
    <row r="392" spans="2:5" ht="12.75">
      <c r="B392">
        <v>2009</v>
      </c>
      <c r="C392" s="7">
        <f>'2009'!B70</f>
        <v>1160000</v>
      </c>
      <c r="D392" s="7">
        <f>'2009'!C70</f>
        <v>1016362</v>
      </c>
      <c r="E392" s="7">
        <f t="shared" si="11"/>
        <v>2176362</v>
      </c>
    </row>
    <row r="393" spans="2:5" ht="12.75">
      <c r="B393">
        <v>2011</v>
      </c>
      <c r="C393" s="7">
        <f>'2011'!B70</f>
        <v>1185000</v>
      </c>
      <c r="D393" s="7">
        <f>'2011'!C70</f>
        <v>888462</v>
      </c>
      <c r="E393" s="7">
        <f t="shared" si="11"/>
        <v>2073462</v>
      </c>
    </row>
    <row r="394" spans="2:5" ht="12.75">
      <c r="B394">
        <f>B47</f>
        <v>2012</v>
      </c>
      <c r="C394" s="7">
        <f>'2012'!B70</f>
        <v>4720000</v>
      </c>
      <c r="D394" s="7">
        <f>'2012'!C70</f>
        <v>1118000</v>
      </c>
      <c r="E394" s="7">
        <f>C394+D394</f>
        <v>5838000</v>
      </c>
    </row>
    <row r="395" spans="2:5" ht="12.75">
      <c r="B395" s="9" t="s">
        <v>59</v>
      </c>
      <c r="C395" s="7">
        <f>'2013A'!B70</f>
        <v>880000</v>
      </c>
      <c r="D395" s="7">
        <f>'2013A'!C70</f>
        <v>848776</v>
      </c>
      <c r="E395" s="7">
        <f>C395+D395</f>
        <v>1728776</v>
      </c>
    </row>
    <row r="396" spans="2:5" ht="12.75">
      <c r="B396" s="9" t="s">
        <v>60</v>
      </c>
      <c r="C396" s="7">
        <f>'2013B'!B70</f>
        <v>1500000</v>
      </c>
      <c r="D396" s="7">
        <f>'2013B'!C70</f>
        <v>416200</v>
      </c>
      <c r="E396" s="7">
        <f>C396+D396</f>
        <v>1916200</v>
      </c>
    </row>
    <row r="397" spans="2:5" ht="12.75">
      <c r="B397" s="9" t="s">
        <v>71</v>
      </c>
      <c r="C397" s="7">
        <f>'2014B'!B70</f>
        <v>485000</v>
      </c>
      <c r="D397" s="7">
        <f>'2014B'!C70</f>
        <v>116363</v>
      </c>
      <c r="E397" s="7">
        <f>'2014B'!D70</f>
        <v>601363</v>
      </c>
    </row>
    <row r="398" spans="3:5" ht="12.75">
      <c r="C398" s="7"/>
      <c r="D398" s="7"/>
      <c r="E398" s="7"/>
    </row>
    <row r="399" spans="1:7" ht="12.75">
      <c r="A399" s="1" t="s">
        <v>37</v>
      </c>
      <c r="C399" s="8">
        <f>SUM(C381:C397)</f>
        <v>11409000</v>
      </c>
      <c r="D399" s="8">
        <f>SUM(D381:D397)</f>
        <v>5058913</v>
      </c>
      <c r="E399" s="8">
        <f>SUM(E381:E397)</f>
        <v>16467913</v>
      </c>
      <c r="G399" s="8">
        <f>E399</f>
        <v>16467913</v>
      </c>
    </row>
    <row r="400" spans="3:5" ht="12.75">
      <c r="C400" s="7"/>
      <c r="D400" s="7"/>
      <c r="E400" s="7"/>
    </row>
    <row r="401" spans="2:5" ht="12.75">
      <c r="B401" t="s">
        <v>40</v>
      </c>
      <c r="C401" s="7">
        <f>KIAF06!B70</f>
        <v>229354</v>
      </c>
      <c r="D401" s="7">
        <f>KIAF06!C70</f>
        <v>42036</v>
      </c>
      <c r="E401" s="7">
        <f>C401+D401</f>
        <v>271390</v>
      </c>
    </row>
    <row r="402" spans="2:5" ht="12.75">
      <c r="B402" t="s">
        <v>41</v>
      </c>
      <c r="C402" s="7">
        <f>KIAC08!B252</f>
        <v>0</v>
      </c>
      <c r="D402" s="7">
        <f>KIAC08!C252</f>
        <v>0</v>
      </c>
      <c r="E402" s="7">
        <f>C402+D402</f>
        <v>0</v>
      </c>
    </row>
    <row r="403" spans="2:5" ht="12.75">
      <c r="B403" t="s">
        <v>64</v>
      </c>
      <c r="C403" s="7">
        <f>KIAF08!B70</f>
        <v>200668</v>
      </c>
      <c r="D403" s="7">
        <f>KIAF08!C70</f>
        <v>25620</v>
      </c>
      <c r="E403" s="7">
        <f>C403+D403</f>
        <v>226288</v>
      </c>
    </row>
    <row r="404" spans="2:5" ht="12.75">
      <c r="B404" t="s">
        <v>58</v>
      </c>
      <c r="C404" s="7">
        <f>KIAF09!B65</f>
        <v>1192135</v>
      </c>
      <c r="D404" s="7">
        <f>KIAF09!C65</f>
        <v>303450</v>
      </c>
      <c r="E404" s="7">
        <f>C404+D404</f>
        <v>1495585</v>
      </c>
    </row>
    <row r="405" spans="3:5" ht="12.75">
      <c r="C405" s="7"/>
      <c r="D405" s="7"/>
      <c r="E405" s="7"/>
    </row>
    <row r="406" spans="1:7" ht="12.75">
      <c r="A406" s="1" t="s">
        <v>42</v>
      </c>
      <c r="C406" s="8">
        <f>SUM(C401:C405)</f>
        <v>1622157</v>
      </c>
      <c r="D406" s="8">
        <f>SUM(D401:D405)</f>
        <v>371106</v>
      </c>
      <c r="E406" s="8">
        <f>SUM(E401:E405)</f>
        <v>1993263</v>
      </c>
      <c r="G406" s="8">
        <f>E406</f>
        <v>1993263</v>
      </c>
    </row>
    <row r="408" spans="1:7" ht="12.75">
      <c r="A408" s="1" t="s">
        <v>43</v>
      </c>
      <c r="G408" s="8">
        <f>G399+G406</f>
        <v>18461176</v>
      </c>
    </row>
    <row r="411" spans="1:7" ht="12.75">
      <c r="A411" s="10" t="s">
        <v>44</v>
      </c>
      <c r="B411" s="10"/>
      <c r="C411" s="10"/>
      <c r="D411" s="10"/>
      <c r="E411" s="10"/>
      <c r="F411" s="10"/>
      <c r="G411" s="10"/>
    </row>
    <row r="412" spans="1:7" ht="12.75">
      <c r="A412" s="10" t="str">
        <f>A2</f>
        <v>Summary of Debt Service After August 1, 2015</v>
      </c>
      <c r="B412" s="10"/>
      <c r="C412" s="10"/>
      <c r="D412" s="10"/>
      <c r="E412" s="10"/>
      <c r="F412" s="10"/>
      <c r="G412" s="10"/>
    </row>
    <row r="414" ht="12.75">
      <c r="G414" s="2" t="s">
        <v>38</v>
      </c>
    </row>
    <row r="415" spans="1:7" ht="12.75">
      <c r="A415" s="2" t="s">
        <v>34</v>
      </c>
      <c r="B415" s="2" t="s">
        <v>35</v>
      </c>
      <c r="C415" s="2" t="s">
        <v>1</v>
      </c>
      <c r="D415" s="2" t="s">
        <v>3</v>
      </c>
      <c r="E415" s="2" t="s">
        <v>4</v>
      </c>
      <c r="G415" s="2" t="s">
        <v>39</v>
      </c>
    </row>
    <row r="417" ht="12.75">
      <c r="A417" s="2">
        <v>2024</v>
      </c>
    </row>
    <row r="418" spans="2:5" ht="12.75">
      <c r="B418" t="str">
        <f>B8</f>
        <v>1997 Def. 2012</v>
      </c>
      <c r="C418" s="7">
        <f>'1997'!$B$75</f>
        <v>0</v>
      </c>
      <c r="D418" s="7">
        <f>'1997'!$C$75</f>
        <v>0</v>
      </c>
      <c r="E418" s="7">
        <f>C418+D418</f>
        <v>0</v>
      </c>
    </row>
    <row r="419" spans="2:5" ht="12.75">
      <c r="B419" t="str">
        <f>B9</f>
        <v>1998 Def. 2012</v>
      </c>
      <c r="C419" s="7">
        <f>'1998'!B75</f>
        <v>0</v>
      </c>
      <c r="D419" s="7">
        <f>'1998'!C75</f>
        <v>0</v>
      </c>
      <c r="E419" s="7">
        <f aca="true" t="shared" si="12" ref="E419:E430">C419+D419</f>
        <v>0</v>
      </c>
    </row>
    <row r="420" spans="2:5" ht="12.75">
      <c r="B420" s="9" t="s">
        <v>20</v>
      </c>
      <c r="C420" s="7">
        <f>USDA2000!B75</f>
        <v>62000</v>
      </c>
      <c r="D420" s="7">
        <f>USDA2000!C75</f>
        <v>72050</v>
      </c>
      <c r="E420" s="7">
        <f t="shared" si="12"/>
        <v>134050</v>
      </c>
    </row>
    <row r="421" spans="2:5" ht="12.75">
      <c r="B421" t="str">
        <f>B11</f>
        <v>2001 Def. 2012</v>
      </c>
      <c r="C421" s="7">
        <f>'2001'!B75</f>
        <v>0</v>
      </c>
      <c r="D421" s="7">
        <f>'2001'!C75</f>
        <v>0</v>
      </c>
      <c r="E421" s="7">
        <f t="shared" si="12"/>
        <v>0</v>
      </c>
    </row>
    <row r="422" spans="2:5" ht="12.75">
      <c r="B422" s="9" t="str">
        <f>B12</f>
        <v>2002A Def. 2012</v>
      </c>
      <c r="C422" s="7">
        <f>'2002A'!B75</f>
        <v>0</v>
      </c>
      <c r="D422" s="7">
        <f>'2002A'!C75</f>
        <v>0</v>
      </c>
      <c r="E422" s="7">
        <f t="shared" si="12"/>
        <v>0</v>
      </c>
    </row>
    <row r="423" spans="2:5" ht="12.75">
      <c r="B423" s="9" t="str">
        <f>B13</f>
        <v>2002B Def. 2013</v>
      </c>
      <c r="C423" s="7">
        <f>'2002B'!B75</f>
        <v>0</v>
      </c>
      <c r="D423" s="7">
        <f>'2002B'!C75</f>
        <v>0</v>
      </c>
      <c r="E423" s="7">
        <f t="shared" si="12"/>
        <v>0</v>
      </c>
    </row>
    <row r="424" spans="2:5" ht="12.75">
      <c r="B424" s="9" t="str">
        <f>B14</f>
        <v>2003A def. 2013</v>
      </c>
      <c r="C424" s="7">
        <f>'2003A'!B75</f>
        <v>0</v>
      </c>
      <c r="D424" s="7">
        <f>'2003A'!C75</f>
        <v>0</v>
      </c>
      <c r="E424" s="7">
        <f t="shared" si="12"/>
        <v>0</v>
      </c>
    </row>
    <row r="425" spans="2:5" ht="12.75">
      <c r="B425" s="9" t="str">
        <f>B15</f>
        <v>2003B def. 2013</v>
      </c>
      <c r="C425" s="7">
        <f>'2003B'!B75</f>
        <v>0</v>
      </c>
      <c r="D425" s="7">
        <f>'2003B'!C75</f>
        <v>0</v>
      </c>
      <c r="E425" s="7">
        <f t="shared" si="12"/>
        <v>0</v>
      </c>
    </row>
    <row r="426" spans="2:5" ht="12.75">
      <c r="B426" s="9" t="str">
        <f>B109</f>
        <v>2003C def 2014</v>
      </c>
      <c r="C426" s="7">
        <f>'2003C'!B75</f>
        <v>0</v>
      </c>
      <c r="D426" s="7">
        <f>'2003C'!C75</f>
        <v>0</v>
      </c>
      <c r="E426" s="7">
        <f t="shared" si="12"/>
        <v>0</v>
      </c>
    </row>
    <row r="427" spans="2:5" ht="12.75">
      <c r="B427" s="9" t="str">
        <f>B110</f>
        <v>2004 def 2014</v>
      </c>
      <c r="C427" s="7">
        <f>'2004'!B75</f>
        <v>0</v>
      </c>
      <c r="D427" s="7">
        <f>'2004'!C75</f>
        <v>0</v>
      </c>
      <c r="E427" s="7">
        <f t="shared" si="12"/>
        <v>0</v>
      </c>
    </row>
    <row r="428" spans="2:5" ht="12.75">
      <c r="B428">
        <v>2006</v>
      </c>
      <c r="C428" s="7">
        <f>'2006'!B75</f>
        <v>1375000</v>
      </c>
      <c r="D428" s="7">
        <f>'2006'!C75</f>
        <v>522028</v>
      </c>
      <c r="E428" s="7">
        <f t="shared" si="12"/>
        <v>1897028</v>
      </c>
    </row>
    <row r="429" spans="2:5" ht="12.75">
      <c r="B429">
        <v>2009</v>
      </c>
      <c r="C429" s="7">
        <f>'2009'!B75</f>
        <v>1225000</v>
      </c>
      <c r="D429" s="7">
        <f>'2009'!C75</f>
        <v>949550</v>
      </c>
      <c r="E429" s="7">
        <f t="shared" si="12"/>
        <v>2174550</v>
      </c>
    </row>
    <row r="430" spans="2:5" ht="12.75">
      <c r="B430">
        <v>2011</v>
      </c>
      <c r="C430" s="7">
        <f>'2011'!B75</f>
        <v>1235000</v>
      </c>
      <c r="D430" s="7">
        <f>'2011'!C75</f>
        <v>840062</v>
      </c>
      <c r="E430" s="7">
        <f t="shared" si="12"/>
        <v>2075062</v>
      </c>
    </row>
    <row r="431" spans="2:5" ht="12.75">
      <c r="B431">
        <f>B47</f>
        <v>2012</v>
      </c>
      <c r="C431" s="7">
        <f>'2012'!B75</f>
        <v>4970000</v>
      </c>
      <c r="D431" s="7">
        <f>'2012'!C75</f>
        <v>875750</v>
      </c>
      <c r="E431" s="7">
        <f>C431+D431</f>
        <v>5845750</v>
      </c>
    </row>
    <row r="432" spans="2:5" ht="12.75">
      <c r="B432" s="9" t="s">
        <v>59</v>
      </c>
      <c r="C432" s="7">
        <f>'2013A'!B75</f>
        <v>925000</v>
      </c>
      <c r="D432" s="7">
        <f>'2013A'!C75</f>
        <v>803651</v>
      </c>
      <c r="E432" s="7">
        <f>C432+D432</f>
        <v>1728651</v>
      </c>
    </row>
    <row r="433" spans="2:5" ht="12.75">
      <c r="B433" s="9" t="s">
        <v>60</v>
      </c>
      <c r="C433" s="7">
        <f>'2013B'!B75</f>
        <v>1570000</v>
      </c>
      <c r="D433" s="7">
        <f>'2013B'!C75</f>
        <v>347300</v>
      </c>
      <c r="E433" s="7">
        <f>C433+D433</f>
        <v>1917300</v>
      </c>
    </row>
    <row r="434" spans="2:5" ht="12.75">
      <c r="B434" s="9" t="s">
        <v>71</v>
      </c>
      <c r="C434" s="7">
        <f>'2014B'!B75</f>
        <v>495000</v>
      </c>
      <c r="D434" s="7">
        <f>'2014B'!C75</f>
        <v>101663</v>
      </c>
      <c r="E434" s="7">
        <f>'2014B'!D75</f>
        <v>596663</v>
      </c>
    </row>
    <row r="435" spans="2:5" ht="12.75">
      <c r="B435" s="9"/>
      <c r="C435" s="7"/>
      <c r="D435" s="7"/>
      <c r="E435" s="7"/>
    </row>
    <row r="436" spans="3:5" ht="12.75">
      <c r="C436" s="7"/>
      <c r="D436" s="7"/>
      <c r="E436" s="7"/>
    </row>
    <row r="437" spans="1:7" ht="12.75">
      <c r="A437" s="1" t="s">
        <v>37</v>
      </c>
      <c r="C437" s="8">
        <f>SUM(C418:C435)</f>
        <v>11857000</v>
      </c>
      <c r="D437" s="8">
        <f>SUM(D418:D435)</f>
        <v>4512054</v>
      </c>
      <c r="E437" s="8">
        <f>SUM(E418:E435)</f>
        <v>16369054</v>
      </c>
      <c r="G437" s="8">
        <f>E437</f>
        <v>16369054</v>
      </c>
    </row>
    <row r="438" spans="3:5" ht="12.75">
      <c r="C438" s="7"/>
      <c r="D438" s="7"/>
      <c r="E438" s="7"/>
    </row>
    <row r="439" spans="2:5" ht="12.75">
      <c r="B439" t="s">
        <v>40</v>
      </c>
      <c r="C439" s="7">
        <f>KIAF06!B75</f>
        <v>236287</v>
      </c>
      <c r="D439" s="7">
        <f>KIAF06!C75</f>
        <v>34525</v>
      </c>
      <c r="E439" s="7">
        <f>C439+D439</f>
        <v>270812</v>
      </c>
    </row>
    <row r="440" spans="2:5" ht="12.75">
      <c r="B440" t="s">
        <v>41</v>
      </c>
      <c r="C440" s="7">
        <f>KIAC08!B267</f>
        <v>0</v>
      </c>
      <c r="D440" s="7">
        <f>KIAC08!C267</f>
        <v>0</v>
      </c>
      <c r="E440" s="7">
        <f>C440+D440</f>
        <v>0</v>
      </c>
    </row>
    <row r="441" spans="2:5" ht="12.75">
      <c r="B441" t="s">
        <v>64</v>
      </c>
      <c r="C441" s="7">
        <f>KIAF08!B75</f>
        <v>202680</v>
      </c>
      <c r="D441" s="7">
        <f>KIAF08!C75</f>
        <v>23106</v>
      </c>
      <c r="E441" s="7">
        <f>C441+D441</f>
        <v>225786</v>
      </c>
    </row>
    <row r="442" spans="2:5" ht="12.75">
      <c r="B442" t="s">
        <v>58</v>
      </c>
      <c r="C442" s="7">
        <f>KIAF09!B70</f>
        <v>1216098</v>
      </c>
      <c r="D442" s="7">
        <f>KIAF09!C70</f>
        <v>276493</v>
      </c>
      <c r="E442" s="7">
        <f>C442+D442</f>
        <v>1492591</v>
      </c>
    </row>
    <row r="443" spans="3:5" ht="12.75">
      <c r="C443" s="7"/>
      <c r="D443" s="7"/>
      <c r="E443" s="7"/>
    </row>
    <row r="444" spans="1:7" ht="12.75">
      <c r="A444" s="1" t="s">
        <v>42</v>
      </c>
      <c r="C444" s="8">
        <f>SUM(C439:C443)</f>
        <v>1655065</v>
      </c>
      <c r="D444" s="8">
        <f>SUM(D439:D443)</f>
        <v>334124</v>
      </c>
      <c r="E444" s="8">
        <f>SUM(E439:E443)</f>
        <v>1989189</v>
      </c>
      <c r="G444" s="8">
        <f>E444</f>
        <v>1989189</v>
      </c>
    </row>
    <row r="446" spans="1:7" ht="12.75">
      <c r="A446" s="1" t="s">
        <v>43</v>
      </c>
      <c r="G446" s="8">
        <f>G437+G444</f>
        <v>18358243</v>
      </c>
    </row>
    <row r="448" ht="12.75">
      <c r="G448" s="2" t="s">
        <v>38</v>
      </c>
    </row>
    <row r="449" spans="1:7" ht="12.75">
      <c r="A449" s="2" t="s">
        <v>34</v>
      </c>
      <c r="B449" s="2" t="s">
        <v>35</v>
      </c>
      <c r="C449" s="2" t="s">
        <v>1</v>
      </c>
      <c r="D449" s="2" t="s">
        <v>3</v>
      </c>
      <c r="E449" s="2" t="s">
        <v>4</v>
      </c>
      <c r="G449" s="2" t="s">
        <v>39</v>
      </c>
    </row>
    <row r="451" ht="12.75">
      <c r="A451" s="2">
        <v>2025</v>
      </c>
    </row>
    <row r="452" spans="2:5" ht="12.75">
      <c r="B452" t="str">
        <f>B8</f>
        <v>1997 Def. 2012</v>
      </c>
      <c r="C452" s="7">
        <f>'1997'!$B$80</f>
        <v>0</v>
      </c>
      <c r="D452" s="7">
        <f>'1997'!$C$80</f>
        <v>0</v>
      </c>
      <c r="E452" s="7">
        <f>C452+D452</f>
        <v>0</v>
      </c>
    </row>
    <row r="453" spans="2:5" ht="12.75">
      <c r="B453" t="str">
        <f>B9</f>
        <v>1998 Def. 2012</v>
      </c>
      <c r="C453" s="7">
        <f>'1998'!B80</f>
        <v>0</v>
      </c>
      <c r="D453" s="7">
        <f>'1998'!C80</f>
        <v>0</v>
      </c>
      <c r="E453" s="7">
        <f aca="true" t="shared" si="13" ref="E453:E464">C453+D453</f>
        <v>0</v>
      </c>
    </row>
    <row r="454" spans="2:5" ht="12.75">
      <c r="B454" s="9" t="s">
        <v>20</v>
      </c>
      <c r="C454" s="7">
        <f>USDA2000!B80</f>
        <v>65000</v>
      </c>
      <c r="D454" s="7">
        <f>USDA2000!C80</f>
        <v>68875</v>
      </c>
      <c r="E454" s="7">
        <f t="shared" si="13"/>
        <v>133875</v>
      </c>
    </row>
    <row r="455" spans="2:5" ht="12.75">
      <c r="B455" t="str">
        <f>B11</f>
        <v>2001 Def. 2012</v>
      </c>
      <c r="C455" s="7">
        <f>'2001'!B80</f>
        <v>0</v>
      </c>
      <c r="D455" s="7">
        <f>'2001'!C80</f>
        <v>0</v>
      </c>
      <c r="E455" s="7">
        <f t="shared" si="13"/>
        <v>0</v>
      </c>
    </row>
    <row r="456" spans="2:5" ht="12.75">
      <c r="B456" s="9" t="str">
        <f>B12</f>
        <v>2002A Def. 2012</v>
      </c>
      <c r="C456" s="7">
        <f>'2002A'!B80</f>
        <v>0</v>
      </c>
      <c r="D456" s="7">
        <f>'2002A'!C80</f>
        <v>0</v>
      </c>
      <c r="E456" s="7">
        <f t="shared" si="13"/>
        <v>0</v>
      </c>
    </row>
    <row r="457" spans="2:5" ht="12.75">
      <c r="B457" s="9" t="str">
        <f>B13</f>
        <v>2002B Def. 2013</v>
      </c>
      <c r="C457" s="7">
        <f>'2002B'!B80</f>
        <v>0</v>
      </c>
      <c r="D457" s="7">
        <f>'2002B'!C80</f>
        <v>0</v>
      </c>
      <c r="E457" s="7">
        <f t="shared" si="13"/>
        <v>0</v>
      </c>
    </row>
    <row r="458" spans="2:5" ht="12.75">
      <c r="B458" s="9" t="str">
        <f>B14</f>
        <v>2003A def. 2013</v>
      </c>
      <c r="C458" s="7">
        <f>'2003A'!B80</f>
        <v>0</v>
      </c>
      <c r="D458" s="7">
        <f>'2003A'!C80</f>
        <v>0</v>
      </c>
      <c r="E458" s="7">
        <f t="shared" si="13"/>
        <v>0</v>
      </c>
    </row>
    <row r="459" spans="2:5" ht="12.75">
      <c r="B459" s="9" t="str">
        <f>B15</f>
        <v>2003B def. 2013</v>
      </c>
      <c r="C459" s="7">
        <f>'2003B'!B80</f>
        <v>0</v>
      </c>
      <c r="D459" s="7">
        <f>'2003B'!C80</f>
        <v>0</v>
      </c>
      <c r="E459" s="7">
        <f t="shared" si="13"/>
        <v>0</v>
      </c>
    </row>
    <row r="460" spans="2:5" ht="12.75">
      <c r="B460" s="9" t="str">
        <f>B109</f>
        <v>2003C def 2014</v>
      </c>
      <c r="C460" s="7">
        <f>'2003C'!B80</f>
        <v>0</v>
      </c>
      <c r="D460" s="7">
        <f>'2003C'!C80</f>
        <v>0</v>
      </c>
      <c r="E460" s="7">
        <f t="shared" si="13"/>
        <v>0</v>
      </c>
    </row>
    <row r="461" spans="2:5" ht="12.75">
      <c r="B461" s="9" t="str">
        <f>B110</f>
        <v>2004 def 2014</v>
      </c>
      <c r="C461" s="7">
        <f>'2004'!B80</f>
        <v>0</v>
      </c>
      <c r="D461" s="7">
        <f>'2004'!C80</f>
        <v>0</v>
      </c>
      <c r="E461" s="7">
        <f t="shared" si="13"/>
        <v>0</v>
      </c>
    </row>
    <row r="462" spans="2:5" ht="12.75">
      <c r="B462">
        <v>2006</v>
      </c>
      <c r="C462" s="7">
        <f>'2006'!B80</f>
        <v>1440000</v>
      </c>
      <c r="D462" s="7">
        <f>'2006'!C80</f>
        <v>463968</v>
      </c>
      <c r="E462" s="7">
        <f t="shared" si="13"/>
        <v>1903968</v>
      </c>
    </row>
    <row r="463" spans="2:5" ht="12.75">
      <c r="B463">
        <v>2009</v>
      </c>
      <c r="C463" s="7">
        <f>'2009'!B80</f>
        <v>1300000</v>
      </c>
      <c r="D463" s="7">
        <f>'2009'!C80</f>
        <v>877263</v>
      </c>
      <c r="E463" s="7">
        <f t="shared" si="13"/>
        <v>2177263</v>
      </c>
    </row>
    <row r="464" spans="2:5" ht="12.75">
      <c r="B464">
        <v>2011</v>
      </c>
      <c r="C464" s="7">
        <f>'2011'!B80</f>
        <v>1285000</v>
      </c>
      <c r="D464" s="7">
        <f>'2011'!C80</f>
        <v>789662</v>
      </c>
      <c r="E464" s="7">
        <f t="shared" si="13"/>
        <v>2074662</v>
      </c>
    </row>
    <row r="465" spans="2:5" ht="12.75">
      <c r="B465">
        <f>B47</f>
        <v>2012</v>
      </c>
      <c r="C465" s="7">
        <f>'2012'!B80</f>
        <v>5220000</v>
      </c>
      <c r="D465" s="7">
        <f>'2012'!C80</f>
        <v>621000</v>
      </c>
      <c r="E465" s="7">
        <f>C465+D465</f>
        <v>5841000</v>
      </c>
    </row>
    <row r="466" spans="2:5" ht="12.75">
      <c r="B466" s="9" t="s">
        <v>59</v>
      </c>
      <c r="C466" s="7">
        <f>'2013A'!B80</f>
        <v>970000</v>
      </c>
      <c r="D466" s="7">
        <f>'2013A'!C80</f>
        <v>756276</v>
      </c>
      <c r="E466" s="7">
        <f>C466+D466</f>
        <v>1726276</v>
      </c>
    </row>
    <row r="467" spans="2:5" ht="12.75">
      <c r="B467" s="9" t="s">
        <v>60</v>
      </c>
      <c r="C467" s="7">
        <f>'2013B'!B80</f>
        <v>1635000</v>
      </c>
      <c r="D467" s="7">
        <f>'2013B'!C80</f>
        <v>283200</v>
      </c>
      <c r="E467" s="7">
        <f>C467+D467</f>
        <v>1918200</v>
      </c>
    </row>
    <row r="468" spans="2:5" ht="12.75">
      <c r="B468" s="9" t="s">
        <v>71</v>
      </c>
      <c r="C468" s="7">
        <f>'2014B'!B80</f>
        <v>515000</v>
      </c>
      <c r="D468" s="7">
        <f>'2014B'!C80</f>
        <v>83938</v>
      </c>
      <c r="E468" s="7">
        <f>'2014B'!D80</f>
        <v>598938</v>
      </c>
    </row>
    <row r="469" spans="3:5" ht="12.75">
      <c r="C469" s="7"/>
      <c r="D469" s="7"/>
      <c r="E469" s="7"/>
    </row>
    <row r="470" spans="1:7" ht="12.75">
      <c r="A470" s="1" t="s">
        <v>37</v>
      </c>
      <c r="C470" s="8">
        <f>SUM(C452:C468)</f>
        <v>12430000</v>
      </c>
      <c r="D470" s="8">
        <f>SUM(D452:D468)</f>
        <v>3944182</v>
      </c>
      <c r="E470" s="8">
        <f>SUM(E452:E468)</f>
        <v>16374182</v>
      </c>
      <c r="G470" s="8">
        <f>E470</f>
        <v>16374182</v>
      </c>
    </row>
    <row r="471" spans="3:5" ht="12.75">
      <c r="C471" s="7"/>
      <c r="D471" s="7"/>
      <c r="E471" s="7"/>
    </row>
    <row r="472" spans="2:5" ht="12.75">
      <c r="B472" t="s">
        <v>40</v>
      </c>
      <c r="C472" s="7">
        <f>KIAF06!B80</f>
        <v>243428</v>
      </c>
      <c r="D472" s="7">
        <f>KIAF06!C80</f>
        <v>26789</v>
      </c>
      <c r="E472" s="7">
        <f>C472+D472</f>
        <v>270217</v>
      </c>
    </row>
    <row r="473" spans="2:5" ht="12.75">
      <c r="B473" t="s">
        <v>41</v>
      </c>
      <c r="C473" s="7">
        <f>KIAC08!B310</f>
        <v>0</v>
      </c>
      <c r="D473" s="7">
        <f>KIAC08!C310</f>
        <v>0</v>
      </c>
      <c r="E473" s="7">
        <f>C473+D473</f>
        <v>0</v>
      </c>
    </row>
    <row r="474" spans="2:5" ht="12.75">
      <c r="B474" t="s">
        <v>64</v>
      </c>
      <c r="C474" s="7">
        <f>KIAF08!B80</f>
        <v>204711</v>
      </c>
      <c r="D474" s="7">
        <f>KIAF08!C80</f>
        <v>20566</v>
      </c>
      <c r="E474" s="7">
        <f>C474+D474</f>
        <v>225277</v>
      </c>
    </row>
    <row r="475" spans="2:5" ht="12.75">
      <c r="B475" t="s">
        <v>58</v>
      </c>
      <c r="C475" s="7">
        <f>KIAF09!B75</f>
        <v>1240541</v>
      </c>
      <c r="D475" s="7">
        <f>KIAF09!C75</f>
        <v>248994</v>
      </c>
      <c r="E475" s="7">
        <f>C475+D475</f>
        <v>1489535</v>
      </c>
    </row>
    <row r="476" spans="3:5" ht="12.75">
      <c r="C476" s="7"/>
      <c r="D476" s="7"/>
      <c r="E476" s="7"/>
    </row>
    <row r="477" spans="1:7" ht="12.75">
      <c r="A477" s="1" t="s">
        <v>42</v>
      </c>
      <c r="C477" s="8">
        <f>SUM(C472:C476)</f>
        <v>1688680</v>
      </c>
      <c r="D477" s="8">
        <f>SUM(D472:D476)</f>
        <v>296349</v>
      </c>
      <c r="E477" s="8">
        <f>SUM(E472:E476)</f>
        <v>1985029</v>
      </c>
      <c r="G477" s="8">
        <f>E477</f>
        <v>1985029</v>
      </c>
    </row>
    <row r="479" spans="1:7" ht="12.75">
      <c r="A479" s="1" t="s">
        <v>43</v>
      </c>
      <c r="G479" s="8">
        <f>G470+G477</f>
        <v>18359211</v>
      </c>
    </row>
    <row r="482" spans="1:7" ht="12.75">
      <c r="A482" s="10" t="s">
        <v>44</v>
      </c>
      <c r="B482" s="10"/>
      <c r="C482" s="10"/>
      <c r="D482" s="10"/>
      <c r="E482" s="10"/>
      <c r="F482" s="10"/>
      <c r="G482" s="10"/>
    </row>
    <row r="483" spans="1:7" ht="12.75">
      <c r="A483" s="10" t="str">
        <f>A2</f>
        <v>Summary of Debt Service After August 1, 2015</v>
      </c>
      <c r="B483" s="10"/>
      <c r="C483" s="10"/>
      <c r="D483" s="10"/>
      <c r="E483" s="10"/>
      <c r="F483" s="10"/>
      <c r="G483" s="10"/>
    </row>
    <row r="485" ht="12.75">
      <c r="G485" s="2" t="s">
        <v>38</v>
      </c>
    </row>
    <row r="486" spans="1:7" ht="12.75">
      <c r="A486" s="2" t="s">
        <v>34</v>
      </c>
      <c r="B486" s="2" t="s">
        <v>35</v>
      </c>
      <c r="C486" s="2" t="s">
        <v>1</v>
      </c>
      <c r="D486" s="2" t="s">
        <v>3</v>
      </c>
      <c r="E486" s="2" t="s">
        <v>4</v>
      </c>
      <c r="G486" s="2" t="s">
        <v>39</v>
      </c>
    </row>
    <row r="488" ht="12.75">
      <c r="A488" s="2">
        <v>2026</v>
      </c>
    </row>
    <row r="489" spans="2:5" ht="12.75">
      <c r="B489" t="str">
        <f>B8</f>
        <v>1997 Def. 2012</v>
      </c>
      <c r="C489" s="7">
        <f>'1997'!$B$85</f>
        <v>0</v>
      </c>
      <c r="D489" s="7">
        <f>'1997'!$C$85</f>
        <v>0</v>
      </c>
      <c r="E489" s="7">
        <f>C489+D489</f>
        <v>0</v>
      </c>
    </row>
    <row r="490" spans="2:5" ht="12.75">
      <c r="B490" t="str">
        <f>B9</f>
        <v>1998 Def. 2012</v>
      </c>
      <c r="C490" s="7">
        <f>'1998'!B85</f>
        <v>0</v>
      </c>
      <c r="D490" s="7">
        <f>'1998'!C85</f>
        <v>0</v>
      </c>
      <c r="E490" s="7">
        <f aca="true" t="shared" si="14" ref="E490:E501">C490+D490</f>
        <v>0</v>
      </c>
    </row>
    <row r="491" spans="2:5" ht="12.75">
      <c r="B491" s="9" t="s">
        <v>20</v>
      </c>
      <c r="C491" s="7">
        <f>USDA2000!B85</f>
        <v>68000</v>
      </c>
      <c r="D491" s="7">
        <f>USDA2000!C85</f>
        <v>65550</v>
      </c>
      <c r="E491" s="7">
        <f t="shared" si="14"/>
        <v>133550</v>
      </c>
    </row>
    <row r="492" spans="2:5" ht="12.75">
      <c r="B492" t="str">
        <f>B11</f>
        <v>2001 Def. 2012</v>
      </c>
      <c r="C492" s="7">
        <f>'2001'!B85</f>
        <v>0</v>
      </c>
      <c r="D492" s="7">
        <f>'2001'!C85</f>
        <v>0</v>
      </c>
      <c r="E492" s="7">
        <f t="shared" si="14"/>
        <v>0</v>
      </c>
    </row>
    <row r="493" spans="2:5" ht="12.75">
      <c r="B493" s="9" t="str">
        <f>B12</f>
        <v>2002A Def. 2012</v>
      </c>
      <c r="C493" s="7">
        <f>'2002A'!B85</f>
        <v>0</v>
      </c>
      <c r="D493" s="7">
        <f>'2002A'!C85</f>
        <v>0</v>
      </c>
      <c r="E493" s="7">
        <f t="shared" si="14"/>
        <v>0</v>
      </c>
    </row>
    <row r="494" spans="2:5" ht="12.75">
      <c r="B494" s="9" t="str">
        <f>B13</f>
        <v>2002B Def. 2013</v>
      </c>
      <c r="C494" s="7">
        <f>'2002B'!B85</f>
        <v>0</v>
      </c>
      <c r="D494" s="7">
        <f>'2002B'!C85</f>
        <v>0</v>
      </c>
      <c r="E494" s="7">
        <f t="shared" si="14"/>
        <v>0</v>
      </c>
    </row>
    <row r="495" spans="2:5" ht="12.75">
      <c r="B495" s="9" t="str">
        <f>B14</f>
        <v>2003A def. 2013</v>
      </c>
      <c r="C495" s="7">
        <f>'2003A'!B85</f>
        <v>0</v>
      </c>
      <c r="D495" s="7">
        <f>'2003A'!C85</f>
        <v>0</v>
      </c>
      <c r="E495" s="7">
        <f t="shared" si="14"/>
        <v>0</v>
      </c>
    </row>
    <row r="496" spans="2:5" ht="12.75">
      <c r="B496" s="9" t="str">
        <f>B15</f>
        <v>2003B def. 2013</v>
      </c>
      <c r="C496" s="7">
        <f>'2003B'!B85</f>
        <v>0</v>
      </c>
      <c r="D496" s="7">
        <f>'2003B'!C85</f>
        <v>0</v>
      </c>
      <c r="E496" s="7">
        <f t="shared" si="14"/>
        <v>0</v>
      </c>
    </row>
    <row r="497" spans="2:5" ht="12.75">
      <c r="B497" s="9" t="str">
        <f>B109</f>
        <v>2003C def 2014</v>
      </c>
      <c r="C497" s="7">
        <f>'2003C'!B85</f>
        <v>0</v>
      </c>
      <c r="D497" s="7">
        <f>'2003C'!C85</f>
        <v>0</v>
      </c>
      <c r="E497" s="7">
        <f t="shared" si="14"/>
        <v>0</v>
      </c>
    </row>
    <row r="498" spans="2:5" ht="12.75">
      <c r="B498" s="9" t="str">
        <f>B110</f>
        <v>2004 def 2014</v>
      </c>
      <c r="C498" s="7">
        <f>'2004'!B85</f>
        <v>0</v>
      </c>
      <c r="D498" s="7">
        <f>'2004'!C85</f>
        <v>0</v>
      </c>
      <c r="E498" s="7">
        <f t="shared" si="14"/>
        <v>0</v>
      </c>
    </row>
    <row r="499" spans="2:5" ht="12.75">
      <c r="B499">
        <v>2006</v>
      </c>
      <c r="C499" s="7">
        <f>'2006'!B85</f>
        <v>1505000</v>
      </c>
      <c r="D499" s="7">
        <f>'2006'!C85</f>
        <v>402287</v>
      </c>
      <c r="E499" s="7">
        <f t="shared" si="14"/>
        <v>1907287</v>
      </c>
    </row>
    <row r="500" spans="2:5" ht="12.75">
      <c r="B500">
        <v>2009</v>
      </c>
      <c r="C500" s="7">
        <f>'2009'!B85</f>
        <v>1375000</v>
      </c>
      <c r="D500" s="7">
        <f>'2009'!C85</f>
        <v>800357</v>
      </c>
      <c r="E500" s="7">
        <f t="shared" si="14"/>
        <v>2175357</v>
      </c>
    </row>
    <row r="501" spans="2:5" ht="12.75">
      <c r="B501">
        <v>2011</v>
      </c>
      <c r="C501" s="7">
        <f>'2011'!B85</f>
        <v>1340000</v>
      </c>
      <c r="D501" s="7">
        <f>'2011'!C85</f>
        <v>736325</v>
      </c>
      <c r="E501" s="7">
        <f t="shared" si="14"/>
        <v>2076325</v>
      </c>
    </row>
    <row r="502" spans="2:5" ht="12.75">
      <c r="B502">
        <f>B47</f>
        <v>2012</v>
      </c>
      <c r="C502" s="7">
        <f>'2012'!B85</f>
        <v>5495000</v>
      </c>
      <c r="D502" s="7">
        <f>'2012'!C85</f>
        <v>353125</v>
      </c>
      <c r="E502" s="7">
        <f>C502+D502</f>
        <v>5848125</v>
      </c>
    </row>
    <row r="503" spans="2:5" ht="12.75">
      <c r="B503" s="9" t="s">
        <v>59</v>
      </c>
      <c r="C503" s="7">
        <f>'2013A'!B85</f>
        <v>1020000</v>
      </c>
      <c r="D503" s="7">
        <f>'2013A'!C85</f>
        <v>706526</v>
      </c>
      <c r="E503" s="7">
        <f>C503+D503</f>
        <v>1726526</v>
      </c>
    </row>
    <row r="504" spans="2:5" ht="12.75">
      <c r="B504" s="9" t="s">
        <v>60</v>
      </c>
      <c r="C504" s="7">
        <f>'2013B'!B85</f>
        <v>1700000</v>
      </c>
      <c r="D504" s="7">
        <f>'2013B'!C85</f>
        <v>216500</v>
      </c>
      <c r="E504" s="7">
        <f>C504+D504</f>
        <v>1916500</v>
      </c>
    </row>
    <row r="505" spans="2:5" ht="12.75">
      <c r="B505" s="9" t="s">
        <v>71</v>
      </c>
      <c r="C505" s="7">
        <f>'2014B'!B85</f>
        <v>540000</v>
      </c>
      <c r="D505" s="7">
        <f>'2014B'!C85</f>
        <v>62838</v>
      </c>
      <c r="E505" s="7">
        <f>'2014B'!D85</f>
        <v>602838</v>
      </c>
    </row>
    <row r="506" spans="3:5" ht="12.75">
      <c r="C506" s="7"/>
      <c r="D506" s="7"/>
      <c r="E506" s="7"/>
    </row>
    <row r="507" spans="1:7" ht="12.75">
      <c r="A507" s="1" t="s">
        <v>37</v>
      </c>
      <c r="C507" s="8">
        <f>SUM(C489:C505)</f>
        <v>13043000</v>
      </c>
      <c r="D507" s="8">
        <f>SUM(D489:D505)</f>
        <v>3343508</v>
      </c>
      <c r="E507" s="8">
        <f>SUM(E489:E505)</f>
        <v>16386508</v>
      </c>
      <c r="G507" s="8">
        <f>E507</f>
        <v>16386508</v>
      </c>
    </row>
    <row r="508" spans="3:5" ht="12.75">
      <c r="C508" s="7"/>
      <c r="D508" s="7"/>
      <c r="E508" s="7"/>
    </row>
    <row r="509" spans="2:5" ht="12.75">
      <c r="B509" t="s">
        <v>40</v>
      </c>
      <c r="C509" s="7">
        <f>KIAF06!B85</f>
        <v>250785</v>
      </c>
      <c r="D509" s="7">
        <f>KIAF06!C85</f>
        <v>18819</v>
      </c>
      <c r="E509" s="7">
        <f>C509+D509</f>
        <v>269604</v>
      </c>
    </row>
    <row r="510" spans="2:5" ht="12.75">
      <c r="B510" t="s">
        <v>41</v>
      </c>
      <c r="C510" s="7">
        <f>KIAC08!B325</f>
        <v>0</v>
      </c>
      <c r="D510" s="7">
        <f>KIAC08!C325</f>
        <v>0</v>
      </c>
      <c r="E510" s="7">
        <f>C510+D510</f>
        <v>0</v>
      </c>
    </row>
    <row r="511" spans="2:5" ht="12.75">
      <c r="B511" t="s">
        <v>64</v>
      </c>
      <c r="C511" s="7">
        <f>KIAF08!B85</f>
        <v>206764</v>
      </c>
      <c r="D511" s="7">
        <f>KIAF08!C85</f>
        <v>18001</v>
      </c>
      <c r="E511" s="7">
        <f>C511+D511</f>
        <v>224765</v>
      </c>
    </row>
    <row r="512" spans="2:5" ht="12.75">
      <c r="B512" t="s">
        <v>58</v>
      </c>
      <c r="C512" s="7">
        <f>KIAF09!B80</f>
        <v>1265476</v>
      </c>
      <c r="D512" s="7">
        <f>KIAF09!C80</f>
        <v>220942</v>
      </c>
      <c r="E512" s="7">
        <f>C512+D512</f>
        <v>1486418</v>
      </c>
    </row>
    <row r="513" spans="3:5" ht="12.75">
      <c r="C513" s="7"/>
      <c r="D513" s="7"/>
      <c r="E513" s="7"/>
    </row>
    <row r="514" spans="1:7" ht="12.75">
      <c r="A514" s="1" t="s">
        <v>42</v>
      </c>
      <c r="C514" s="8">
        <f>SUM(C509:C513)</f>
        <v>1723025</v>
      </c>
      <c r="D514" s="8">
        <f>SUM(D509:D513)</f>
        <v>257762</v>
      </c>
      <c r="E514" s="8">
        <f>SUM(E509:E513)</f>
        <v>1980787</v>
      </c>
      <c r="G514" s="8">
        <f>E514</f>
        <v>1980787</v>
      </c>
    </row>
    <row r="516" spans="1:7" ht="12.75">
      <c r="A516" s="1" t="s">
        <v>43</v>
      </c>
      <c r="G516" s="8">
        <f>G507+G514</f>
        <v>18367295</v>
      </c>
    </row>
    <row r="518" ht="12.75">
      <c r="G518" s="2" t="s">
        <v>38</v>
      </c>
    </row>
    <row r="519" spans="1:7" ht="12.75">
      <c r="A519" s="2" t="s">
        <v>34</v>
      </c>
      <c r="B519" s="2" t="s">
        <v>35</v>
      </c>
      <c r="C519" s="2" t="s">
        <v>1</v>
      </c>
      <c r="D519" s="2" t="s">
        <v>3</v>
      </c>
      <c r="E519" s="2" t="s">
        <v>4</v>
      </c>
      <c r="G519" s="2" t="s">
        <v>39</v>
      </c>
    </row>
    <row r="521" ht="12.75">
      <c r="A521" s="2">
        <v>2027</v>
      </c>
    </row>
    <row r="522" spans="2:5" ht="12.75">
      <c r="B522" t="str">
        <f>B8</f>
        <v>1997 Def. 2012</v>
      </c>
      <c r="C522" s="7">
        <f>'1997'!$B$90</f>
        <v>0</v>
      </c>
      <c r="D522" s="7">
        <f>'1997'!$C$90</f>
        <v>0</v>
      </c>
      <c r="E522" s="7">
        <f>C522+D522</f>
        <v>0</v>
      </c>
    </row>
    <row r="523" spans="2:5" ht="12.75">
      <c r="B523" t="str">
        <f>B9</f>
        <v>1998 Def. 2012</v>
      </c>
      <c r="C523" s="7">
        <f>'1998'!B90</f>
        <v>0</v>
      </c>
      <c r="D523" s="7">
        <f>'1998'!C90</f>
        <v>0</v>
      </c>
      <c r="E523" s="7">
        <f aca="true" t="shared" si="15" ref="E523:E534">C523+D523</f>
        <v>0</v>
      </c>
    </row>
    <row r="524" spans="2:5" ht="12.75">
      <c r="B524" s="9" t="s">
        <v>20</v>
      </c>
      <c r="C524" s="7">
        <f>USDA2000!B90</f>
        <v>72000</v>
      </c>
      <c r="D524" s="7">
        <f>USDA2000!C90</f>
        <v>62050</v>
      </c>
      <c r="E524" s="7">
        <f t="shared" si="15"/>
        <v>134050</v>
      </c>
    </row>
    <row r="525" spans="2:5" ht="12.75">
      <c r="B525" t="str">
        <f>B11</f>
        <v>2001 Def. 2012</v>
      </c>
      <c r="C525" s="7">
        <f>'2001'!B90</f>
        <v>0</v>
      </c>
      <c r="D525" s="7">
        <f>'2001'!C90</f>
        <v>0</v>
      </c>
      <c r="E525" s="7">
        <f t="shared" si="15"/>
        <v>0</v>
      </c>
    </row>
    <row r="526" spans="2:5" ht="12.75">
      <c r="B526" s="9" t="str">
        <f>B12</f>
        <v>2002A Def. 2012</v>
      </c>
      <c r="C526" s="7">
        <f>'2002A'!B90</f>
        <v>0</v>
      </c>
      <c r="D526" s="7">
        <f>'2002A'!C90</f>
        <v>0</v>
      </c>
      <c r="E526" s="7">
        <f t="shared" si="15"/>
        <v>0</v>
      </c>
    </row>
    <row r="527" spans="2:5" ht="12.75">
      <c r="B527" s="9" t="str">
        <f>B13</f>
        <v>2002B Def. 2013</v>
      </c>
      <c r="C527" s="7">
        <f>'2002B'!B90</f>
        <v>0</v>
      </c>
      <c r="D527" s="7">
        <f>'2002B'!C90</f>
        <v>0</v>
      </c>
      <c r="E527" s="7">
        <f t="shared" si="15"/>
        <v>0</v>
      </c>
    </row>
    <row r="528" spans="2:5" ht="12.75">
      <c r="B528" s="9" t="str">
        <f>B14</f>
        <v>2003A def. 2013</v>
      </c>
      <c r="C528" s="7">
        <f>'2003A'!B90</f>
        <v>0</v>
      </c>
      <c r="D528" s="7">
        <f>'2003A'!C90</f>
        <v>0</v>
      </c>
      <c r="E528" s="7">
        <f t="shared" si="15"/>
        <v>0</v>
      </c>
    </row>
    <row r="529" spans="2:5" ht="12.75">
      <c r="B529" s="9" t="str">
        <f>B15</f>
        <v>2003B def. 2013</v>
      </c>
      <c r="C529" s="7">
        <f>'2003B'!B90</f>
        <v>0</v>
      </c>
      <c r="D529" s="7">
        <f>'2003B'!C90</f>
        <v>0</v>
      </c>
      <c r="E529" s="7">
        <f t="shared" si="15"/>
        <v>0</v>
      </c>
    </row>
    <row r="530" spans="2:5" ht="12.75">
      <c r="B530" s="9" t="str">
        <f>B109</f>
        <v>2003C def 2014</v>
      </c>
      <c r="C530" s="7">
        <f>'2003C'!B90</f>
        <v>0</v>
      </c>
      <c r="D530" s="7">
        <f>'2003C'!C90</f>
        <v>0</v>
      </c>
      <c r="E530" s="7">
        <f t="shared" si="15"/>
        <v>0</v>
      </c>
    </row>
    <row r="531" spans="2:5" ht="12.75">
      <c r="B531" s="9" t="str">
        <f>B110</f>
        <v>2004 def 2014</v>
      </c>
      <c r="C531" s="7">
        <f>'2004'!B90</f>
        <v>0</v>
      </c>
      <c r="D531" s="7">
        <f>'2004'!C90</f>
        <v>0</v>
      </c>
      <c r="E531" s="7">
        <f t="shared" si="15"/>
        <v>0</v>
      </c>
    </row>
    <row r="532" spans="2:5" ht="12.75">
      <c r="B532">
        <v>2006</v>
      </c>
      <c r="C532" s="7">
        <f>'2006'!B90</f>
        <v>1570000</v>
      </c>
      <c r="D532" s="7">
        <f>'2006'!C90</f>
        <v>336944</v>
      </c>
      <c r="E532" s="7">
        <f t="shared" si="15"/>
        <v>1906944</v>
      </c>
    </row>
    <row r="533" spans="2:5" ht="12.75">
      <c r="B533">
        <v>2009</v>
      </c>
      <c r="C533" s="7">
        <f>'2009'!B90</f>
        <v>1460000</v>
      </c>
      <c r="D533" s="7">
        <f>'2009'!C90</f>
        <v>717026</v>
      </c>
      <c r="E533" s="7">
        <f t="shared" si="15"/>
        <v>2177026</v>
      </c>
    </row>
    <row r="534" spans="2:5" ht="12.75">
      <c r="B534">
        <v>2011</v>
      </c>
      <c r="C534" s="7">
        <f>'2011'!B90</f>
        <v>1395000</v>
      </c>
      <c r="D534" s="7">
        <f>'2011'!C90</f>
        <v>679044</v>
      </c>
      <c r="E534" s="7">
        <f t="shared" si="15"/>
        <v>2074044</v>
      </c>
    </row>
    <row r="535" spans="2:5" ht="12.75">
      <c r="B535">
        <f>B47</f>
        <v>2012</v>
      </c>
      <c r="C535" s="7">
        <f>'2012'!B90</f>
        <v>4315000</v>
      </c>
      <c r="D535" s="7">
        <f>'2012'!C90</f>
        <v>107875</v>
      </c>
      <c r="E535" s="7">
        <f>C535+D535</f>
        <v>4422875</v>
      </c>
    </row>
    <row r="536" spans="2:5" ht="12.75">
      <c r="B536" s="9" t="s">
        <v>59</v>
      </c>
      <c r="C536" s="7">
        <f>'2013A'!B90</f>
        <v>1070000</v>
      </c>
      <c r="D536" s="7">
        <f>'2013A'!C90</f>
        <v>659626</v>
      </c>
      <c r="E536" s="7">
        <f>C536+D536</f>
        <v>1729626</v>
      </c>
    </row>
    <row r="537" spans="2:5" ht="12.75">
      <c r="B537" s="9" t="s">
        <v>60</v>
      </c>
      <c r="C537" s="7">
        <f>'2013B'!B90</f>
        <v>1780000</v>
      </c>
      <c r="D537" s="7">
        <f>'2013B'!C90</f>
        <v>138000</v>
      </c>
      <c r="E537" s="7">
        <f>C537+D537</f>
        <v>1918000</v>
      </c>
    </row>
    <row r="538" spans="2:5" ht="12.75">
      <c r="B538" s="9" t="s">
        <v>71</v>
      </c>
      <c r="C538" s="7">
        <f>'2014B'!B90</f>
        <v>550000</v>
      </c>
      <c r="D538" s="7">
        <f>'2014B'!C90</f>
        <v>43788</v>
      </c>
      <c r="E538" s="7">
        <f>'2014B'!D90</f>
        <v>593788</v>
      </c>
    </row>
    <row r="539" spans="3:5" ht="12.75">
      <c r="C539" s="7"/>
      <c r="D539" s="7"/>
      <c r="E539" s="7"/>
    </row>
    <row r="540" spans="1:7" ht="12.75">
      <c r="A540" s="1" t="s">
        <v>37</v>
      </c>
      <c r="C540" s="8">
        <f>SUM(C522:C538)</f>
        <v>12212000</v>
      </c>
      <c r="D540" s="8">
        <f>SUM(D522:D538)</f>
        <v>2744353</v>
      </c>
      <c r="E540" s="8">
        <f>SUM(E522:E538)</f>
        <v>14956353</v>
      </c>
      <c r="G540" s="8">
        <f>E540</f>
        <v>14956353</v>
      </c>
    </row>
    <row r="541" spans="3:5" ht="12.75">
      <c r="C541" s="7"/>
      <c r="D541" s="7"/>
      <c r="E541" s="7"/>
    </row>
    <row r="542" spans="2:5" ht="12.75">
      <c r="B542" t="s">
        <v>40</v>
      </c>
      <c r="C542" s="7">
        <f>KIAF06!B90</f>
        <v>258365</v>
      </c>
      <c r="D542" s="7">
        <f>KIAF06!C90</f>
        <v>10607</v>
      </c>
      <c r="E542" s="7">
        <f>C542+D542</f>
        <v>268972</v>
      </c>
    </row>
    <row r="543" spans="2:5" ht="12.75">
      <c r="B543" t="s">
        <v>41</v>
      </c>
      <c r="C543" s="7">
        <f>KIAC08!B368</f>
        <v>0</v>
      </c>
      <c r="D543" s="7">
        <f>KIAC08!C368</f>
        <v>0</v>
      </c>
      <c r="E543" s="7">
        <f>C543+D543</f>
        <v>0</v>
      </c>
    </row>
    <row r="544" spans="2:5" ht="12.75">
      <c r="B544" t="s">
        <v>64</v>
      </c>
      <c r="C544" s="7">
        <f>KIAF08!B90</f>
        <v>208837</v>
      </c>
      <c r="D544" s="7">
        <f>KIAF08!C90</f>
        <v>15409</v>
      </c>
      <c r="E544" s="7">
        <f>C544+D544</f>
        <v>224246</v>
      </c>
    </row>
    <row r="545" spans="2:5" ht="12.75">
      <c r="B545" t="s">
        <v>58</v>
      </c>
      <c r="C545" s="7">
        <f>KIAF09!B85</f>
        <v>1290912</v>
      </c>
      <c r="D545" s="7">
        <f>KIAF09!C85</f>
        <v>192327</v>
      </c>
      <c r="E545" s="7">
        <f>C545+D545</f>
        <v>1483239</v>
      </c>
    </row>
    <row r="546" spans="3:5" ht="12.75">
      <c r="C546" s="7"/>
      <c r="D546" s="7"/>
      <c r="E546" s="7"/>
    </row>
    <row r="547" spans="1:7" ht="12.75">
      <c r="A547" s="1" t="s">
        <v>42</v>
      </c>
      <c r="C547" s="8">
        <f>SUM(C542:C546)</f>
        <v>1758114</v>
      </c>
      <c r="D547" s="8">
        <f>SUM(D542:D546)</f>
        <v>218343</v>
      </c>
      <c r="E547" s="8">
        <f>SUM(E542:E546)</f>
        <v>1976457</v>
      </c>
      <c r="G547" s="8">
        <f>E547</f>
        <v>1976457</v>
      </c>
    </row>
    <row r="549" spans="1:7" ht="12.75">
      <c r="A549" s="1" t="s">
        <v>43</v>
      </c>
      <c r="G549" s="8">
        <f>G540+G547</f>
        <v>16932810</v>
      </c>
    </row>
    <row r="551" ht="12.75">
      <c r="A551" t="s">
        <v>45</v>
      </c>
    </row>
    <row r="552" spans="1:7" ht="12.75">
      <c r="A552" s="10" t="s">
        <v>44</v>
      </c>
      <c r="B552" s="10"/>
      <c r="C552" s="10"/>
      <c r="D552" s="10"/>
      <c r="E552" s="10"/>
      <c r="F552" s="10"/>
      <c r="G552" s="10"/>
    </row>
    <row r="553" spans="1:7" ht="12.75">
      <c r="A553" s="10" t="str">
        <f>A2</f>
        <v>Summary of Debt Service After August 1, 2015</v>
      </c>
      <c r="B553" s="10"/>
      <c r="C553" s="10"/>
      <c r="D553" s="10"/>
      <c r="E553" s="10"/>
      <c r="F553" s="10"/>
      <c r="G553" s="10"/>
    </row>
    <row r="555" ht="12.75">
      <c r="G555" s="2" t="s">
        <v>38</v>
      </c>
    </row>
    <row r="556" spans="1:7" ht="12.75">
      <c r="A556" s="2" t="s">
        <v>34</v>
      </c>
      <c r="B556" s="2" t="s">
        <v>35</v>
      </c>
      <c r="C556" s="2" t="s">
        <v>1</v>
      </c>
      <c r="D556" s="2" t="s">
        <v>3</v>
      </c>
      <c r="E556" s="2" t="s">
        <v>4</v>
      </c>
      <c r="G556" s="2" t="s">
        <v>39</v>
      </c>
    </row>
    <row r="558" ht="12.75">
      <c r="A558" s="2">
        <v>2028</v>
      </c>
    </row>
    <row r="559" spans="2:5" ht="12.75">
      <c r="B559" t="str">
        <f>B8</f>
        <v>1997 Def. 2012</v>
      </c>
      <c r="C559" s="7">
        <f>'1997'!$B95</f>
        <v>0</v>
      </c>
      <c r="D559" s="7">
        <f>'1997'!$C95</f>
        <v>0</v>
      </c>
      <c r="E559" s="7">
        <f>C559+D559</f>
        <v>0</v>
      </c>
    </row>
    <row r="560" spans="2:5" ht="12.75">
      <c r="B560" t="str">
        <f>B9</f>
        <v>1998 Def. 2012</v>
      </c>
      <c r="C560" s="7">
        <f>'1998'!B95</f>
        <v>0</v>
      </c>
      <c r="D560" s="7">
        <f>'1998'!C95</f>
        <v>0</v>
      </c>
      <c r="E560" s="7">
        <f aca="true" t="shared" si="16" ref="E560:E571">C560+D560</f>
        <v>0</v>
      </c>
    </row>
    <row r="561" spans="2:5" ht="12.75">
      <c r="B561" s="9" t="s">
        <v>20</v>
      </c>
      <c r="C561" s="7">
        <f>USDA2000!B95</f>
        <v>75000</v>
      </c>
      <c r="D561" s="7">
        <f>USDA2000!C95</f>
        <v>58375</v>
      </c>
      <c r="E561" s="7">
        <f t="shared" si="16"/>
        <v>133375</v>
      </c>
    </row>
    <row r="562" spans="2:5" ht="12.75">
      <c r="B562" t="str">
        <f>B11</f>
        <v>2001 Def. 2012</v>
      </c>
      <c r="C562" s="7">
        <f>'2001'!B95</f>
        <v>0</v>
      </c>
      <c r="D562" s="7">
        <f>'2001'!C95</f>
        <v>0</v>
      </c>
      <c r="E562" s="7">
        <f t="shared" si="16"/>
        <v>0</v>
      </c>
    </row>
    <row r="563" spans="2:5" ht="12.75">
      <c r="B563" s="9" t="str">
        <f>B12</f>
        <v>2002A Def. 2012</v>
      </c>
      <c r="C563" s="7">
        <f>'2002A'!B95</f>
        <v>0</v>
      </c>
      <c r="D563" s="7">
        <f>'2002A'!C95</f>
        <v>0</v>
      </c>
      <c r="E563" s="7">
        <f t="shared" si="16"/>
        <v>0</v>
      </c>
    </row>
    <row r="564" spans="2:5" ht="12.75">
      <c r="B564" s="9" t="str">
        <f>B13</f>
        <v>2002B Def. 2013</v>
      </c>
      <c r="C564" s="7">
        <f>'2002B'!B95</f>
        <v>0</v>
      </c>
      <c r="D564" s="7">
        <f>'2002B'!C95</f>
        <v>0</v>
      </c>
      <c r="E564" s="7">
        <f t="shared" si="16"/>
        <v>0</v>
      </c>
    </row>
    <row r="565" spans="2:5" ht="12.75">
      <c r="B565" s="9" t="str">
        <f>B14</f>
        <v>2003A def. 2013</v>
      </c>
      <c r="C565" s="7">
        <f>'2003A'!B95</f>
        <v>0</v>
      </c>
      <c r="D565" s="7">
        <f>'2003A'!C95</f>
        <v>0</v>
      </c>
      <c r="E565" s="7">
        <f t="shared" si="16"/>
        <v>0</v>
      </c>
    </row>
    <row r="566" spans="2:5" ht="12.75">
      <c r="B566" s="9" t="str">
        <f>B15</f>
        <v>2003B def. 2013</v>
      </c>
      <c r="C566" s="7">
        <f>'2003B'!B95</f>
        <v>0</v>
      </c>
      <c r="D566" s="7">
        <f>'2003B'!C95</f>
        <v>0</v>
      </c>
      <c r="E566" s="7">
        <f t="shared" si="16"/>
        <v>0</v>
      </c>
    </row>
    <row r="567" spans="2:5" ht="12.75">
      <c r="B567" s="9" t="str">
        <f>B109</f>
        <v>2003C def 2014</v>
      </c>
      <c r="C567" s="7">
        <f>'2003C'!B95</f>
        <v>0</v>
      </c>
      <c r="D567" s="7">
        <f>'2003C'!C95</f>
        <v>0</v>
      </c>
      <c r="E567" s="7">
        <f t="shared" si="16"/>
        <v>0</v>
      </c>
    </row>
    <row r="568" spans="2:5" ht="12.75">
      <c r="B568" s="9" t="str">
        <f>B110</f>
        <v>2004 def 2014</v>
      </c>
      <c r="C568" s="7">
        <f>'2004'!B95</f>
        <v>0</v>
      </c>
      <c r="D568" s="7">
        <f>'2004'!C95</f>
        <v>0</v>
      </c>
      <c r="E568" s="7">
        <f t="shared" si="16"/>
        <v>0</v>
      </c>
    </row>
    <row r="569" spans="2:5" ht="12.75">
      <c r="B569">
        <v>2006</v>
      </c>
      <c r="C569" s="7">
        <f>'2006'!B95</f>
        <v>1640000</v>
      </c>
      <c r="D569" s="7">
        <f>'2006'!C95</f>
        <v>268732</v>
      </c>
      <c r="E569" s="7">
        <f t="shared" si="16"/>
        <v>1908732</v>
      </c>
    </row>
    <row r="570" spans="2:5" ht="12.75">
      <c r="B570">
        <v>2009</v>
      </c>
      <c r="C570" s="7">
        <f>'2009'!B95</f>
        <v>1550000</v>
      </c>
      <c r="D570" s="7">
        <f>'2009'!C95</f>
        <v>626726</v>
      </c>
      <c r="E570" s="7">
        <f t="shared" si="16"/>
        <v>2176726</v>
      </c>
    </row>
    <row r="571" spans="2:5" ht="12.75">
      <c r="B571">
        <v>2011</v>
      </c>
      <c r="C571" s="7">
        <f>'2011'!B95</f>
        <v>1460000</v>
      </c>
      <c r="D571" s="7">
        <f>'2011'!C95</f>
        <v>618375</v>
      </c>
      <c r="E571" s="7">
        <f t="shared" si="16"/>
        <v>2078375</v>
      </c>
    </row>
    <row r="572" spans="2:5" ht="12.75">
      <c r="B572">
        <f>B47</f>
        <v>2012</v>
      </c>
      <c r="C572" s="7">
        <f>'2012'!B95</f>
        <v>0</v>
      </c>
      <c r="D572" s="7">
        <f>'2012'!C95</f>
        <v>0</v>
      </c>
      <c r="E572" s="7">
        <f>C572+D572</f>
        <v>0</v>
      </c>
    </row>
    <row r="573" spans="2:5" ht="12.75">
      <c r="B573" s="9" t="s">
        <v>59</v>
      </c>
      <c r="C573" s="7">
        <f>'2013A'!B95</f>
        <v>1110000</v>
      </c>
      <c r="D573" s="7">
        <f>'2013A'!C95</f>
        <v>616026</v>
      </c>
      <c r="E573" s="7">
        <f>C573+D573</f>
        <v>1726026</v>
      </c>
    </row>
    <row r="574" spans="2:5" ht="12.75">
      <c r="B574" s="9" t="s">
        <v>60</v>
      </c>
      <c r="C574" s="7">
        <f>'2013B'!B95</f>
        <v>1870000</v>
      </c>
      <c r="D574" s="7">
        <f>'2013B'!C95</f>
        <v>46750</v>
      </c>
      <c r="E574" s="7">
        <f>C574+D574</f>
        <v>1916750</v>
      </c>
    </row>
    <row r="575" spans="2:5" ht="12.75">
      <c r="B575" s="9" t="s">
        <v>71</v>
      </c>
      <c r="C575" s="7">
        <f>'2014B'!B100</f>
        <v>590000</v>
      </c>
      <c r="D575" s="7">
        <f>'2014B'!C100</f>
        <v>9219</v>
      </c>
      <c r="E575" s="7">
        <f>'2014B'!D100</f>
        <v>599219</v>
      </c>
    </row>
    <row r="576" spans="3:5" ht="12.75">
      <c r="C576" s="7"/>
      <c r="D576" s="7"/>
      <c r="E576" s="7"/>
    </row>
    <row r="577" spans="1:7" ht="12.75">
      <c r="A577" s="1" t="s">
        <v>37</v>
      </c>
      <c r="C577" s="8">
        <f>SUM(C559:C575)</f>
        <v>8295000</v>
      </c>
      <c r="D577" s="8">
        <f>SUM(D559:D575)</f>
        <v>2244203</v>
      </c>
      <c r="E577" s="8">
        <f>SUM(E559:E575)</f>
        <v>10539203</v>
      </c>
      <c r="G577" s="8">
        <f>E577</f>
        <v>10539203</v>
      </c>
    </row>
    <row r="578" spans="3:5" ht="12.75">
      <c r="C578" s="7"/>
      <c r="D578" s="7"/>
      <c r="E578" s="7"/>
    </row>
    <row r="579" spans="2:5" ht="12.75">
      <c r="B579" t="s">
        <v>40</v>
      </c>
      <c r="C579" s="7">
        <f>KIAF06!B95</f>
        <v>132097</v>
      </c>
      <c r="D579" s="7">
        <f>KIAF06!C95</f>
        <v>2146</v>
      </c>
      <c r="E579" s="7">
        <f>C579+D579</f>
        <v>134243</v>
      </c>
    </row>
    <row r="580" spans="2:5" ht="12.75">
      <c r="B580" t="s">
        <v>41</v>
      </c>
      <c r="C580" s="7">
        <f>KIAC08!B383</f>
        <v>0</v>
      </c>
      <c r="D580" s="7">
        <f>KIAC08!C383</f>
        <v>0</v>
      </c>
      <c r="E580" s="7">
        <f>C580+D580</f>
        <v>0</v>
      </c>
    </row>
    <row r="581" spans="2:5" ht="12.75">
      <c r="B581" t="s">
        <v>64</v>
      </c>
      <c r="C581" s="7">
        <f>KIAF08!B95</f>
        <v>210930</v>
      </c>
      <c r="D581" s="7">
        <f>KIAF08!C95</f>
        <v>12793</v>
      </c>
      <c r="E581" s="7">
        <f>C581+D581</f>
        <v>223723</v>
      </c>
    </row>
    <row r="582" spans="2:5" ht="12.75">
      <c r="B582" t="s">
        <v>58</v>
      </c>
      <c r="C582" s="7">
        <f>KIAF09!B90</f>
        <v>1316859</v>
      </c>
      <c r="D582" s="7">
        <f>KIAF09!C90</f>
        <v>163136</v>
      </c>
      <c r="E582" s="7">
        <f>C582+D582</f>
        <v>1479995</v>
      </c>
    </row>
    <row r="583" spans="3:5" ht="12.75">
      <c r="C583" s="7"/>
      <c r="D583" s="7"/>
      <c r="E583" s="7"/>
    </row>
    <row r="584" spans="1:7" ht="12.75">
      <c r="A584" s="1" t="s">
        <v>42</v>
      </c>
      <c r="C584" s="8">
        <f>SUM(C579:C583)</f>
        <v>1659886</v>
      </c>
      <c r="D584" s="8">
        <f>SUM(D579:D583)</f>
        <v>178075</v>
      </c>
      <c r="E584" s="8">
        <f>SUM(E579:E583)</f>
        <v>1837961</v>
      </c>
      <c r="G584" s="8">
        <f>E584</f>
        <v>1837961</v>
      </c>
    </row>
    <row r="586" spans="1:7" ht="12.75">
      <c r="A586" s="1" t="s">
        <v>43</v>
      </c>
      <c r="G586" s="8">
        <f>G577+G584</f>
        <v>12377164</v>
      </c>
    </row>
    <row r="588" ht="12.75">
      <c r="G588" s="2" t="s">
        <v>38</v>
      </c>
    </row>
    <row r="589" spans="1:7" ht="12.75">
      <c r="A589" s="2" t="s">
        <v>34</v>
      </c>
      <c r="B589" s="2" t="s">
        <v>35</v>
      </c>
      <c r="C589" s="2" t="s">
        <v>1</v>
      </c>
      <c r="D589" s="2" t="s">
        <v>3</v>
      </c>
      <c r="E589" s="2" t="s">
        <v>4</v>
      </c>
      <c r="G589" s="2" t="s">
        <v>39</v>
      </c>
    </row>
    <row r="591" ht="12.75">
      <c r="A591" s="2">
        <v>2029</v>
      </c>
    </row>
    <row r="592" spans="2:5" ht="12.75">
      <c r="B592" t="str">
        <f>B8</f>
        <v>1997 Def. 2012</v>
      </c>
      <c r="C592" s="7">
        <f>'1997'!$B$100</f>
        <v>0</v>
      </c>
      <c r="D592" s="7">
        <f>'1997'!$C$100</f>
        <v>0</v>
      </c>
      <c r="E592" s="7">
        <f>C592+D592</f>
        <v>0</v>
      </c>
    </row>
    <row r="593" spans="2:5" ht="12.75">
      <c r="B593" t="str">
        <f>B9</f>
        <v>1998 Def. 2012</v>
      </c>
      <c r="C593" s="7">
        <f>'1998'!B100</f>
        <v>0</v>
      </c>
      <c r="D593" s="7">
        <f>'1998'!C100</f>
        <v>0</v>
      </c>
      <c r="E593" s="7">
        <f aca="true" t="shared" si="17" ref="E593:E604">C593+D593</f>
        <v>0</v>
      </c>
    </row>
    <row r="594" spans="2:5" ht="12.75">
      <c r="B594" s="9" t="s">
        <v>20</v>
      </c>
      <c r="C594" s="7">
        <f>USDA2000!B100</f>
        <v>79000</v>
      </c>
      <c r="D594" s="7">
        <f>USDA2000!C100</f>
        <v>54525</v>
      </c>
      <c r="E594" s="7">
        <f t="shared" si="17"/>
        <v>133525</v>
      </c>
    </row>
    <row r="595" spans="2:5" ht="12.75">
      <c r="B595" t="str">
        <f>B11</f>
        <v>2001 Def. 2012</v>
      </c>
      <c r="C595" s="7">
        <f>'2001'!B100</f>
        <v>0</v>
      </c>
      <c r="D595" s="7">
        <f>'2001'!C100</f>
        <v>0</v>
      </c>
      <c r="E595" s="7">
        <f t="shared" si="17"/>
        <v>0</v>
      </c>
    </row>
    <row r="596" spans="2:5" ht="12.75">
      <c r="B596" s="9" t="str">
        <f>B12</f>
        <v>2002A Def. 2012</v>
      </c>
      <c r="C596" s="7">
        <f>'2002A'!B100</f>
        <v>0</v>
      </c>
      <c r="D596" s="7">
        <f>'2002A'!C100</f>
        <v>0</v>
      </c>
      <c r="E596" s="7">
        <f t="shared" si="17"/>
        <v>0</v>
      </c>
    </row>
    <row r="597" spans="2:5" ht="12.75">
      <c r="B597" s="9" t="str">
        <f>B13</f>
        <v>2002B Def. 2013</v>
      </c>
      <c r="C597" s="7">
        <f>'2002B'!B100</f>
        <v>0</v>
      </c>
      <c r="D597" s="7">
        <f>'2002B'!C100</f>
        <v>0</v>
      </c>
      <c r="E597" s="7">
        <f t="shared" si="17"/>
        <v>0</v>
      </c>
    </row>
    <row r="598" spans="2:5" ht="12.75">
      <c r="B598" s="9" t="str">
        <f>B14</f>
        <v>2003A def. 2013</v>
      </c>
      <c r="C598" s="7">
        <f>'2003A'!B100</f>
        <v>0</v>
      </c>
      <c r="D598" s="7">
        <f>'2003A'!C100</f>
        <v>0</v>
      </c>
      <c r="E598" s="7">
        <f t="shared" si="17"/>
        <v>0</v>
      </c>
    </row>
    <row r="599" spans="2:5" ht="12.75">
      <c r="B599" s="9" t="str">
        <f>B15</f>
        <v>2003B def. 2013</v>
      </c>
      <c r="C599" s="7">
        <f>'2003B'!B100</f>
        <v>0</v>
      </c>
      <c r="D599" s="7">
        <f>'2003B'!C100</f>
        <v>0</v>
      </c>
      <c r="E599" s="7">
        <f t="shared" si="17"/>
        <v>0</v>
      </c>
    </row>
    <row r="600" spans="2:5" ht="12.75">
      <c r="B600" s="9" t="str">
        <f>B109</f>
        <v>2003C def 2014</v>
      </c>
      <c r="C600" s="7">
        <f>'2003C'!B100</f>
        <v>0</v>
      </c>
      <c r="D600" s="7">
        <f>'2003C'!C100</f>
        <v>0</v>
      </c>
      <c r="E600" s="7">
        <f t="shared" si="17"/>
        <v>0</v>
      </c>
    </row>
    <row r="601" spans="2:5" ht="12.75">
      <c r="B601" s="9" t="str">
        <f>B110</f>
        <v>2004 def 2014</v>
      </c>
      <c r="C601" s="7">
        <f>'2004'!B100</f>
        <v>0</v>
      </c>
      <c r="D601" s="7">
        <f>'2004'!C100</f>
        <v>0</v>
      </c>
      <c r="E601" s="7">
        <f t="shared" si="17"/>
        <v>0</v>
      </c>
    </row>
    <row r="602" spans="2:5" ht="12.75">
      <c r="B602">
        <v>2006</v>
      </c>
      <c r="C602" s="7">
        <f>'2006'!B100</f>
        <v>1720000</v>
      </c>
      <c r="D602" s="7">
        <f>'2006'!C100</f>
        <v>197332</v>
      </c>
      <c r="E602" s="7">
        <f t="shared" si="17"/>
        <v>1917332</v>
      </c>
    </row>
    <row r="603" spans="2:5" ht="12.75">
      <c r="B603">
        <v>2009</v>
      </c>
      <c r="C603" s="7">
        <f>'2009'!B100</f>
        <v>1645000</v>
      </c>
      <c r="D603" s="7">
        <f>'2009'!C100</f>
        <v>530876</v>
      </c>
      <c r="E603" s="7">
        <f t="shared" si="17"/>
        <v>2175876</v>
      </c>
    </row>
    <row r="604" spans="2:5" ht="12.75">
      <c r="B604">
        <v>2011</v>
      </c>
      <c r="C604" s="7">
        <f>'2011'!B100</f>
        <v>1520000</v>
      </c>
      <c r="D604" s="7">
        <f>'2011'!C100</f>
        <v>555050</v>
      </c>
      <c r="E604" s="7">
        <f t="shared" si="17"/>
        <v>2075050</v>
      </c>
    </row>
    <row r="605" spans="2:5" ht="12.75">
      <c r="B605">
        <f>B47</f>
        <v>2012</v>
      </c>
      <c r="C605" s="7">
        <f>'2012'!B100</f>
        <v>0</v>
      </c>
      <c r="D605" s="7">
        <f>'2012'!C100</f>
        <v>0</v>
      </c>
      <c r="E605" s="7">
        <f>C605+D605</f>
        <v>0</v>
      </c>
    </row>
    <row r="606" spans="2:5" ht="12.75">
      <c r="B606" s="9" t="s">
        <v>59</v>
      </c>
      <c r="C606" s="7">
        <f>'2013A'!B100</f>
        <v>1155000</v>
      </c>
      <c r="D606" s="7">
        <f>'2013A'!C100</f>
        <v>570726</v>
      </c>
      <c r="E606" s="7">
        <f>C606+D606</f>
        <v>1725726</v>
      </c>
    </row>
    <row r="607" spans="2:5" ht="12.75">
      <c r="B607" s="9" t="s">
        <v>60</v>
      </c>
      <c r="C607" s="7">
        <f>'2013B'!B100</f>
        <v>0</v>
      </c>
      <c r="D607" s="7">
        <f>'2013B'!C100</f>
        <v>0</v>
      </c>
      <c r="E607" s="7">
        <f>C607+D607</f>
        <v>0</v>
      </c>
    </row>
    <row r="608" spans="2:5" ht="12.75">
      <c r="B608" s="9" t="s">
        <v>71</v>
      </c>
      <c r="C608" s="7">
        <f>'2014B'!B133</f>
        <v>0</v>
      </c>
      <c r="D608" s="7">
        <f>'2014B'!C133</f>
        <v>0</v>
      </c>
      <c r="E608" s="7">
        <f>'2014B'!D133</f>
        <v>0</v>
      </c>
    </row>
    <row r="609" spans="3:5" ht="12.75">
      <c r="C609" s="7"/>
      <c r="D609" s="7"/>
      <c r="E609" s="7"/>
    </row>
    <row r="610" spans="1:7" ht="12.75">
      <c r="A610" s="1" t="s">
        <v>37</v>
      </c>
      <c r="C610" s="8">
        <f>SUM(C592:C608)</f>
        <v>6119000</v>
      </c>
      <c r="D610" s="8">
        <f>SUM(D592:D608)</f>
        <v>1908509</v>
      </c>
      <c r="E610" s="8">
        <f>SUM(E592:E608)</f>
        <v>8027509</v>
      </c>
      <c r="G610" s="8">
        <f>E610</f>
        <v>8027509</v>
      </c>
    </row>
    <row r="611" spans="3:5" ht="12.75">
      <c r="C611" s="7"/>
      <c r="D611" s="7"/>
      <c r="E611" s="7"/>
    </row>
    <row r="612" spans="2:5" ht="12.75">
      <c r="B612" t="s">
        <v>40</v>
      </c>
      <c r="C612" s="7">
        <f>KIAF06!B100</f>
        <v>0</v>
      </c>
      <c r="D612" s="7">
        <f>KIAF06!C100</f>
        <v>0</v>
      </c>
      <c r="E612" s="7">
        <f>C612+D612</f>
        <v>0</v>
      </c>
    </row>
    <row r="613" spans="2:5" ht="12.75">
      <c r="B613" t="s">
        <v>41</v>
      </c>
      <c r="C613" s="7">
        <f>KIAC08!B426</f>
        <v>0</v>
      </c>
      <c r="D613" s="7">
        <f>KIAC08!C426</f>
        <v>0</v>
      </c>
      <c r="E613" s="7">
        <f>C613+D613</f>
        <v>0</v>
      </c>
    </row>
    <row r="614" spans="2:5" ht="12.75">
      <c r="B614" t="s">
        <v>64</v>
      </c>
      <c r="C614" s="7">
        <f>KIAF08!B100</f>
        <v>213045</v>
      </c>
      <c r="D614" s="7">
        <f>KIAF08!C100</f>
        <v>10149</v>
      </c>
      <c r="E614" s="7">
        <f>C614+D614</f>
        <v>223194</v>
      </c>
    </row>
    <row r="615" spans="2:5" ht="12.75">
      <c r="B615" t="s">
        <v>58</v>
      </c>
      <c r="C615" s="7">
        <f>KIAF09!B95</f>
        <v>1343328</v>
      </c>
      <c r="D615" s="7">
        <f>KIAF09!C95</f>
        <v>133358</v>
      </c>
      <c r="E615" s="7">
        <f>C615+D615</f>
        <v>1476686</v>
      </c>
    </row>
    <row r="616" spans="3:5" ht="12.75">
      <c r="C616" s="7"/>
      <c r="D616" s="7"/>
      <c r="E616" s="7"/>
    </row>
    <row r="617" spans="1:7" ht="12.75">
      <c r="A617" s="1" t="s">
        <v>42</v>
      </c>
      <c r="C617" s="8">
        <f>SUM(C612:C616)</f>
        <v>1556373</v>
      </c>
      <c r="D617" s="8">
        <f>SUM(D612:D616)</f>
        <v>143507</v>
      </c>
      <c r="E617" s="8">
        <f>SUM(E612:E616)</f>
        <v>1699880</v>
      </c>
      <c r="G617" s="8">
        <f>E617</f>
        <v>1699880</v>
      </c>
    </row>
    <row r="619" spans="1:7" ht="12.75">
      <c r="A619" s="1" t="s">
        <v>43</v>
      </c>
      <c r="G619" s="8">
        <f>G610+G617</f>
        <v>9727389</v>
      </c>
    </row>
    <row r="621" ht="12.75">
      <c r="A621" t="s">
        <v>45</v>
      </c>
    </row>
    <row r="622" spans="1:7" ht="12.75">
      <c r="A622" s="10" t="s">
        <v>44</v>
      </c>
      <c r="B622" s="10"/>
      <c r="C622" s="10"/>
      <c r="D622" s="10"/>
      <c r="E622" s="10"/>
      <c r="F622" s="10"/>
      <c r="G622" s="10"/>
    </row>
    <row r="623" spans="1:7" ht="12.75">
      <c r="A623" s="10" t="str">
        <f>A2</f>
        <v>Summary of Debt Service After August 1, 2015</v>
      </c>
      <c r="B623" s="10"/>
      <c r="C623" s="10"/>
      <c r="D623" s="10"/>
      <c r="E623" s="10"/>
      <c r="F623" s="10"/>
      <c r="G623" s="10"/>
    </row>
    <row r="625" ht="12.75">
      <c r="G625" s="2" t="s">
        <v>38</v>
      </c>
    </row>
    <row r="626" spans="1:7" ht="12.75">
      <c r="A626" s="2" t="s">
        <v>34</v>
      </c>
      <c r="B626" s="2" t="s">
        <v>35</v>
      </c>
      <c r="C626" s="2" t="s">
        <v>1</v>
      </c>
      <c r="D626" s="2" t="s">
        <v>3</v>
      </c>
      <c r="E626" s="2" t="s">
        <v>4</v>
      </c>
      <c r="G626" s="2" t="s">
        <v>39</v>
      </c>
    </row>
    <row r="628" ht="12.75">
      <c r="A628" s="2">
        <v>2030</v>
      </c>
    </row>
    <row r="629" spans="2:5" ht="12.75">
      <c r="B629" t="str">
        <f>B8</f>
        <v>1997 Def. 2012</v>
      </c>
      <c r="C629" s="7">
        <f>'1997'!$B112</f>
        <v>0</v>
      </c>
      <c r="D629" s="7">
        <f>'1997'!$C112</f>
        <v>0</v>
      </c>
      <c r="E629" s="7">
        <f>C629+D629</f>
        <v>0</v>
      </c>
    </row>
    <row r="630" spans="2:5" ht="12.75">
      <c r="B630" t="str">
        <f>B9</f>
        <v>1998 Def. 2012</v>
      </c>
      <c r="C630" s="7">
        <f>'1998'!B112</f>
        <v>0</v>
      </c>
      <c r="D630" s="7">
        <f>'1998'!C112</f>
        <v>0</v>
      </c>
      <c r="E630" s="7">
        <f aca="true" t="shared" si="18" ref="E630:E641">C630+D630</f>
        <v>0</v>
      </c>
    </row>
    <row r="631" spans="2:5" ht="12.75">
      <c r="B631" s="9" t="s">
        <v>20</v>
      </c>
      <c r="C631" s="7">
        <f>USDA2000!B111</f>
        <v>83000</v>
      </c>
      <c r="D631" s="7">
        <f>USDA2000!C111</f>
        <v>50475</v>
      </c>
      <c r="E631" s="7">
        <f t="shared" si="18"/>
        <v>133475</v>
      </c>
    </row>
    <row r="632" spans="2:5" ht="12.75">
      <c r="B632" t="str">
        <f>B11</f>
        <v>2001 Def. 2012</v>
      </c>
      <c r="C632" s="7">
        <f>'2001'!B112</f>
        <v>0</v>
      </c>
      <c r="D632" s="7">
        <f>'2001'!C112</f>
        <v>0</v>
      </c>
      <c r="E632" s="7">
        <f t="shared" si="18"/>
        <v>0</v>
      </c>
    </row>
    <row r="633" spans="2:5" ht="12.75">
      <c r="B633" s="9" t="str">
        <f>B12</f>
        <v>2002A Def. 2012</v>
      </c>
      <c r="C633" s="7">
        <f>'2002A'!B112</f>
        <v>0</v>
      </c>
      <c r="D633" s="7">
        <f>'2002A'!C112</f>
        <v>0</v>
      </c>
      <c r="E633" s="7">
        <f t="shared" si="18"/>
        <v>0</v>
      </c>
    </row>
    <row r="634" spans="2:5" ht="12.75">
      <c r="B634" s="9" t="str">
        <f>B13</f>
        <v>2002B Def. 2013</v>
      </c>
      <c r="C634" s="7">
        <f>'2002B'!B112</f>
        <v>0</v>
      </c>
      <c r="D634" s="7">
        <f>'2002B'!C112</f>
        <v>0</v>
      </c>
      <c r="E634" s="7">
        <f t="shared" si="18"/>
        <v>0</v>
      </c>
    </row>
    <row r="635" spans="2:5" ht="12.75">
      <c r="B635" s="9" t="str">
        <f>B14</f>
        <v>2003A def. 2013</v>
      </c>
      <c r="C635" s="7">
        <f>'2003A'!B112</f>
        <v>0</v>
      </c>
      <c r="D635" s="7">
        <f>'2003A'!C112</f>
        <v>0</v>
      </c>
      <c r="E635" s="7">
        <f t="shared" si="18"/>
        <v>0</v>
      </c>
    </row>
    <row r="636" spans="2:5" ht="12.75">
      <c r="B636" s="9" t="str">
        <f>B15</f>
        <v>2003B def. 2013</v>
      </c>
      <c r="C636" s="7">
        <f>'2003B'!B12</f>
        <v>0</v>
      </c>
      <c r="D636" s="7">
        <f>'2003B'!C112</f>
        <v>0</v>
      </c>
      <c r="E636" s="7">
        <f t="shared" si="18"/>
        <v>0</v>
      </c>
    </row>
    <row r="637" spans="2:5" ht="12.75">
      <c r="B637" s="9" t="str">
        <f>B109</f>
        <v>2003C def 2014</v>
      </c>
      <c r="C637" s="7">
        <f>'2003C'!B112</f>
        <v>0</v>
      </c>
      <c r="D637" s="7">
        <f>'2003C'!C112</f>
        <v>0</v>
      </c>
      <c r="E637" s="7">
        <f t="shared" si="18"/>
        <v>0</v>
      </c>
    </row>
    <row r="638" spans="2:5" ht="12.75">
      <c r="B638" s="9" t="str">
        <f>B110</f>
        <v>2004 def 2014</v>
      </c>
      <c r="C638" s="7">
        <f>'2004'!B112</f>
        <v>0</v>
      </c>
      <c r="D638" s="7">
        <f>'2004'!C112</f>
        <v>0</v>
      </c>
      <c r="E638" s="7">
        <f t="shared" si="18"/>
        <v>0</v>
      </c>
    </row>
    <row r="639" spans="2:5" ht="12.75">
      <c r="B639">
        <v>2006</v>
      </c>
      <c r="C639" s="7">
        <f>'2006'!B112</f>
        <v>1795000</v>
      </c>
      <c r="D639" s="7">
        <f>'2006'!C112</f>
        <v>121516</v>
      </c>
      <c r="E639" s="7">
        <f t="shared" si="18"/>
        <v>1916516</v>
      </c>
    </row>
    <row r="640" spans="2:5" ht="12.75">
      <c r="B640">
        <v>2009</v>
      </c>
      <c r="C640" s="7">
        <f>'2009'!B112</f>
        <v>1745000</v>
      </c>
      <c r="D640" s="7">
        <f>'2009'!C112</f>
        <v>429176</v>
      </c>
      <c r="E640" s="7">
        <f t="shared" si="18"/>
        <v>2174176</v>
      </c>
    </row>
    <row r="641" spans="2:5" ht="12.75">
      <c r="B641">
        <v>2011</v>
      </c>
      <c r="C641" s="7">
        <f>'2011'!B112</f>
        <v>1590000</v>
      </c>
      <c r="D641" s="7">
        <f>'2011'!C112</f>
        <v>486975</v>
      </c>
      <c r="E641" s="7">
        <f t="shared" si="18"/>
        <v>2076975</v>
      </c>
    </row>
    <row r="642" spans="2:5" ht="12.75">
      <c r="B642">
        <f>B47</f>
        <v>2012</v>
      </c>
      <c r="C642" s="7">
        <f>'2012'!B112</f>
        <v>0</v>
      </c>
      <c r="D642" s="7">
        <f>'2012'!C112</f>
        <v>0</v>
      </c>
      <c r="E642" s="7">
        <f>C642+D642</f>
        <v>0</v>
      </c>
    </row>
    <row r="643" spans="2:5" ht="12.75">
      <c r="B643" s="9" t="s">
        <v>59</v>
      </c>
      <c r="C643" s="7">
        <f>'2013A'!B112</f>
        <v>1205000</v>
      </c>
      <c r="D643" s="7">
        <f>'2013A'!C112</f>
        <v>523526</v>
      </c>
      <c r="E643" s="7">
        <f>C643+D643</f>
        <v>1728526</v>
      </c>
    </row>
    <row r="644" spans="2:5" ht="12.75">
      <c r="B644" s="9" t="s">
        <v>60</v>
      </c>
      <c r="C644" s="7">
        <f>'2013B'!B112</f>
        <v>0</v>
      </c>
      <c r="D644" s="7">
        <f>'2013B'!C112</f>
        <v>0</v>
      </c>
      <c r="E644" s="7">
        <f>C644+D644</f>
        <v>0</v>
      </c>
    </row>
    <row r="645" spans="2:5" ht="12.75">
      <c r="B645" s="9" t="s">
        <v>71</v>
      </c>
      <c r="C645" s="7">
        <f>'2014B'!B170</f>
        <v>0</v>
      </c>
      <c r="D645" s="7">
        <f>'2014B'!C170</f>
        <v>0</v>
      </c>
      <c r="E645" s="7">
        <f>'2014B'!D170</f>
        <v>0</v>
      </c>
    </row>
    <row r="646" spans="3:5" ht="12.75">
      <c r="C646" s="7"/>
      <c r="D646" s="7"/>
      <c r="E646" s="7"/>
    </row>
    <row r="647" spans="1:7" ht="12.75">
      <c r="A647" s="1" t="s">
        <v>37</v>
      </c>
      <c r="C647" s="8">
        <f>SUM(C629:C645)</f>
        <v>6418000</v>
      </c>
      <c r="D647" s="8">
        <f>SUM(D629:D645)</f>
        <v>1611668</v>
      </c>
      <c r="E647" s="8">
        <f>SUM(E629:E645)</f>
        <v>8029668</v>
      </c>
      <c r="G647" s="8">
        <f>E647</f>
        <v>8029668</v>
      </c>
    </row>
    <row r="648" spans="3:5" ht="12.75">
      <c r="C648" s="7"/>
      <c r="D648" s="7"/>
      <c r="E648" s="7"/>
    </row>
    <row r="649" spans="2:5" ht="12.75">
      <c r="B649" t="s">
        <v>40</v>
      </c>
      <c r="C649" s="7">
        <f>KIAF06!B112</f>
        <v>0</v>
      </c>
      <c r="D649" s="7">
        <f>KIAF06!C112</f>
        <v>0</v>
      </c>
      <c r="E649" s="7">
        <f>C649+D649</f>
        <v>0</v>
      </c>
    </row>
    <row r="650" spans="2:5" ht="12.75">
      <c r="B650" t="s">
        <v>41</v>
      </c>
      <c r="C650" s="7">
        <f>KIAC08!B441</f>
        <v>0</v>
      </c>
      <c r="D650" s="7">
        <f>KIAC08!C441</f>
        <v>0</v>
      </c>
      <c r="E650" s="7">
        <f>C650+D650</f>
        <v>0</v>
      </c>
    </row>
    <row r="651" spans="2:5" ht="12.75">
      <c r="B651" t="s">
        <v>64</v>
      </c>
      <c r="C651" s="7">
        <f>KIAF08!B112</f>
        <v>215181</v>
      </c>
      <c r="D651" s="7">
        <f>KIAF08!C112</f>
        <v>7480</v>
      </c>
      <c r="E651" s="7">
        <f>C651+D651</f>
        <v>222661</v>
      </c>
    </row>
    <row r="652" spans="2:5" ht="12.75">
      <c r="B652" t="s">
        <v>58</v>
      </c>
      <c r="C652" s="7">
        <f>KIAF09!B107</f>
        <v>1370329</v>
      </c>
      <c r="D652" s="7">
        <f>KIAF09!C107</f>
        <v>102982.23999999999</v>
      </c>
      <c r="E652" s="7">
        <f>C652+D652</f>
        <v>1473311.24</v>
      </c>
    </row>
    <row r="653" spans="3:5" ht="12.75">
      <c r="C653" s="7"/>
      <c r="D653" s="7"/>
      <c r="E653" s="7"/>
    </row>
    <row r="654" spans="1:7" ht="12.75">
      <c r="A654" s="1" t="s">
        <v>42</v>
      </c>
      <c r="C654" s="8">
        <f>SUM(C649:C653)</f>
        <v>1585510</v>
      </c>
      <c r="D654" s="8">
        <f>SUM(D649:D653)</f>
        <v>110462.23999999999</v>
      </c>
      <c r="E654" s="8">
        <f>SUM(E649:E653)</f>
        <v>1695972.24</v>
      </c>
      <c r="G654" s="8">
        <f>E654</f>
        <v>1695972.24</v>
      </c>
    </row>
    <row r="656" spans="1:7" ht="12.75">
      <c r="A656" s="1" t="s">
        <v>43</v>
      </c>
      <c r="G656" s="8">
        <f>G647+G654</f>
        <v>9725640.24</v>
      </c>
    </row>
    <row r="658" ht="12.75">
      <c r="G658" s="2" t="s">
        <v>38</v>
      </c>
    </row>
    <row r="659" spans="1:7" ht="12.75">
      <c r="A659" s="2" t="s">
        <v>34</v>
      </c>
      <c r="B659" s="2" t="s">
        <v>35</v>
      </c>
      <c r="C659" s="2" t="s">
        <v>1</v>
      </c>
      <c r="D659" s="2" t="s">
        <v>3</v>
      </c>
      <c r="E659" s="2" t="s">
        <v>4</v>
      </c>
      <c r="G659" s="2" t="s">
        <v>39</v>
      </c>
    </row>
    <row r="661" ht="12.75">
      <c r="A661" s="2">
        <v>2031</v>
      </c>
    </row>
    <row r="662" spans="2:5" ht="12.75">
      <c r="B662" t="str">
        <f>B8</f>
        <v>1997 Def. 2012</v>
      </c>
      <c r="C662" s="7">
        <f>'1997'!$B$117</f>
        <v>0</v>
      </c>
      <c r="D662" s="7">
        <f>'1997'!$C$117</f>
        <v>0</v>
      </c>
      <c r="E662" s="7">
        <f>C662+D662</f>
        <v>0</v>
      </c>
    </row>
    <row r="663" spans="2:5" ht="12.75">
      <c r="B663" t="str">
        <f>B9</f>
        <v>1998 Def. 2012</v>
      </c>
      <c r="C663" s="7">
        <f>'1998'!B117</f>
        <v>0</v>
      </c>
      <c r="D663" s="7">
        <f>'1998'!C117</f>
        <v>0</v>
      </c>
      <c r="E663" s="7">
        <f aca="true" t="shared" si="19" ref="E663:E674">C663+D663</f>
        <v>0</v>
      </c>
    </row>
    <row r="664" spans="2:5" ht="12.75">
      <c r="B664" s="9" t="s">
        <v>20</v>
      </c>
      <c r="C664" s="7">
        <f>USDA2000!B116</f>
        <v>87000</v>
      </c>
      <c r="D664" s="7">
        <f>USDA2000!C116</f>
        <v>46225</v>
      </c>
      <c r="E664" s="7">
        <f t="shared" si="19"/>
        <v>133225</v>
      </c>
    </row>
    <row r="665" spans="2:5" ht="12.75">
      <c r="B665" t="str">
        <f>B11</f>
        <v>2001 Def. 2012</v>
      </c>
      <c r="C665" s="7">
        <f>'2001'!B117</f>
        <v>0</v>
      </c>
      <c r="D665" s="7">
        <f>'2001'!C117</f>
        <v>0</v>
      </c>
      <c r="E665" s="7">
        <f t="shared" si="19"/>
        <v>0</v>
      </c>
    </row>
    <row r="666" spans="2:5" ht="12.75">
      <c r="B666" s="9" t="str">
        <f>B12</f>
        <v>2002A Def. 2012</v>
      </c>
      <c r="C666" s="7">
        <f>'2002A'!B117</f>
        <v>0</v>
      </c>
      <c r="D666" s="7">
        <f>'2002A'!C117</f>
        <v>0</v>
      </c>
      <c r="E666" s="7">
        <f t="shared" si="19"/>
        <v>0</v>
      </c>
    </row>
    <row r="667" spans="2:5" ht="12.75">
      <c r="B667" s="9" t="str">
        <f>B13</f>
        <v>2002B Def. 2013</v>
      </c>
      <c r="C667" s="7">
        <f>'2002B'!B117</f>
        <v>0</v>
      </c>
      <c r="D667" s="7">
        <f>'2002B'!C117</f>
        <v>0</v>
      </c>
      <c r="E667" s="7">
        <f t="shared" si="19"/>
        <v>0</v>
      </c>
    </row>
    <row r="668" spans="2:5" ht="12.75">
      <c r="B668" s="9" t="str">
        <f>B14</f>
        <v>2003A def. 2013</v>
      </c>
      <c r="C668" s="7">
        <f>'2003A'!B117</f>
        <v>0</v>
      </c>
      <c r="D668" s="7">
        <f>'2003A'!C117</f>
        <v>0</v>
      </c>
      <c r="E668" s="7">
        <f t="shared" si="19"/>
        <v>0</v>
      </c>
    </row>
    <row r="669" spans="2:5" ht="12.75">
      <c r="B669" s="9" t="str">
        <f>B15</f>
        <v>2003B def. 2013</v>
      </c>
      <c r="C669" s="7">
        <f>'2003B'!B117</f>
        <v>0</v>
      </c>
      <c r="D669" s="7">
        <f>'2003B'!C117</f>
        <v>0</v>
      </c>
      <c r="E669" s="7">
        <f t="shared" si="19"/>
        <v>0</v>
      </c>
    </row>
    <row r="670" spans="2:5" ht="12.75">
      <c r="B670" s="9" t="str">
        <f>B109</f>
        <v>2003C def 2014</v>
      </c>
      <c r="C670" s="7">
        <f>'2003C'!B117</f>
        <v>0</v>
      </c>
      <c r="D670" s="7">
        <f>'2003C'!C117</f>
        <v>0</v>
      </c>
      <c r="E670" s="7">
        <f t="shared" si="19"/>
        <v>0</v>
      </c>
    </row>
    <row r="671" spans="2:5" ht="12.75">
      <c r="B671" s="9" t="str">
        <f>B110</f>
        <v>2004 def 2014</v>
      </c>
      <c r="C671" s="7">
        <f>'2004'!B117</f>
        <v>0</v>
      </c>
      <c r="D671" s="7">
        <f>'2004'!C117</f>
        <v>0</v>
      </c>
      <c r="E671" s="7">
        <f t="shared" si="19"/>
        <v>0</v>
      </c>
    </row>
    <row r="672" spans="2:5" ht="12.75">
      <c r="B672">
        <v>2006</v>
      </c>
      <c r="C672" s="7">
        <f>'2006'!B117</f>
        <v>1880000</v>
      </c>
      <c r="D672" s="7">
        <f>'2006'!C117</f>
        <v>41125</v>
      </c>
      <c r="E672" s="7">
        <f t="shared" si="19"/>
        <v>1921125</v>
      </c>
    </row>
    <row r="673" spans="2:5" ht="12.75">
      <c r="B673">
        <v>2009</v>
      </c>
      <c r="C673" s="7">
        <f>'2009'!B117</f>
        <v>1855000</v>
      </c>
      <c r="D673" s="7">
        <f>'2009'!C117</f>
        <v>321176</v>
      </c>
      <c r="E673" s="7">
        <f t="shared" si="19"/>
        <v>2176176</v>
      </c>
    </row>
    <row r="674" spans="2:5" ht="12.75">
      <c r="B674">
        <v>2011</v>
      </c>
      <c r="C674" s="7">
        <f>'2011'!B117</f>
        <v>1660000</v>
      </c>
      <c r="D674" s="7">
        <f>'2011'!C117</f>
        <v>413850</v>
      </c>
      <c r="E674" s="7">
        <f t="shared" si="19"/>
        <v>2073850</v>
      </c>
    </row>
    <row r="675" spans="2:5" ht="12.75">
      <c r="B675">
        <f>B47</f>
        <v>2012</v>
      </c>
      <c r="C675" s="7">
        <f>'2012'!B117</f>
        <v>0</v>
      </c>
      <c r="D675" s="7">
        <f>'2012'!C117</f>
        <v>0</v>
      </c>
      <c r="E675" s="7">
        <f>C675+D675</f>
        <v>0</v>
      </c>
    </row>
    <row r="676" spans="2:5" ht="12.75">
      <c r="B676" s="9" t="s">
        <v>59</v>
      </c>
      <c r="C676" s="7">
        <f>'2013A'!B117</f>
        <v>1255000</v>
      </c>
      <c r="D676" s="7">
        <f>'2013A'!C117</f>
        <v>473541</v>
      </c>
      <c r="E676" s="7">
        <f>C676+D676</f>
        <v>1728541</v>
      </c>
    </row>
    <row r="677" spans="2:5" ht="12.75">
      <c r="B677" s="9" t="s">
        <v>60</v>
      </c>
      <c r="C677" s="7">
        <f>'2013B'!B117</f>
        <v>0</v>
      </c>
      <c r="D677" s="7">
        <f>'2013B'!C117</f>
        <v>0</v>
      </c>
      <c r="E677" s="7">
        <f>C677+D677</f>
        <v>0</v>
      </c>
    </row>
    <row r="678" spans="2:5" ht="12.75">
      <c r="B678" s="9" t="s">
        <v>71</v>
      </c>
      <c r="C678" s="7">
        <f>'2014B'!B203</f>
        <v>0</v>
      </c>
      <c r="D678" s="7">
        <f>'2014B'!C203</f>
        <v>0</v>
      </c>
      <c r="E678" s="7">
        <f>'2014B'!D203</f>
        <v>0</v>
      </c>
    </row>
    <row r="679" spans="3:5" ht="12.75">
      <c r="C679" s="7"/>
      <c r="D679" s="7"/>
      <c r="E679" s="7"/>
    </row>
    <row r="680" spans="1:7" ht="12.75">
      <c r="A680" s="1" t="s">
        <v>37</v>
      </c>
      <c r="C680" s="8">
        <f>SUM(C662:C678)</f>
        <v>6737000</v>
      </c>
      <c r="D680" s="8">
        <f>SUM(D662:D678)</f>
        <v>1295917</v>
      </c>
      <c r="E680" s="8">
        <f>SUM(E662:E678)</f>
        <v>8032917</v>
      </c>
      <c r="G680" s="8">
        <f>E680</f>
        <v>8032917</v>
      </c>
    </row>
    <row r="681" spans="3:5" ht="12.75">
      <c r="C681" s="7"/>
      <c r="D681" s="7"/>
      <c r="E681" s="7"/>
    </row>
    <row r="682" spans="2:5" ht="12.75">
      <c r="B682" t="s">
        <v>40</v>
      </c>
      <c r="C682" s="7">
        <f>KIAF06!B158</f>
        <v>0</v>
      </c>
      <c r="D682" s="7">
        <f>KIAF06!C158</f>
        <v>0</v>
      </c>
      <c r="E682" s="7">
        <f>C682+D682</f>
        <v>0</v>
      </c>
    </row>
    <row r="683" spans="2:5" ht="12.75">
      <c r="B683" t="s">
        <v>41</v>
      </c>
      <c r="C683" s="7">
        <f>KIAC08!B484</f>
        <v>0</v>
      </c>
      <c r="D683" s="7">
        <f>KIAC08!C484</f>
        <v>0</v>
      </c>
      <c r="E683" s="7">
        <f>C683+D683</f>
        <v>0</v>
      </c>
    </row>
    <row r="684" spans="2:5" ht="12.75">
      <c r="B684" t="s">
        <v>64</v>
      </c>
      <c r="C684" s="7">
        <f>KIAF08!B117</f>
        <v>217338</v>
      </c>
      <c r="D684" s="7">
        <f>KIAF08!C117</f>
        <v>4783</v>
      </c>
      <c r="E684" s="7">
        <f>C684+D684</f>
        <v>222121</v>
      </c>
    </row>
    <row r="685" spans="2:5" ht="12.75">
      <c r="B685" t="s">
        <v>58</v>
      </c>
      <c r="C685" s="7">
        <f>KIAF09!B112</f>
        <v>1397873</v>
      </c>
      <c r="D685" s="7">
        <f>KIAF09!C112</f>
        <v>71996</v>
      </c>
      <c r="E685" s="7">
        <f>C685+D685</f>
        <v>1469869</v>
      </c>
    </row>
    <row r="686" spans="3:5" ht="12.75">
      <c r="C686" s="7"/>
      <c r="D686" s="7"/>
      <c r="E686" s="7"/>
    </row>
    <row r="687" spans="1:7" ht="12.75">
      <c r="A687" s="1" t="s">
        <v>42</v>
      </c>
      <c r="C687" s="8">
        <f>SUM(C682:C686)</f>
        <v>1615211</v>
      </c>
      <c r="D687" s="8">
        <f>SUM(D682:D686)</f>
        <v>76779</v>
      </c>
      <c r="E687" s="8">
        <f>SUM(E682:E686)</f>
        <v>1691990</v>
      </c>
      <c r="G687" s="8">
        <f>E687</f>
        <v>1691990</v>
      </c>
    </row>
    <row r="689" spans="1:7" ht="12.75">
      <c r="A689" s="1" t="s">
        <v>43</v>
      </c>
      <c r="G689" s="8">
        <f>G680+G687</f>
        <v>9724907</v>
      </c>
    </row>
    <row r="691" ht="12.75">
      <c r="A691" t="s">
        <v>45</v>
      </c>
    </row>
    <row r="692" spans="1:7" ht="12.75">
      <c r="A692" s="10" t="s">
        <v>44</v>
      </c>
      <c r="B692" s="10"/>
      <c r="C692" s="10"/>
      <c r="D692" s="10"/>
      <c r="E692" s="10"/>
      <c r="F692" s="10"/>
      <c r="G692" s="10"/>
    </row>
    <row r="693" spans="1:7" ht="12.75">
      <c r="A693" s="10" t="str">
        <f>A2</f>
        <v>Summary of Debt Service After August 1, 2015</v>
      </c>
      <c r="B693" s="10"/>
      <c r="C693" s="10"/>
      <c r="D693" s="10"/>
      <c r="E693" s="10"/>
      <c r="F693" s="10"/>
      <c r="G693" s="10"/>
    </row>
    <row r="695" ht="12.75">
      <c r="G695" s="2" t="s">
        <v>38</v>
      </c>
    </row>
    <row r="696" spans="1:7" ht="12.75">
      <c r="A696" s="2" t="s">
        <v>34</v>
      </c>
      <c r="B696" s="2" t="s">
        <v>35</v>
      </c>
      <c r="C696" s="2" t="s">
        <v>1</v>
      </c>
      <c r="D696" s="2" t="s">
        <v>3</v>
      </c>
      <c r="E696" s="2" t="s">
        <v>4</v>
      </c>
      <c r="G696" s="2" t="s">
        <v>39</v>
      </c>
    </row>
    <row r="698" ht="12.75">
      <c r="A698" s="2">
        <v>2032</v>
      </c>
    </row>
    <row r="699" spans="2:5" ht="12.75">
      <c r="B699" t="str">
        <f>B8</f>
        <v>1997 Def. 2012</v>
      </c>
      <c r="C699" s="7">
        <f>'1997'!$B122</f>
        <v>0</v>
      </c>
      <c r="D699" s="7">
        <f>'1997'!$C122</f>
        <v>0</v>
      </c>
      <c r="E699" s="7">
        <f>C699+D699</f>
        <v>0</v>
      </c>
    </row>
    <row r="700" spans="2:5" ht="12.75">
      <c r="B700" t="str">
        <f>B9</f>
        <v>1998 Def. 2012</v>
      </c>
      <c r="C700" s="7">
        <f>'1998'!B122</f>
        <v>0</v>
      </c>
      <c r="D700" s="7">
        <f>'1998'!C122</f>
        <v>0</v>
      </c>
      <c r="E700" s="7">
        <f aca="true" t="shared" si="20" ref="E700:E711">C700+D700</f>
        <v>0</v>
      </c>
    </row>
    <row r="701" spans="2:5" ht="12.75">
      <c r="B701" s="9" t="s">
        <v>20</v>
      </c>
      <c r="C701" s="7">
        <f>USDA2000!B121</f>
        <v>92000</v>
      </c>
      <c r="D701" s="7">
        <f>USDA2000!C121</f>
        <v>41750</v>
      </c>
      <c r="E701" s="7">
        <f t="shared" si="20"/>
        <v>133750</v>
      </c>
    </row>
    <row r="702" spans="2:5" ht="12.75">
      <c r="B702" t="str">
        <f>B11</f>
        <v>2001 Def. 2012</v>
      </c>
      <c r="C702" s="7">
        <f>'2001'!B122</f>
        <v>0</v>
      </c>
      <c r="D702" s="7">
        <f>'2001'!C122</f>
        <v>0</v>
      </c>
      <c r="E702" s="7">
        <f t="shared" si="20"/>
        <v>0</v>
      </c>
    </row>
    <row r="703" spans="2:5" ht="12.75">
      <c r="B703" s="9" t="str">
        <f>B12</f>
        <v>2002A Def. 2012</v>
      </c>
      <c r="C703" s="7">
        <f>'2002A'!B122</f>
        <v>0</v>
      </c>
      <c r="D703" s="7">
        <f>'2002A'!C122</f>
        <v>0</v>
      </c>
      <c r="E703" s="7">
        <f t="shared" si="20"/>
        <v>0</v>
      </c>
    </row>
    <row r="704" spans="2:5" ht="12.75">
      <c r="B704" s="9" t="str">
        <f>B13</f>
        <v>2002B Def. 2013</v>
      </c>
      <c r="C704" s="7">
        <f>'2002B'!B122</f>
        <v>0</v>
      </c>
      <c r="D704" s="7">
        <f>'2002B'!C122</f>
        <v>0</v>
      </c>
      <c r="E704" s="7">
        <f t="shared" si="20"/>
        <v>0</v>
      </c>
    </row>
    <row r="705" spans="2:5" ht="12.75">
      <c r="B705" s="9" t="str">
        <f>B14</f>
        <v>2003A def. 2013</v>
      </c>
      <c r="C705" s="7">
        <f>'2003A'!B122</f>
        <v>0</v>
      </c>
      <c r="D705" s="7">
        <f>'2003A'!C122</f>
        <v>0</v>
      </c>
      <c r="E705" s="7">
        <f t="shared" si="20"/>
        <v>0</v>
      </c>
    </row>
    <row r="706" spans="2:5" ht="12.75">
      <c r="B706" s="9" t="str">
        <f>B15</f>
        <v>2003B def. 2013</v>
      </c>
      <c r="C706" s="7">
        <f>'2003B'!B122</f>
        <v>0</v>
      </c>
      <c r="D706" s="7">
        <f>'2003B'!C122</f>
        <v>0</v>
      </c>
      <c r="E706" s="7">
        <f t="shared" si="20"/>
        <v>0</v>
      </c>
    </row>
    <row r="707" spans="2:5" ht="12.75">
      <c r="B707" s="9" t="str">
        <f>B109</f>
        <v>2003C def 2014</v>
      </c>
      <c r="C707" s="7">
        <f>'2003C'!B122</f>
        <v>0</v>
      </c>
      <c r="D707" s="7">
        <f>'2003C'!C122</f>
        <v>0</v>
      </c>
      <c r="E707" s="7">
        <f t="shared" si="20"/>
        <v>0</v>
      </c>
    </row>
    <row r="708" spans="2:5" ht="12.75">
      <c r="B708" s="9" t="str">
        <f>B110</f>
        <v>2004 def 2014</v>
      </c>
      <c r="C708" s="7">
        <f>'2004'!B122</f>
        <v>0</v>
      </c>
      <c r="D708" s="7">
        <f>'2004'!C122</f>
        <v>0</v>
      </c>
      <c r="E708" s="7">
        <f t="shared" si="20"/>
        <v>0</v>
      </c>
    </row>
    <row r="709" spans="2:5" ht="12.75">
      <c r="B709">
        <v>2006</v>
      </c>
      <c r="C709" s="7">
        <f>'2006'!B122</f>
        <v>0</v>
      </c>
      <c r="D709" s="7">
        <f>'2006'!C122</f>
        <v>0</v>
      </c>
      <c r="E709" s="7">
        <f t="shared" si="20"/>
        <v>0</v>
      </c>
    </row>
    <row r="710" spans="2:5" ht="12.75">
      <c r="B710">
        <v>2009</v>
      </c>
      <c r="C710" s="7">
        <f>'2009'!B122</f>
        <v>1975000</v>
      </c>
      <c r="D710" s="7">
        <f>'2009'!C122</f>
        <v>201338</v>
      </c>
      <c r="E710" s="7">
        <f t="shared" si="20"/>
        <v>2176338</v>
      </c>
    </row>
    <row r="711" spans="2:5" ht="12.75">
      <c r="B711">
        <v>2011</v>
      </c>
      <c r="C711" s="7">
        <f>'2011'!B122</f>
        <v>1745000</v>
      </c>
      <c r="D711" s="7">
        <f>'2011'!C122</f>
        <v>332875</v>
      </c>
      <c r="E711" s="7">
        <f t="shared" si="20"/>
        <v>2077875</v>
      </c>
    </row>
    <row r="712" spans="2:5" ht="12.75">
      <c r="B712">
        <f>B47</f>
        <v>2012</v>
      </c>
      <c r="C712" s="7">
        <f>'2012'!B122</f>
        <v>0</v>
      </c>
      <c r="D712" s="7">
        <f>'2012'!C122</f>
        <v>0</v>
      </c>
      <c r="E712" s="7">
        <f>C712+D712</f>
        <v>0</v>
      </c>
    </row>
    <row r="713" spans="2:5" ht="12.75">
      <c r="B713" s="9" t="s">
        <v>59</v>
      </c>
      <c r="C713" s="7">
        <f>'2013A'!B122</f>
        <v>1310000</v>
      </c>
      <c r="D713" s="7">
        <f>'2013A'!C122</f>
        <v>418181</v>
      </c>
      <c r="E713" s="7">
        <f>C713+D713</f>
        <v>1728181</v>
      </c>
    </row>
    <row r="714" spans="2:5" ht="12.75">
      <c r="B714" s="9" t="s">
        <v>60</v>
      </c>
      <c r="C714" s="7">
        <f>'2013B'!B122</f>
        <v>0</v>
      </c>
      <c r="D714" s="7">
        <f>'2013B'!C122</f>
        <v>0</v>
      </c>
      <c r="E714" s="7">
        <f>C714+D714</f>
        <v>0</v>
      </c>
    </row>
    <row r="715" spans="2:5" ht="12.75">
      <c r="B715" s="9" t="s">
        <v>71</v>
      </c>
      <c r="C715" s="7">
        <f>'2014B'!B240</f>
        <v>0</v>
      </c>
      <c r="D715" s="7">
        <f>'2014B'!C240</f>
        <v>0</v>
      </c>
      <c r="E715" s="7">
        <f>'2014B'!D240</f>
        <v>0</v>
      </c>
    </row>
    <row r="716" spans="3:5" ht="12.75">
      <c r="C716" s="7"/>
      <c r="D716" s="7"/>
      <c r="E716" s="7"/>
    </row>
    <row r="717" spans="1:7" ht="12.75">
      <c r="A717" s="1" t="s">
        <v>37</v>
      </c>
      <c r="C717" s="8">
        <f>SUM(C699:C715)</f>
        <v>5122000</v>
      </c>
      <c r="D717" s="8">
        <f>SUM(D699:D715)</f>
        <v>994144</v>
      </c>
      <c r="E717" s="8">
        <f>SUM(E699:E715)</f>
        <v>6116144</v>
      </c>
      <c r="G717" s="8">
        <f>E717</f>
        <v>6116144</v>
      </c>
    </row>
    <row r="718" spans="3:5" ht="12.75">
      <c r="C718" s="7"/>
      <c r="D718" s="7"/>
      <c r="E718" s="7"/>
    </row>
    <row r="719" spans="2:5" ht="12.75">
      <c r="B719" t="s">
        <v>40</v>
      </c>
      <c r="C719" s="7">
        <f>KIAF06!B122</f>
        <v>0</v>
      </c>
      <c r="D719" s="7">
        <f>KIAF06!C122</f>
        <v>0</v>
      </c>
      <c r="E719" s="7">
        <f>C719+D719</f>
        <v>0</v>
      </c>
    </row>
    <row r="720" spans="2:5" ht="12.75">
      <c r="B720" t="s">
        <v>41</v>
      </c>
      <c r="C720" s="7">
        <f>KIAC08!B499</f>
        <v>0</v>
      </c>
      <c r="D720" s="7">
        <f>KIAC08!C499</f>
        <v>0</v>
      </c>
      <c r="E720" s="7">
        <f>C720+D720</f>
        <v>0</v>
      </c>
    </row>
    <row r="721" spans="2:5" ht="12.75">
      <c r="B721" t="s">
        <v>64</v>
      </c>
      <c r="C721" s="7">
        <f>KIAF08!B122</f>
        <v>219516</v>
      </c>
      <c r="D721" s="7">
        <f>KIAF08!C122</f>
        <v>2060</v>
      </c>
      <c r="E721" s="7">
        <f>C721+D721</f>
        <v>221576</v>
      </c>
    </row>
    <row r="722" spans="2:5" ht="12.75">
      <c r="B722" t="s">
        <v>58</v>
      </c>
      <c r="C722" s="7">
        <f>KIAF09!B117</f>
        <v>1425970</v>
      </c>
      <c r="D722" s="7">
        <f>KIAF09!C117</f>
        <v>40387</v>
      </c>
      <c r="E722" s="7">
        <f>C722+D722</f>
        <v>1466357</v>
      </c>
    </row>
    <row r="723" spans="3:5" ht="12.75">
      <c r="C723" s="7"/>
      <c r="D723" s="7"/>
      <c r="E723" s="7"/>
    </row>
    <row r="724" spans="1:7" ht="12.75">
      <c r="A724" s="1" t="s">
        <v>42</v>
      </c>
      <c r="C724" s="8">
        <f>SUM(C719:C723)</f>
        <v>1645486</v>
      </c>
      <c r="D724" s="8">
        <f>SUM(D719:D723)</f>
        <v>42447</v>
      </c>
      <c r="E724" s="8">
        <f>SUM(E719:E723)</f>
        <v>1687933</v>
      </c>
      <c r="G724" s="8">
        <f>E724</f>
        <v>1687933</v>
      </c>
    </row>
    <row r="726" spans="1:7" ht="12.75">
      <c r="A726" s="1" t="s">
        <v>43</v>
      </c>
      <c r="G726" s="8">
        <f>G717+G724</f>
        <v>7804077</v>
      </c>
    </row>
    <row r="728" ht="12.75">
      <c r="G728" s="2" t="s">
        <v>38</v>
      </c>
    </row>
    <row r="729" spans="1:7" ht="12.75">
      <c r="A729" s="2" t="s">
        <v>34</v>
      </c>
      <c r="B729" s="2" t="s">
        <v>35</v>
      </c>
      <c r="C729" s="2" t="s">
        <v>1</v>
      </c>
      <c r="D729" s="2" t="s">
        <v>3</v>
      </c>
      <c r="E729" s="2" t="s">
        <v>4</v>
      </c>
      <c r="G729" s="2" t="s">
        <v>39</v>
      </c>
    </row>
    <row r="731" ht="12.75">
      <c r="A731" s="2">
        <v>2033</v>
      </c>
    </row>
    <row r="732" spans="2:5" ht="12.75">
      <c r="B732" t="str">
        <f>B8</f>
        <v>1997 Def. 2012</v>
      </c>
      <c r="C732" s="7">
        <f>'1997'!$B$127</f>
        <v>0</v>
      </c>
      <c r="D732" s="7">
        <f>'1997'!$C$127</f>
        <v>0</v>
      </c>
      <c r="E732" s="7">
        <f>C732+D732</f>
        <v>0</v>
      </c>
    </row>
    <row r="733" spans="2:5" ht="12.75">
      <c r="B733" t="str">
        <f>B9</f>
        <v>1998 Def. 2012</v>
      </c>
      <c r="C733" s="7">
        <f>'1998'!B127</f>
        <v>0</v>
      </c>
      <c r="D733" s="7">
        <f>'1998'!C127</f>
        <v>0</v>
      </c>
      <c r="E733" s="7">
        <f aca="true" t="shared" si="21" ref="E733:E744">C733+D733</f>
        <v>0</v>
      </c>
    </row>
    <row r="734" spans="2:5" ht="12.75">
      <c r="B734" s="9" t="s">
        <v>20</v>
      </c>
      <c r="C734" s="7">
        <f>USDA2000!B126</f>
        <v>96000</v>
      </c>
      <c r="D734" s="7">
        <f>USDA2000!C126</f>
        <v>37050</v>
      </c>
      <c r="E734" s="7">
        <f t="shared" si="21"/>
        <v>133050</v>
      </c>
    </row>
    <row r="735" spans="2:5" ht="12.75">
      <c r="B735" t="str">
        <f>B11</f>
        <v>2001 Def. 2012</v>
      </c>
      <c r="C735" s="7">
        <f>'2001'!B127</f>
        <v>0</v>
      </c>
      <c r="D735" s="7">
        <f>'2001'!C127</f>
        <v>0</v>
      </c>
      <c r="E735" s="7">
        <f t="shared" si="21"/>
        <v>0</v>
      </c>
    </row>
    <row r="736" spans="2:5" ht="12.75">
      <c r="B736" s="9" t="str">
        <f>B12</f>
        <v>2002A Def. 2012</v>
      </c>
      <c r="C736" s="7">
        <f>'2002A'!B127</f>
        <v>0</v>
      </c>
      <c r="D736" s="7">
        <f>'2002A'!C127</f>
        <v>0</v>
      </c>
      <c r="E736" s="7">
        <f t="shared" si="21"/>
        <v>0</v>
      </c>
    </row>
    <row r="737" spans="2:5" ht="12.75">
      <c r="B737" s="9" t="str">
        <f>B13</f>
        <v>2002B Def. 2013</v>
      </c>
      <c r="C737" s="7">
        <f>'2002B'!B127</f>
        <v>0</v>
      </c>
      <c r="D737" s="7">
        <f>'2002B'!C127</f>
        <v>0</v>
      </c>
      <c r="E737" s="7">
        <f t="shared" si="21"/>
        <v>0</v>
      </c>
    </row>
    <row r="738" spans="2:5" ht="12.75">
      <c r="B738" s="9" t="str">
        <f>B14</f>
        <v>2003A def. 2013</v>
      </c>
      <c r="C738" s="7">
        <f>'2003A'!B127</f>
        <v>0</v>
      </c>
      <c r="D738" s="7">
        <f>'2003A'!C127</f>
        <v>0</v>
      </c>
      <c r="E738" s="7">
        <f t="shared" si="21"/>
        <v>0</v>
      </c>
    </row>
    <row r="739" spans="2:5" ht="12.75">
      <c r="B739" s="9" t="str">
        <f>B15</f>
        <v>2003B def. 2013</v>
      </c>
      <c r="C739" s="7">
        <f>'2003B'!B127</f>
        <v>0</v>
      </c>
      <c r="D739" s="7">
        <f>'2003B'!C127</f>
        <v>0</v>
      </c>
      <c r="E739" s="7">
        <f t="shared" si="21"/>
        <v>0</v>
      </c>
    </row>
    <row r="740" spans="2:5" ht="12.75">
      <c r="B740" s="9" t="str">
        <f>B109</f>
        <v>2003C def 2014</v>
      </c>
      <c r="C740" s="7">
        <f>'2003C'!B127</f>
        <v>0</v>
      </c>
      <c r="D740" s="7">
        <f>'2003C'!C127</f>
        <v>0</v>
      </c>
      <c r="E740" s="7">
        <f t="shared" si="21"/>
        <v>0</v>
      </c>
    </row>
    <row r="741" spans="2:5" ht="12.75">
      <c r="B741" s="9" t="str">
        <f>B110</f>
        <v>2004 def 2014</v>
      </c>
      <c r="C741" s="7">
        <f>'2004'!B127</f>
        <v>0</v>
      </c>
      <c r="D741" s="7">
        <f>'2004'!C127</f>
        <v>0</v>
      </c>
      <c r="E741" s="7">
        <f t="shared" si="21"/>
        <v>0</v>
      </c>
    </row>
    <row r="742" spans="2:5" ht="12.75">
      <c r="B742">
        <v>2006</v>
      </c>
      <c r="C742" s="7">
        <f>'2006'!B127</f>
        <v>0</v>
      </c>
      <c r="D742" s="7">
        <f>'2006'!C127</f>
        <v>0</v>
      </c>
      <c r="E742" s="7">
        <f t="shared" si="21"/>
        <v>0</v>
      </c>
    </row>
    <row r="743" spans="2:5" ht="12.75">
      <c r="B743">
        <v>2009</v>
      </c>
      <c r="C743" s="7">
        <f>'2009'!B127</f>
        <v>2110000</v>
      </c>
      <c r="D743" s="7">
        <f>'2009'!C127</f>
        <v>68575</v>
      </c>
      <c r="E743" s="7">
        <f t="shared" si="21"/>
        <v>2178575</v>
      </c>
    </row>
    <row r="744" spans="2:5" ht="12.75">
      <c r="B744">
        <v>2011</v>
      </c>
      <c r="C744" s="7">
        <f>'2011'!B127</f>
        <v>1835000</v>
      </c>
      <c r="D744" s="7">
        <f>'2011'!C127</f>
        <v>243375</v>
      </c>
      <c r="E744" s="7">
        <f t="shared" si="21"/>
        <v>2078375</v>
      </c>
    </row>
    <row r="745" spans="2:5" ht="12.75">
      <c r="B745">
        <f>B47</f>
        <v>2012</v>
      </c>
      <c r="C745" s="7">
        <f>'2012'!B127</f>
        <v>0</v>
      </c>
      <c r="D745" s="7">
        <f>'2012'!C127</f>
        <v>0</v>
      </c>
      <c r="E745" s="7">
        <f>C745+D745</f>
        <v>0</v>
      </c>
    </row>
    <row r="746" spans="2:5" ht="12.75">
      <c r="B746" s="9" t="s">
        <v>59</v>
      </c>
      <c r="C746" s="7">
        <f>'2013A'!B127</f>
        <v>1370000</v>
      </c>
      <c r="D746" s="7">
        <f>'2013A'!C127</f>
        <v>357881</v>
      </c>
      <c r="E746" s="7">
        <f>C746+D746</f>
        <v>1727881</v>
      </c>
    </row>
    <row r="747" spans="2:5" ht="12.75">
      <c r="B747" s="9" t="s">
        <v>60</v>
      </c>
      <c r="C747" s="7">
        <f>'2013B'!B127</f>
        <v>0</v>
      </c>
      <c r="D747" s="7">
        <f>'2013B'!C127</f>
        <v>0</v>
      </c>
      <c r="E747" s="7">
        <f>C747+D747</f>
        <v>0</v>
      </c>
    </row>
    <row r="748" spans="2:5" ht="12.75">
      <c r="B748" s="9" t="s">
        <v>71</v>
      </c>
      <c r="C748" s="7">
        <f>'2014B'!B273</f>
        <v>0</v>
      </c>
      <c r="D748" s="7">
        <f>'2014B'!C273</f>
        <v>0</v>
      </c>
      <c r="E748" s="7">
        <f>'2014B'!D273</f>
        <v>0</v>
      </c>
    </row>
    <row r="749" spans="3:5" ht="12.75">
      <c r="C749" s="7"/>
      <c r="D749" s="7"/>
      <c r="E749" s="7"/>
    </row>
    <row r="750" spans="1:7" ht="12.75">
      <c r="A750" s="1" t="s">
        <v>37</v>
      </c>
      <c r="C750" s="8">
        <f>SUM(C732:C748)</f>
        <v>5411000</v>
      </c>
      <c r="D750" s="8">
        <f>SUM(D732:D748)</f>
        <v>706881</v>
      </c>
      <c r="E750" s="8">
        <f>SUM(E732:E748)</f>
        <v>6117881</v>
      </c>
      <c r="G750" s="8">
        <f>E750</f>
        <v>6117881</v>
      </c>
    </row>
    <row r="751" spans="3:5" ht="12.75">
      <c r="C751" s="7"/>
      <c r="D751" s="7"/>
      <c r="E751" s="7"/>
    </row>
    <row r="752" spans="2:5" ht="12.75">
      <c r="B752" t="s">
        <v>40</v>
      </c>
      <c r="C752" s="7">
        <f>KIAF06!B127</f>
        <v>0</v>
      </c>
      <c r="D752" s="7">
        <f>KIAF06!C127</f>
        <v>0</v>
      </c>
      <c r="E752" s="7">
        <f>C752+D752</f>
        <v>0</v>
      </c>
    </row>
    <row r="753" spans="2:5" ht="12.75">
      <c r="B753" t="s">
        <v>41</v>
      </c>
      <c r="C753" s="7">
        <f>KIAC08!B542</f>
        <v>0</v>
      </c>
      <c r="D753" s="7">
        <f>KIAC08!C542</f>
        <v>0</v>
      </c>
      <c r="E753" s="7">
        <f>C753+D753</f>
        <v>0</v>
      </c>
    </row>
    <row r="754" spans="2:5" ht="12.75">
      <c r="B754" t="s">
        <v>64</v>
      </c>
      <c r="C754" s="7">
        <f>KIAF08!B154</f>
        <v>0</v>
      </c>
      <c r="D754" s="7">
        <f>KIAF08!C154</f>
        <v>0</v>
      </c>
      <c r="E754" s="7">
        <f>C754+D754</f>
        <v>0</v>
      </c>
    </row>
    <row r="755" spans="2:5" ht="12.75">
      <c r="B755" t="s">
        <v>58</v>
      </c>
      <c r="C755" s="7">
        <f>KIAF09!B122</f>
        <v>723695</v>
      </c>
      <c r="D755" s="7">
        <f>KIAF09!C122</f>
        <v>8141</v>
      </c>
      <c r="E755" s="7">
        <f>C755+D755</f>
        <v>731836</v>
      </c>
    </row>
    <row r="756" spans="3:5" ht="12.75">
      <c r="C756" s="7"/>
      <c r="D756" s="7"/>
      <c r="E756" s="7"/>
    </row>
    <row r="757" spans="1:7" ht="12.75">
      <c r="A757" s="1" t="s">
        <v>42</v>
      </c>
      <c r="C757" s="8">
        <f>SUM(C752:C756)</f>
        <v>723695</v>
      </c>
      <c r="D757" s="8">
        <f>SUM(D752:D756)</f>
        <v>8141</v>
      </c>
      <c r="E757" s="8">
        <f>SUM(E752:E756)</f>
        <v>731836</v>
      </c>
      <c r="G757" s="8">
        <f>E757</f>
        <v>731836</v>
      </c>
    </row>
    <row r="759" spans="1:7" ht="12.75">
      <c r="A759" s="1" t="s">
        <v>43</v>
      </c>
      <c r="G759" s="8">
        <f>G750+G757</f>
        <v>6849717</v>
      </c>
    </row>
    <row r="761" ht="12.75">
      <c r="A761" t="s">
        <v>45</v>
      </c>
    </row>
    <row r="762" spans="1:7" ht="12.75">
      <c r="A762" s="10" t="s">
        <v>44</v>
      </c>
      <c r="B762" s="10"/>
      <c r="C762" s="10"/>
      <c r="D762" s="10"/>
      <c r="E762" s="10"/>
      <c r="F762" s="10"/>
      <c r="G762" s="10"/>
    </row>
    <row r="763" spans="1:7" ht="12.75">
      <c r="A763" s="10" t="str">
        <f>A2</f>
        <v>Summary of Debt Service After August 1, 2015</v>
      </c>
      <c r="B763" s="10"/>
      <c r="C763" s="10"/>
      <c r="D763" s="10"/>
      <c r="E763" s="10"/>
      <c r="F763" s="10"/>
      <c r="G763" s="10"/>
    </row>
    <row r="765" ht="12.75">
      <c r="G765" s="2" t="s">
        <v>38</v>
      </c>
    </row>
    <row r="766" spans="1:7" ht="12.75">
      <c r="A766" s="2" t="s">
        <v>34</v>
      </c>
      <c r="B766" s="2" t="s">
        <v>35</v>
      </c>
      <c r="C766" s="2" t="s">
        <v>1</v>
      </c>
      <c r="D766" s="2" t="s">
        <v>3</v>
      </c>
      <c r="E766" s="2" t="s">
        <v>4</v>
      </c>
      <c r="G766" s="2" t="s">
        <v>39</v>
      </c>
    </row>
    <row r="768" ht="12.75">
      <c r="A768" s="2">
        <v>2034</v>
      </c>
    </row>
    <row r="769" spans="2:5" ht="12.75">
      <c r="B769" t="str">
        <f>B8</f>
        <v>1997 Def. 2012</v>
      </c>
      <c r="C769" s="7">
        <f>'1997'!$B132</f>
        <v>0</v>
      </c>
      <c r="D769" s="7">
        <f>'1997'!$C132</f>
        <v>0</v>
      </c>
      <c r="E769" s="7">
        <f>C769+D769</f>
        <v>0</v>
      </c>
    </row>
    <row r="770" spans="2:5" ht="12.75">
      <c r="B770" t="str">
        <f>B9</f>
        <v>1998 Def. 2012</v>
      </c>
      <c r="C770" s="7">
        <f>'1998'!B132</f>
        <v>0</v>
      </c>
      <c r="D770" s="7">
        <f>'1998'!C132</f>
        <v>0</v>
      </c>
      <c r="E770" s="7">
        <f aca="true" t="shared" si="22" ref="E770:E781">C770+D770</f>
        <v>0</v>
      </c>
    </row>
    <row r="771" spans="2:5" ht="12.75">
      <c r="B771" s="9" t="s">
        <v>20</v>
      </c>
      <c r="C771" s="7">
        <f>USDA2000!B131</f>
        <v>102000</v>
      </c>
      <c r="D771" s="7">
        <f>USDA2000!C131</f>
        <v>32100</v>
      </c>
      <c r="E771" s="7">
        <f t="shared" si="22"/>
        <v>134100</v>
      </c>
    </row>
    <row r="772" spans="2:5" ht="12.75">
      <c r="B772" t="str">
        <f>B11</f>
        <v>2001 Def. 2012</v>
      </c>
      <c r="C772" s="7">
        <f>'2001'!B132</f>
        <v>0</v>
      </c>
      <c r="D772" s="7">
        <f>'2001'!C132</f>
        <v>0</v>
      </c>
      <c r="E772" s="7">
        <f t="shared" si="22"/>
        <v>0</v>
      </c>
    </row>
    <row r="773" spans="2:5" ht="12.75">
      <c r="B773" s="9" t="str">
        <f>B12</f>
        <v>2002A Def. 2012</v>
      </c>
      <c r="C773" s="7">
        <f>'2002A'!B132</f>
        <v>0</v>
      </c>
      <c r="D773" s="7">
        <f>'2002A'!C132</f>
        <v>0</v>
      </c>
      <c r="E773" s="7">
        <f t="shared" si="22"/>
        <v>0</v>
      </c>
    </row>
    <row r="774" spans="2:5" ht="12.75">
      <c r="B774" s="9" t="str">
        <f>B13</f>
        <v>2002B Def. 2013</v>
      </c>
      <c r="C774" s="7">
        <f>'2002B'!B132</f>
        <v>0</v>
      </c>
      <c r="D774" s="7">
        <f>'2002B'!C132</f>
        <v>0</v>
      </c>
      <c r="E774" s="7">
        <f t="shared" si="22"/>
        <v>0</v>
      </c>
    </row>
    <row r="775" spans="2:5" ht="12.75">
      <c r="B775" s="9" t="str">
        <f>B14</f>
        <v>2003A def. 2013</v>
      </c>
      <c r="C775" s="7">
        <f>'2003A'!B132</f>
        <v>0</v>
      </c>
      <c r="D775" s="7">
        <f>'2003A'!C132</f>
        <v>0</v>
      </c>
      <c r="E775" s="7">
        <f t="shared" si="22"/>
        <v>0</v>
      </c>
    </row>
    <row r="776" spans="2:5" ht="12.75">
      <c r="B776" s="9" t="str">
        <f>B15</f>
        <v>2003B def. 2013</v>
      </c>
      <c r="C776" s="7">
        <f>'2003B'!B132</f>
        <v>0</v>
      </c>
      <c r="D776" s="7">
        <f>'2003B'!C132</f>
        <v>0</v>
      </c>
      <c r="E776" s="7">
        <f t="shared" si="22"/>
        <v>0</v>
      </c>
    </row>
    <row r="777" spans="2:5" ht="12.75">
      <c r="B777" s="9" t="str">
        <f>B109</f>
        <v>2003C def 2014</v>
      </c>
      <c r="C777" s="7">
        <f>'2003C'!B132</f>
        <v>0</v>
      </c>
      <c r="D777" s="7">
        <f>'2003C'!C132</f>
        <v>0</v>
      </c>
      <c r="E777" s="7">
        <f t="shared" si="22"/>
        <v>0</v>
      </c>
    </row>
    <row r="778" spans="2:5" ht="12.75">
      <c r="B778" s="9" t="str">
        <f>B110</f>
        <v>2004 def 2014</v>
      </c>
      <c r="C778" s="7">
        <f>'2004'!B132</f>
        <v>0</v>
      </c>
      <c r="D778" s="7">
        <f>'2004'!C132</f>
        <v>0</v>
      </c>
      <c r="E778" s="7">
        <f t="shared" si="22"/>
        <v>0</v>
      </c>
    </row>
    <row r="779" spans="2:5" ht="12.75">
      <c r="B779">
        <v>2006</v>
      </c>
      <c r="C779" s="7">
        <f>'2006'!B132</f>
        <v>0</v>
      </c>
      <c r="D779" s="7">
        <f>'2006'!C132</f>
        <v>0</v>
      </c>
      <c r="E779" s="7">
        <f t="shared" si="22"/>
        <v>0</v>
      </c>
    </row>
    <row r="780" spans="2:5" ht="12.75">
      <c r="B780">
        <v>2009</v>
      </c>
      <c r="C780" s="7">
        <f>'2009'!B132</f>
        <v>0</v>
      </c>
      <c r="D780" s="7">
        <f>'2009'!C132</f>
        <v>0</v>
      </c>
      <c r="E780" s="7">
        <f t="shared" si="22"/>
        <v>0</v>
      </c>
    </row>
    <row r="781" spans="2:5" ht="12.75">
      <c r="B781">
        <v>2011</v>
      </c>
      <c r="C781" s="7">
        <f>'2011'!B132</f>
        <v>1925000</v>
      </c>
      <c r="D781" s="7">
        <f>'2011'!C132</f>
        <v>149375</v>
      </c>
      <c r="E781" s="7">
        <f t="shared" si="22"/>
        <v>2074375</v>
      </c>
    </row>
    <row r="782" spans="2:5" ht="12.75">
      <c r="B782">
        <f>B47</f>
        <v>2012</v>
      </c>
      <c r="C782" s="7">
        <f>'2012'!B132</f>
        <v>0</v>
      </c>
      <c r="D782" s="7">
        <f>'2012'!C132</f>
        <v>0</v>
      </c>
      <c r="E782" s="7">
        <f>C782+D782</f>
        <v>0</v>
      </c>
    </row>
    <row r="783" spans="2:5" ht="12.75">
      <c r="B783" s="9" t="s">
        <v>59</v>
      </c>
      <c r="C783" s="7">
        <f>'2013A'!B132</f>
        <v>1430000</v>
      </c>
      <c r="D783" s="7">
        <f>'2013A'!C132</f>
        <v>296669</v>
      </c>
      <c r="E783" s="7">
        <f>C783+D783</f>
        <v>1726669</v>
      </c>
    </row>
    <row r="784" spans="2:5" ht="12.75">
      <c r="B784" s="9" t="s">
        <v>60</v>
      </c>
      <c r="C784" s="7">
        <f>'2013B'!B132</f>
        <v>0</v>
      </c>
      <c r="D784" s="7">
        <f>'2013B'!C132</f>
        <v>0</v>
      </c>
      <c r="E784" s="7">
        <f>C784+D784</f>
        <v>0</v>
      </c>
    </row>
    <row r="785" spans="2:5" ht="12.75">
      <c r="B785" s="9" t="s">
        <v>71</v>
      </c>
      <c r="C785" s="7">
        <f>'2014B'!B310</f>
        <v>0</v>
      </c>
      <c r="D785" s="7">
        <f>'2014B'!C310</f>
        <v>0</v>
      </c>
      <c r="E785" s="7">
        <f>'2014B'!D310</f>
        <v>0</v>
      </c>
    </row>
    <row r="786" spans="3:5" ht="12.75">
      <c r="C786" s="7"/>
      <c r="D786" s="7"/>
      <c r="E786" s="7"/>
    </row>
    <row r="787" spans="1:7" ht="12.75">
      <c r="A787" s="1" t="s">
        <v>37</v>
      </c>
      <c r="C787" s="8">
        <f>SUM(C769:C785)</f>
        <v>3457000</v>
      </c>
      <c r="D787" s="8">
        <f>SUM(D769:D785)</f>
        <v>478144</v>
      </c>
      <c r="E787" s="8">
        <f>SUM(E769:E785)</f>
        <v>3935144</v>
      </c>
      <c r="F787" s="8" t="s">
        <v>45</v>
      </c>
      <c r="G787" s="8">
        <f>E787</f>
        <v>3935144</v>
      </c>
    </row>
    <row r="788" spans="3:5" ht="12.75">
      <c r="C788" s="7"/>
      <c r="D788" s="7"/>
      <c r="E788" s="7"/>
    </row>
    <row r="789" spans="2:5" ht="12.75">
      <c r="B789" t="s">
        <v>40</v>
      </c>
      <c r="C789" s="7">
        <f>KIAF06!B132</f>
        <v>0</v>
      </c>
      <c r="D789" s="7">
        <f>KIAF06!C132</f>
        <v>0</v>
      </c>
      <c r="E789" s="7">
        <f>C789+D789</f>
        <v>0</v>
      </c>
    </row>
    <row r="790" spans="2:5" ht="12.75">
      <c r="B790" t="s">
        <v>41</v>
      </c>
      <c r="C790" s="7">
        <f>KIAC08!B557</f>
        <v>0</v>
      </c>
      <c r="D790" s="7">
        <f>KIAC08!C557</f>
        <v>0</v>
      </c>
      <c r="E790" s="7">
        <f>C790+D790</f>
        <v>0</v>
      </c>
    </row>
    <row r="791" spans="2:5" ht="12.75">
      <c r="B791" t="s">
        <v>64</v>
      </c>
      <c r="C791" s="7">
        <f>KIAF08!B190</f>
        <v>0</v>
      </c>
      <c r="D791" s="7">
        <f>KIAF08!C190</f>
        <v>0</v>
      </c>
      <c r="E791" s="7">
        <f>C791+D791</f>
        <v>0</v>
      </c>
    </row>
    <row r="792" spans="2:5" ht="12.75">
      <c r="B792" t="s">
        <v>58</v>
      </c>
      <c r="C792" s="7">
        <f>KIAF09!B127</f>
        <v>0</v>
      </c>
      <c r="D792" s="7">
        <f>KIAF09!C127</f>
        <v>0</v>
      </c>
      <c r="E792" s="7">
        <f>C792+D792</f>
        <v>0</v>
      </c>
    </row>
    <row r="793" spans="3:5" ht="12.75">
      <c r="C793" s="7"/>
      <c r="D793" s="7"/>
      <c r="E793" s="7"/>
    </row>
    <row r="794" spans="1:7" ht="12.75">
      <c r="A794" s="1" t="s">
        <v>42</v>
      </c>
      <c r="C794" s="8">
        <f>SUM(C789:C793)</f>
        <v>0</v>
      </c>
      <c r="D794" s="8">
        <f>SUM(D789:D793)</f>
        <v>0</v>
      </c>
      <c r="E794" s="8">
        <f>SUM(E789:E793)</f>
        <v>0</v>
      </c>
      <c r="G794" s="8">
        <f>E794</f>
        <v>0</v>
      </c>
    </row>
    <row r="796" spans="1:7" ht="12.75">
      <c r="A796" s="1" t="s">
        <v>43</v>
      </c>
      <c r="G796" s="8">
        <f>G787+G794</f>
        <v>3935144</v>
      </c>
    </row>
    <row r="798" ht="12.75">
      <c r="G798" s="2" t="s">
        <v>38</v>
      </c>
    </row>
    <row r="799" spans="1:7" ht="12.75">
      <c r="A799" s="2" t="s">
        <v>34</v>
      </c>
      <c r="B799" s="2" t="s">
        <v>35</v>
      </c>
      <c r="C799" s="2" t="s">
        <v>1</v>
      </c>
      <c r="D799" s="2" t="s">
        <v>3</v>
      </c>
      <c r="E799" s="2" t="s">
        <v>4</v>
      </c>
      <c r="G799" s="2" t="s">
        <v>39</v>
      </c>
    </row>
    <row r="801" ht="12.75">
      <c r="A801" s="2">
        <v>2035</v>
      </c>
    </row>
    <row r="802" spans="2:5" ht="12.75">
      <c r="B802" t="str">
        <f>B8</f>
        <v>1997 Def. 2012</v>
      </c>
      <c r="C802" s="7">
        <f>'1997'!$B$137</f>
        <v>0</v>
      </c>
      <c r="D802" s="7">
        <f>'1997'!$C$137</f>
        <v>0</v>
      </c>
      <c r="E802" s="7">
        <f>C802+D802</f>
        <v>0</v>
      </c>
    </row>
    <row r="803" spans="2:5" ht="12.75">
      <c r="B803" t="str">
        <f>B9</f>
        <v>1998 Def. 2012</v>
      </c>
      <c r="C803" s="7">
        <f>'1998'!B137</f>
        <v>0</v>
      </c>
      <c r="D803" s="7">
        <f>'1998'!C137</f>
        <v>0</v>
      </c>
      <c r="E803" s="7">
        <f aca="true" t="shared" si="23" ref="E803:E814">C803+D803</f>
        <v>0</v>
      </c>
    </row>
    <row r="804" spans="2:5" ht="12.75">
      <c r="B804" s="9" t="s">
        <v>20</v>
      </c>
      <c r="C804" s="7">
        <f>USDA2000!B136</f>
        <v>107000</v>
      </c>
      <c r="D804" s="7">
        <f>USDA2000!C136</f>
        <v>26875</v>
      </c>
      <c r="E804" s="7">
        <f t="shared" si="23"/>
        <v>133875</v>
      </c>
    </row>
    <row r="805" spans="2:5" ht="12.75">
      <c r="B805" t="str">
        <f>B11</f>
        <v>2001 Def. 2012</v>
      </c>
      <c r="C805" s="7">
        <f>'2001'!B137</f>
        <v>0</v>
      </c>
      <c r="D805" s="7">
        <f>'2001'!C137</f>
        <v>0</v>
      </c>
      <c r="E805" s="7">
        <f t="shared" si="23"/>
        <v>0</v>
      </c>
    </row>
    <row r="806" spans="2:5" ht="12.75">
      <c r="B806" s="9" t="str">
        <f>B12</f>
        <v>2002A Def. 2012</v>
      </c>
      <c r="C806" s="7">
        <f>'2002A'!B137</f>
        <v>0</v>
      </c>
      <c r="D806" s="7">
        <f>'2002A'!C137</f>
        <v>0</v>
      </c>
      <c r="E806" s="7">
        <f t="shared" si="23"/>
        <v>0</v>
      </c>
    </row>
    <row r="807" spans="2:5" ht="12.75">
      <c r="B807" s="9" t="str">
        <f>B13</f>
        <v>2002B Def. 2013</v>
      </c>
      <c r="C807" s="7">
        <f>'2002B'!B137</f>
        <v>0</v>
      </c>
      <c r="D807" s="7">
        <f>'2002B'!C137</f>
        <v>0</v>
      </c>
      <c r="E807" s="7">
        <f t="shared" si="23"/>
        <v>0</v>
      </c>
    </row>
    <row r="808" spans="2:5" ht="12.75">
      <c r="B808" s="9" t="str">
        <f>B14</f>
        <v>2003A def. 2013</v>
      </c>
      <c r="C808" s="7">
        <f>'2003A'!B137</f>
        <v>0</v>
      </c>
      <c r="D808" s="7">
        <f>'2003A'!C137</f>
        <v>0</v>
      </c>
      <c r="E808" s="7">
        <f t="shared" si="23"/>
        <v>0</v>
      </c>
    </row>
    <row r="809" spans="2:5" ht="12.75">
      <c r="B809" s="9" t="str">
        <f>B15</f>
        <v>2003B def. 2013</v>
      </c>
      <c r="C809" s="7">
        <f>'2003B'!B137</f>
        <v>0</v>
      </c>
      <c r="D809" s="7">
        <f>'2003B'!C137</f>
        <v>0</v>
      </c>
      <c r="E809" s="7">
        <f t="shared" si="23"/>
        <v>0</v>
      </c>
    </row>
    <row r="810" spans="2:5" ht="12.75">
      <c r="B810" s="9" t="s">
        <v>36</v>
      </c>
      <c r="C810" s="7">
        <f>'2003C'!B137</f>
        <v>0</v>
      </c>
      <c r="D810" s="7">
        <f>'2003C'!C137</f>
        <v>0</v>
      </c>
      <c r="E810" s="7">
        <f t="shared" si="23"/>
        <v>0</v>
      </c>
    </row>
    <row r="811" spans="2:5" ht="12.75">
      <c r="B811">
        <v>2004</v>
      </c>
      <c r="C811" s="7">
        <f>'2004'!B137</f>
        <v>0</v>
      </c>
      <c r="D811" s="7">
        <f>'2004'!C137</f>
        <v>0</v>
      </c>
      <c r="E811" s="7">
        <f t="shared" si="23"/>
        <v>0</v>
      </c>
    </row>
    <row r="812" spans="2:5" ht="12.75">
      <c r="B812">
        <v>2006</v>
      </c>
      <c r="C812" s="7">
        <f>'2006'!B137</f>
        <v>0</v>
      </c>
      <c r="D812" s="7">
        <f>'2006'!C137</f>
        <v>0</v>
      </c>
      <c r="E812" s="7">
        <f t="shared" si="23"/>
        <v>0</v>
      </c>
    </row>
    <row r="813" spans="2:5" ht="12.75">
      <c r="B813">
        <v>2009</v>
      </c>
      <c r="C813" s="7">
        <f>'2009'!B137</f>
        <v>0</v>
      </c>
      <c r="D813" s="7">
        <f>'2009'!C137</f>
        <v>0</v>
      </c>
      <c r="E813" s="7">
        <f t="shared" si="23"/>
        <v>0</v>
      </c>
    </row>
    <row r="814" spans="2:5" ht="12.75">
      <c r="B814">
        <v>2011</v>
      </c>
      <c r="C814" s="7">
        <f>'2011'!B137</f>
        <v>2025000</v>
      </c>
      <c r="D814" s="7">
        <f>'2011'!C137</f>
        <v>50625</v>
      </c>
      <c r="E814" s="7">
        <f t="shared" si="23"/>
        <v>2075625</v>
      </c>
    </row>
    <row r="815" spans="2:5" ht="12.75">
      <c r="B815">
        <f>B47</f>
        <v>2012</v>
      </c>
      <c r="C815" s="7">
        <f>'2012'!B137</f>
        <v>0</v>
      </c>
      <c r="D815" s="7">
        <f>'2012'!C137</f>
        <v>0</v>
      </c>
      <c r="E815" s="7">
        <f>C815+D815</f>
        <v>0</v>
      </c>
    </row>
    <row r="816" spans="2:5" ht="12.75">
      <c r="B816" s="9" t="s">
        <v>59</v>
      </c>
      <c r="C816" s="7">
        <f>'2013A'!B137</f>
        <v>1490000</v>
      </c>
      <c r="D816" s="7">
        <f>'2013A'!C137</f>
        <v>235550</v>
      </c>
      <c r="E816" s="7">
        <f>C816+D816</f>
        <v>1725550</v>
      </c>
    </row>
    <row r="817" spans="2:5" ht="12.75">
      <c r="B817" s="9" t="s">
        <v>60</v>
      </c>
      <c r="C817" s="7">
        <f>'2013B'!B163</f>
        <v>0</v>
      </c>
      <c r="D817" s="7">
        <f>'2013B'!C163</f>
        <v>0</v>
      </c>
      <c r="E817" s="7">
        <f>C817+D817</f>
        <v>0</v>
      </c>
    </row>
    <row r="818" spans="2:5" ht="12.75">
      <c r="B818" s="9" t="s">
        <v>71</v>
      </c>
      <c r="C818" s="7">
        <f>'2014B'!B343</f>
        <v>0</v>
      </c>
      <c r="D818" s="7">
        <f>'2014B'!C343</f>
        <v>0</v>
      </c>
      <c r="E818" s="7">
        <f>'2014B'!D343</f>
        <v>0</v>
      </c>
    </row>
    <row r="819" spans="3:5" ht="12.75">
      <c r="C819" s="7"/>
      <c r="D819" s="7"/>
      <c r="E819" s="7"/>
    </row>
    <row r="820" spans="1:7" ht="12.75">
      <c r="A820" s="1" t="s">
        <v>37</v>
      </c>
      <c r="C820" s="8">
        <f>SUM(C803:C818)</f>
        <v>3622000</v>
      </c>
      <c r="D820" s="8">
        <f>SUM(D803:D818)</f>
        <v>313050</v>
      </c>
      <c r="E820" s="8">
        <f>SUM(E803:E818)</f>
        <v>3935050</v>
      </c>
      <c r="G820" s="8">
        <f>E820</f>
        <v>3935050</v>
      </c>
    </row>
    <row r="821" spans="3:5" ht="12.75">
      <c r="C821" s="7"/>
      <c r="D821" s="7"/>
      <c r="E821" s="7"/>
    </row>
    <row r="822" spans="2:5" ht="12.75">
      <c r="B822" t="s">
        <v>40</v>
      </c>
      <c r="C822" s="7">
        <f>KIAF06!B137</f>
        <v>0</v>
      </c>
      <c r="D822" s="7">
        <f>KIAF06!C137</f>
        <v>0</v>
      </c>
      <c r="E822" s="7">
        <f>C822+D822</f>
        <v>0</v>
      </c>
    </row>
    <row r="823" spans="2:5" ht="12.75">
      <c r="B823" t="s">
        <v>41</v>
      </c>
      <c r="C823" s="7">
        <f>KIAC08!B600</f>
        <v>0</v>
      </c>
      <c r="D823" s="7">
        <f>KIAC08!C600</f>
        <v>0</v>
      </c>
      <c r="E823" s="7">
        <f>C823+D823</f>
        <v>0</v>
      </c>
    </row>
    <row r="824" spans="2:5" ht="12.75">
      <c r="B824" t="s">
        <v>64</v>
      </c>
      <c r="C824" s="7">
        <f>KIAF08!B222</f>
        <v>0</v>
      </c>
      <c r="D824" s="7">
        <f>KIAF08!C222</f>
        <v>0</v>
      </c>
      <c r="E824" s="7">
        <f>C824+D824</f>
        <v>0</v>
      </c>
    </row>
    <row r="825" spans="2:5" ht="12.75">
      <c r="B825" t="s">
        <v>58</v>
      </c>
      <c r="C825" s="7">
        <f>KIAF09!B132</f>
        <v>0</v>
      </c>
      <c r="D825" s="7">
        <f>KIAF09!C132</f>
        <v>0</v>
      </c>
      <c r="E825" s="7">
        <f>C825+D825</f>
        <v>0</v>
      </c>
    </row>
    <row r="826" spans="3:5" ht="12.75">
      <c r="C826" s="7"/>
      <c r="D826" s="7"/>
      <c r="E826" s="7"/>
    </row>
    <row r="827" spans="1:7" ht="12.75">
      <c r="A827" s="1" t="s">
        <v>42</v>
      </c>
      <c r="C827" s="8">
        <f>SUM(C822:C826)</f>
        <v>0</v>
      </c>
      <c r="D827" s="8">
        <f>SUM(D822:D826)</f>
        <v>0</v>
      </c>
      <c r="E827" s="8">
        <f>SUM(E822:E826)</f>
        <v>0</v>
      </c>
      <c r="G827" s="8">
        <f>E827</f>
        <v>0</v>
      </c>
    </row>
    <row r="829" spans="1:7" ht="12.75">
      <c r="A829" s="1" t="s">
        <v>43</v>
      </c>
      <c r="G829" s="8">
        <f>G820+G827</f>
        <v>3935050</v>
      </c>
    </row>
    <row r="831" ht="12.75">
      <c r="A831" t="s">
        <v>45</v>
      </c>
    </row>
    <row r="832" spans="1:7" ht="12.75">
      <c r="A832" s="10" t="s">
        <v>44</v>
      </c>
      <c r="B832" s="10"/>
      <c r="C832" s="10"/>
      <c r="D832" s="10"/>
      <c r="E832" s="10"/>
      <c r="F832" s="10"/>
      <c r="G832" s="10"/>
    </row>
    <row r="833" spans="1:7" ht="12.75">
      <c r="A833" s="10" t="str">
        <f>A2</f>
        <v>Summary of Debt Service After August 1, 2015</v>
      </c>
      <c r="B833" s="10"/>
      <c r="C833" s="10"/>
      <c r="D833" s="10"/>
      <c r="E833" s="10"/>
      <c r="F833" s="10"/>
      <c r="G833" s="10"/>
    </row>
    <row r="835" ht="12.75">
      <c r="G835" s="2" t="s">
        <v>38</v>
      </c>
    </row>
    <row r="836" spans="1:7" ht="12.75">
      <c r="A836" s="2" t="s">
        <v>34</v>
      </c>
      <c r="B836" s="2" t="s">
        <v>35</v>
      </c>
      <c r="C836" s="2" t="s">
        <v>1</v>
      </c>
      <c r="D836" s="2" t="s">
        <v>3</v>
      </c>
      <c r="E836" s="2" t="s">
        <v>4</v>
      </c>
      <c r="G836" s="2" t="s">
        <v>39</v>
      </c>
    </row>
    <row r="838" ht="12.75">
      <c r="A838" s="2">
        <v>2036</v>
      </c>
    </row>
    <row r="839" spans="2:5" ht="12.75">
      <c r="B839" t="str">
        <f>B8</f>
        <v>1997 Def. 2012</v>
      </c>
      <c r="C839" s="7">
        <f>'1997'!$B190</f>
        <v>0</v>
      </c>
      <c r="D839" s="7">
        <f>'1997'!$C190</f>
        <v>0</v>
      </c>
      <c r="E839" s="7">
        <f>C839+D839</f>
        <v>0</v>
      </c>
    </row>
    <row r="840" spans="2:5" ht="12.75">
      <c r="B840" t="str">
        <f>B9</f>
        <v>1998 Def. 2012</v>
      </c>
      <c r="C840" s="7">
        <f>'1998'!B190</f>
        <v>0</v>
      </c>
      <c r="D840" s="7">
        <f>'1998'!C190</f>
        <v>0</v>
      </c>
      <c r="E840" s="7">
        <f aca="true" t="shared" si="24" ref="E840:E851">C840+D840</f>
        <v>0</v>
      </c>
    </row>
    <row r="841" spans="2:5" ht="12.75">
      <c r="B841" s="9" t="s">
        <v>20</v>
      </c>
      <c r="C841" s="7">
        <f>USDA2000!B141</f>
        <v>112000</v>
      </c>
      <c r="D841" s="7">
        <f>USDA2000!C141</f>
        <v>21400</v>
      </c>
      <c r="E841" s="7">
        <f t="shared" si="24"/>
        <v>133400</v>
      </c>
    </row>
    <row r="842" spans="2:5" ht="12.75">
      <c r="B842" t="str">
        <f>B11</f>
        <v>2001 Def. 2012</v>
      </c>
      <c r="C842" s="7">
        <f>'2001'!B190</f>
        <v>0</v>
      </c>
      <c r="D842" s="7">
        <f>'2001'!C190</f>
        <v>0</v>
      </c>
      <c r="E842" s="7">
        <f t="shared" si="24"/>
        <v>0</v>
      </c>
    </row>
    <row r="843" spans="2:5" ht="12.75">
      <c r="B843" s="9" t="str">
        <f>B12</f>
        <v>2002A Def. 2012</v>
      </c>
      <c r="C843" s="7">
        <f>'2002A'!B190</f>
        <v>0</v>
      </c>
      <c r="D843" s="7">
        <f>'2002A'!C190</f>
        <v>0</v>
      </c>
      <c r="E843" s="7">
        <f t="shared" si="24"/>
        <v>0</v>
      </c>
    </row>
    <row r="844" spans="2:5" ht="12.75">
      <c r="B844" s="9" t="str">
        <f>B13</f>
        <v>2002B Def. 2013</v>
      </c>
      <c r="C844" s="7">
        <f>'2002B'!B190</f>
        <v>0</v>
      </c>
      <c r="D844" s="7">
        <f>'2002B'!C190</f>
        <v>0</v>
      </c>
      <c r="E844" s="7">
        <f t="shared" si="24"/>
        <v>0</v>
      </c>
    </row>
    <row r="845" spans="2:5" ht="12.75">
      <c r="B845" s="9" t="str">
        <f>B14</f>
        <v>2003A def. 2013</v>
      </c>
      <c r="C845" s="7">
        <f>'2003A'!B190</f>
        <v>0</v>
      </c>
      <c r="D845" s="7">
        <f>'2003A'!C190</f>
        <v>0</v>
      </c>
      <c r="E845" s="7">
        <f t="shared" si="24"/>
        <v>0</v>
      </c>
    </row>
    <row r="846" spans="2:5" ht="12.75">
      <c r="B846" s="9" t="str">
        <f>B15</f>
        <v>2003B def. 2013</v>
      </c>
      <c r="C846" s="7">
        <f>'2003B'!B190</f>
        <v>0</v>
      </c>
      <c r="D846" s="7">
        <f>'2003B'!C190</f>
        <v>0</v>
      </c>
      <c r="E846" s="7">
        <f t="shared" si="24"/>
        <v>0</v>
      </c>
    </row>
    <row r="847" spans="2:5" ht="12.75">
      <c r="B847" s="9" t="str">
        <f>B109</f>
        <v>2003C def 2014</v>
      </c>
      <c r="C847" s="7">
        <f>'2003C'!B190</f>
        <v>0</v>
      </c>
      <c r="D847" s="7">
        <f>'2003C'!C190</f>
        <v>0</v>
      </c>
      <c r="E847" s="7">
        <f t="shared" si="24"/>
        <v>0</v>
      </c>
    </row>
    <row r="848" spans="2:5" ht="12.75">
      <c r="B848" s="9" t="str">
        <f>B110</f>
        <v>2004 def 2014</v>
      </c>
      <c r="C848" s="7">
        <f>'2004'!B190</f>
        <v>0</v>
      </c>
      <c r="D848" s="7">
        <f>'2004'!C190</f>
        <v>0</v>
      </c>
      <c r="E848" s="7">
        <f t="shared" si="24"/>
        <v>0</v>
      </c>
    </row>
    <row r="849" spans="2:5" ht="12.75">
      <c r="B849">
        <v>2006</v>
      </c>
      <c r="C849" s="7">
        <f>'2006'!B190</f>
        <v>0</v>
      </c>
      <c r="D849" s="7">
        <f>'2006'!C190</f>
        <v>0</v>
      </c>
      <c r="E849" s="7">
        <f t="shared" si="24"/>
        <v>0</v>
      </c>
    </row>
    <row r="850" spans="2:5" ht="12.75">
      <c r="B850">
        <v>2009</v>
      </c>
      <c r="C850" s="7">
        <f>'2009'!B190</f>
        <v>0</v>
      </c>
      <c r="D850" s="7">
        <f>'2009'!C190</f>
        <v>0</v>
      </c>
      <c r="E850" s="7">
        <f t="shared" si="24"/>
        <v>0</v>
      </c>
    </row>
    <row r="851" spans="2:5" ht="12.75">
      <c r="B851">
        <v>2011</v>
      </c>
      <c r="C851" s="7">
        <f>'2011'!B190</f>
        <v>0</v>
      </c>
      <c r="D851" s="7">
        <f>'2011'!C190</f>
        <v>0</v>
      </c>
      <c r="E851" s="7">
        <f t="shared" si="24"/>
        <v>0</v>
      </c>
    </row>
    <row r="852" spans="2:5" ht="12.75">
      <c r="B852" s="9" t="s">
        <v>59</v>
      </c>
      <c r="C852" s="7">
        <f>'2013A'!B142</f>
        <v>1555000</v>
      </c>
      <c r="D852" s="7">
        <f>'2013A'!C142</f>
        <v>172747</v>
      </c>
      <c r="E852" s="7">
        <f>C852+D852</f>
        <v>1727747</v>
      </c>
    </row>
    <row r="853" spans="2:5" ht="12.75">
      <c r="B853" s="9" t="s">
        <v>60</v>
      </c>
      <c r="C853" s="7">
        <f>'2013B'!B142</f>
        <v>0</v>
      </c>
      <c r="D853" s="7">
        <f>'2013B'!C142</f>
        <v>0</v>
      </c>
      <c r="E853" s="7">
        <f>C853+D853</f>
        <v>0</v>
      </c>
    </row>
    <row r="854" spans="2:5" ht="12.75">
      <c r="B854" s="9" t="s">
        <v>71</v>
      </c>
      <c r="C854" s="7">
        <f>'2014B'!B379</f>
        <v>0</v>
      </c>
      <c r="D854" s="7">
        <f>'2014B'!C379</f>
        <v>0</v>
      </c>
      <c r="E854" s="7">
        <f>'2014B'!D379</f>
        <v>0</v>
      </c>
    </row>
    <row r="855" spans="3:5" ht="12.75">
      <c r="C855" s="7"/>
      <c r="D855" s="7"/>
      <c r="E855" s="7"/>
    </row>
    <row r="856" spans="1:7" ht="12.75">
      <c r="A856" s="1" t="s">
        <v>37</v>
      </c>
      <c r="C856" s="8">
        <f>SUM(C839:C855)</f>
        <v>1667000</v>
      </c>
      <c r="D856" s="8">
        <f>SUM(D839:D855)</f>
        <v>194147</v>
      </c>
      <c r="E856" s="8">
        <f>SUM(E839:E855)</f>
        <v>1861147</v>
      </c>
      <c r="G856" s="8">
        <f>E856</f>
        <v>1861147</v>
      </c>
    </row>
    <row r="857" spans="3:5" ht="12.75">
      <c r="C857" s="7"/>
      <c r="D857" s="7"/>
      <c r="E857" s="7"/>
    </row>
    <row r="858" spans="2:5" ht="12.75">
      <c r="B858" t="s">
        <v>40</v>
      </c>
      <c r="C858" s="7">
        <f>KIAF06!B190</f>
        <v>0</v>
      </c>
      <c r="D858" s="7">
        <f>KIAF06!C190</f>
        <v>0</v>
      </c>
      <c r="E858" s="7">
        <f>C858+D858</f>
        <v>0</v>
      </c>
    </row>
    <row r="859" spans="2:5" ht="12.75">
      <c r="B859" t="s">
        <v>41</v>
      </c>
      <c r="C859" s="7">
        <f>KIAC08!B615</f>
        <v>0</v>
      </c>
      <c r="D859" s="7">
        <f>KIAC08!C615</f>
        <v>0</v>
      </c>
      <c r="E859" s="7">
        <f>C859+D859</f>
        <v>0</v>
      </c>
    </row>
    <row r="860" spans="2:5" ht="12.75">
      <c r="B860" t="s">
        <v>64</v>
      </c>
      <c r="C860" s="7">
        <f>KIAF08!B257</f>
        <v>0</v>
      </c>
      <c r="D860" s="7">
        <f>KIAF08!C257</f>
        <v>0</v>
      </c>
      <c r="E860" s="7">
        <f>C860+D860</f>
        <v>0</v>
      </c>
    </row>
    <row r="861" spans="2:5" ht="12.75">
      <c r="B861" t="s">
        <v>58</v>
      </c>
      <c r="C861" s="7">
        <f>KIAF09!B137</f>
        <v>0</v>
      </c>
      <c r="D861" s="7">
        <f>KIAF09!C137</f>
        <v>0</v>
      </c>
      <c r="E861" s="7">
        <f>C861+D861</f>
        <v>0</v>
      </c>
    </row>
    <row r="862" spans="3:5" ht="12.75">
      <c r="C862" s="7"/>
      <c r="D862" s="7"/>
      <c r="E862" s="7"/>
    </row>
    <row r="863" spans="1:7" ht="12.75">
      <c r="A863" s="1" t="s">
        <v>42</v>
      </c>
      <c r="C863" s="8">
        <f>SUM(C858:C862)</f>
        <v>0</v>
      </c>
      <c r="D863" s="8">
        <f>SUM(D858:D862)</f>
        <v>0</v>
      </c>
      <c r="E863" s="8">
        <f>SUM(E858:E862)</f>
        <v>0</v>
      </c>
      <c r="G863" s="8">
        <f>E863</f>
        <v>0</v>
      </c>
    </row>
    <row r="865" spans="1:7" ht="12.75">
      <c r="A865" s="1" t="s">
        <v>43</v>
      </c>
      <c r="G865" s="8">
        <f>G856+G863</f>
        <v>1861147</v>
      </c>
    </row>
    <row r="867" ht="12.75">
      <c r="G867" s="2" t="s">
        <v>38</v>
      </c>
    </row>
    <row r="868" spans="1:7" ht="12.75">
      <c r="A868" s="2" t="s">
        <v>34</v>
      </c>
      <c r="B868" s="2" t="s">
        <v>35</v>
      </c>
      <c r="C868" s="2" t="s">
        <v>1</v>
      </c>
      <c r="D868" s="2" t="s">
        <v>3</v>
      </c>
      <c r="E868" s="2" t="s">
        <v>4</v>
      </c>
      <c r="G868" s="2" t="s">
        <v>39</v>
      </c>
    </row>
    <row r="870" ht="12.75">
      <c r="A870" s="2">
        <v>2037</v>
      </c>
    </row>
    <row r="871" spans="2:5" ht="12.75">
      <c r="B871" t="str">
        <f>B8</f>
        <v>1997 Def. 2012</v>
      </c>
      <c r="C871" s="7">
        <f>'1997'!$B$137</f>
        <v>0</v>
      </c>
      <c r="D871" s="7">
        <f>'1997'!$C$137</f>
        <v>0</v>
      </c>
      <c r="E871" s="7">
        <f>C871+D871</f>
        <v>0</v>
      </c>
    </row>
    <row r="872" spans="2:5" ht="12.75">
      <c r="B872" t="str">
        <f>B9</f>
        <v>1998 Def. 2012</v>
      </c>
      <c r="C872" s="7">
        <f>'1998'!B195</f>
        <v>0</v>
      </c>
      <c r="D872" s="7">
        <f>'1998'!C195</f>
        <v>0</v>
      </c>
      <c r="E872" s="7">
        <f aca="true" t="shared" si="25" ref="E872:E883">C872+D872</f>
        <v>0</v>
      </c>
    </row>
    <row r="873" spans="2:5" ht="12.75">
      <c r="B873" s="9" t="s">
        <v>20</v>
      </c>
      <c r="C873" s="7">
        <f>USDA2000!B146</f>
        <v>118000</v>
      </c>
      <c r="D873" s="7">
        <f>USDA2000!C146</f>
        <v>15650</v>
      </c>
      <c r="E873" s="7">
        <f t="shared" si="25"/>
        <v>133650</v>
      </c>
    </row>
    <row r="874" spans="2:5" ht="12.75">
      <c r="B874" t="str">
        <f>B11</f>
        <v>2001 Def. 2012</v>
      </c>
      <c r="C874" s="7">
        <f>'2001'!B195</f>
        <v>0</v>
      </c>
      <c r="D874" s="7">
        <f>'2001'!C195</f>
        <v>0</v>
      </c>
      <c r="E874" s="7">
        <f t="shared" si="25"/>
        <v>0</v>
      </c>
    </row>
    <row r="875" spans="2:5" ht="12.75">
      <c r="B875" s="9" t="str">
        <f>B12</f>
        <v>2002A Def. 2012</v>
      </c>
      <c r="C875" s="7">
        <f>'2002A'!B195</f>
        <v>0</v>
      </c>
      <c r="D875" s="7">
        <f>'2002A'!C195</f>
        <v>0</v>
      </c>
      <c r="E875" s="7">
        <f t="shared" si="25"/>
        <v>0</v>
      </c>
    </row>
    <row r="876" spans="2:5" ht="12.75">
      <c r="B876" s="9" t="str">
        <f>B13</f>
        <v>2002B Def. 2013</v>
      </c>
      <c r="C876" s="7">
        <f>'2002B'!B195</f>
        <v>0</v>
      </c>
      <c r="D876" s="7">
        <f>'2002B'!C195</f>
        <v>0</v>
      </c>
      <c r="E876" s="7">
        <f t="shared" si="25"/>
        <v>0</v>
      </c>
    </row>
    <row r="877" spans="2:5" ht="12.75">
      <c r="B877" s="9" t="str">
        <f>B14</f>
        <v>2003A def. 2013</v>
      </c>
      <c r="C877" s="7">
        <f>'2003A'!B195</f>
        <v>0</v>
      </c>
      <c r="D877" s="7">
        <f>'2003A'!C195</f>
        <v>0</v>
      </c>
      <c r="E877" s="7">
        <f t="shared" si="25"/>
        <v>0</v>
      </c>
    </row>
    <row r="878" spans="2:5" ht="12.75">
      <c r="B878" s="9" t="str">
        <f>B15</f>
        <v>2003B def. 2013</v>
      </c>
      <c r="C878" s="7">
        <f>'2003B'!B195</f>
        <v>0</v>
      </c>
      <c r="D878" s="7">
        <f>'2003B'!C195</f>
        <v>0</v>
      </c>
      <c r="E878" s="7">
        <f t="shared" si="25"/>
        <v>0</v>
      </c>
    </row>
    <row r="879" spans="2:5" ht="12.75">
      <c r="B879" s="9" t="str">
        <f>B109</f>
        <v>2003C def 2014</v>
      </c>
      <c r="C879" s="7">
        <f>'2003C'!B195</f>
        <v>0</v>
      </c>
      <c r="D879" s="7">
        <f>'2003C'!C195</f>
        <v>0</v>
      </c>
      <c r="E879" s="7">
        <f t="shared" si="25"/>
        <v>0</v>
      </c>
    </row>
    <row r="880" spans="2:5" ht="12.75">
      <c r="B880" s="9" t="str">
        <f>B110</f>
        <v>2004 def 2014</v>
      </c>
      <c r="C880" s="7">
        <f>'2004'!B195</f>
        <v>0</v>
      </c>
      <c r="D880" s="7">
        <f>'2004'!C195</f>
        <v>0</v>
      </c>
      <c r="E880" s="7">
        <f t="shared" si="25"/>
        <v>0</v>
      </c>
    </row>
    <row r="881" spans="2:5" ht="12.75">
      <c r="B881">
        <v>2006</v>
      </c>
      <c r="C881" s="7">
        <f>'2006'!B195</f>
        <v>0</v>
      </c>
      <c r="D881" s="7">
        <f>'2006'!C195</f>
        <v>0</v>
      </c>
      <c r="E881" s="7">
        <f t="shared" si="25"/>
        <v>0</v>
      </c>
    </row>
    <row r="882" spans="2:5" ht="12.75">
      <c r="B882">
        <v>2009</v>
      </c>
      <c r="C882" s="7">
        <f>'2009'!B195</f>
        <v>0</v>
      </c>
      <c r="D882" s="7">
        <f>'2009'!C195</f>
        <v>0</v>
      </c>
      <c r="E882" s="7">
        <f t="shared" si="25"/>
        <v>0</v>
      </c>
    </row>
    <row r="883" spans="2:5" ht="12.75">
      <c r="B883">
        <v>2011</v>
      </c>
      <c r="C883" s="7">
        <f>'2011'!B195</f>
        <v>0</v>
      </c>
      <c r="D883" s="7">
        <f>'2011'!C195</f>
        <v>0</v>
      </c>
      <c r="E883" s="7">
        <f t="shared" si="25"/>
        <v>0</v>
      </c>
    </row>
    <row r="884" spans="2:5" ht="12.75">
      <c r="B884" s="9" t="s">
        <v>59</v>
      </c>
      <c r="C884" s="7">
        <f>'2013A'!B147</f>
        <v>1620000</v>
      </c>
      <c r="D884" s="7">
        <f>'2013A'!C147</f>
        <v>106251</v>
      </c>
      <c r="E884" s="7">
        <f>'2013A'!D147</f>
        <v>1726251</v>
      </c>
    </row>
    <row r="885" spans="2:5" ht="12.75">
      <c r="B885" s="9" t="s">
        <v>60</v>
      </c>
      <c r="C885" s="7">
        <f>'2013B'!B147</f>
        <v>0</v>
      </c>
      <c r="D885" s="7">
        <f>'2013B'!C147</f>
        <v>0</v>
      </c>
      <c r="E885" s="7">
        <f>C885+D885</f>
        <v>0</v>
      </c>
    </row>
    <row r="886" spans="2:5" ht="12.75">
      <c r="B886" s="9" t="s">
        <v>71</v>
      </c>
      <c r="C886" s="7">
        <f>'2014B'!B411</f>
        <v>0</v>
      </c>
      <c r="D886" s="7">
        <f>'2014B'!C411</f>
        <v>0</v>
      </c>
      <c r="E886" s="7">
        <f>'2014B'!D411</f>
        <v>0</v>
      </c>
    </row>
    <row r="887" spans="3:5" ht="12.75">
      <c r="C887" s="7"/>
      <c r="D887" s="7"/>
      <c r="E887" s="7"/>
    </row>
    <row r="888" spans="1:7" ht="12.75">
      <c r="A888" s="1" t="s">
        <v>37</v>
      </c>
      <c r="C888" s="8">
        <f>SUM(C871:C887)</f>
        <v>1738000</v>
      </c>
      <c r="D888" s="8">
        <f>SUM(D871:D887)</f>
        <v>121901</v>
      </c>
      <c r="E888" s="8">
        <f>SUM(E871:E887)</f>
        <v>1859901</v>
      </c>
      <c r="G888" s="8">
        <f>E888</f>
        <v>1859901</v>
      </c>
    </row>
    <row r="889" spans="3:5" ht="12.75">
      <c r="C889" s="7"/>
      <c r="D889" s="7"/>
      <c r="E889" s="7"/>
    </row>
    <row r="890" spans="2:5" ht="12.75">
      <c r="B890" t="s">
        <v>40</v>
      </c>
      <c r="C890" s="7">
        <f>KIAF06!B195</f>
        <v>0</v>
      </c>
      <c r="D890" s="7">
        <f>KIAF06!C195</f>
        <v>0</v>
      </c>
      <c r="E890" s="7">
        <f>C890+D890</f>
        <v>0</v>
      </c>
    </row>
    <row r="891" spans="2:5" ht="12.75">
      <c r="B891" t="s">
        <v>41</v>
      </c>
      <c r="C891" s="7">
        <f>KIAC08!B658</f>
        <v>0</v>
      </c>
      <c r="D891" s="7">
        <f>KIAC08!C658</f>
        <v>0</v>
      </c>
      <c r="E891" s="7">
        <f>C891+D891</f>
        <v>0</v>
      </c>
    </row>
    <row r="892" spans="2:5" ht="12.75">
      <c r="B892" t="s">
        <v>64</v>
      </c>
      <c r="C892" s="7">
        <f>KIAF08!B288</f>
        <v>0</v>
      </c>
      <c r="D892" s="7">
        <f>KIAF08!C288</f>
        <v>0</v>
      </c>
      <c r="E892" s="7">
        <f>C892+D892</f>
        <v>0</v>
      </c>
    </row>
    <row r="893" spans="2:5" ht="12.75">
      <c r="B893" t="s">
        <v>58</v>
      </c>
      <c r="C893" s="7">
        <f>KIAF09!B167</f>
        <v>0</v>
      </c>
      <c r="D893" s="7">
        <f>KIAF09!C167</f>
        <v>0</v>
      </c>
      <c r="E893" s="7">
        <f>C893+D893</f>
        <v>0</v>
      </c>
    </row>
    <row r="894" spans="3:5" ht="12.75">
      <c r="C894" s="7"/>
      <c r="D894" s="7"/>
      <c r="E894" s="7"/>
    </row>
    <row r="895" spans="1:7" ht="12.75">
      <c r="A895" s="1" t="s">
        <v>42</v>
      </c>
      <c r="C895" s="8">
        <f>SUM(C890:C893)</f>
        <v>0</v>
      </c>
      <c r="D895" s="8">
        <f>SUM(D890:D893)</f>
        <v>0</v>
      </c>
      <c r="E895" s="8">
        <f>SUM(E890:E893)</f>
        <v>0</v>
      </c>
      <c r="G895" s="8">
        <f>E895</f>
        <v>0</v>
      </c>
    </row>
    <row r="896" spans="1:7" ht="12.75">
      <c r="A896" s="1"/>
      <c r="C896" s="8"/>
      <c r="D896" s="8"/>
      <c r="E896" s="8"/>
      <c r="G896" s="8"/>
    </row>
    <row r="898" spans="1:7" ht="12.75">
      <c r="A898" s="1" t="s">
        <v>43</v>
      </c>
      <c r="G898" s="8">
        <f>G888+G895</f>
        <v>1859901</v>
      </c>
    </row>
    <row r="900" ht="12.75">
      <c r="A900" t="s">
        <v>45</v>
      </c>
    </row>
    <row r="901" spans="1:7" ht="12.75">
      <c r="A901" s="10" t="s">
        <v>44</v>
      </c>
      <c r="B901" s="10"/>
      <c r="C901" s="10"/>
      <c r="D901" s="10"/>
      <c r="E901" s="10"/>
      <c r="F901" s="10"/>
      <c r="G901" s="10"/>
    </row>
    <row r="902" spans="1:7" ht="12.75">
      <c r="A902" s="10" t="str">
        <f>A2</f>
        <v>Summary of Debt Service After August 1, 2015</v>
      </c>
      <c r="B902" s="10"/>
      <c r="C902" s="10"/>
      <c r="D902" s="10"/>
      <c r="E902" s="10"/>
      <c r="F902" s="10"/>
      <c r="G902" s="10"/>
    </row>
    <row r="904" ht="12.75">
      <c r="G904" s="2" t="s">
        <v>38</v>
      </c>
    </row>
    <row r="905" spans="1:7" ht="12.75">
      <c r="A905" s="2" t="s">
        <v>34</v>
      </c>
      <c r="B905" s="2" t="s">
        <v>35</v>
      </c>
      <c r="C905" s="2" t="s">
        <v>1</v>
      </c>
      <c r="D905" s="2" t="s">
        <v>3</v>
      </c>
      <c r="E905" s="2" t="s">
        <v>4</v>
      </c>
      <c r="G905" s="2" t="s">
        <v>39</v>
      </c>
    </row>
    <row r="907" ht="12.75">
      <c r="A907" s="2">
        <v>2038</v>
      </c>
    </row>
    <row r="908" spans="2:5" ht="12.75">
      <c r="B908" t="str">
        <f>B8</f>
        <v>1997 Def. 2012</v>
      </c>
      <c r="C908" s="7">
        <f>'1997'!$B248</f>
        <v>0</v>
      </c>
      <c r="D908" s="7">
        <f>'1997'!$C248</f>
        <v>0</v>
      </c>
      <c r="E908" s="7">
        <f>C908+D908</f>
        <v>0</v>
      </c>
    </row>
    <row r="909" spans="2:5" ht="12.75">
      <c r="B909" t="str">
        <f>B9</f>
        <v>1998 Def. 2012</v>
      </c>
      <c r="C909" s="7">
        <f>'1998'!B248</f>
        <v>0</v>
      </c>
      <c r="D909" s="7">
        <f>'1998'!C248</f>
        <v>0</v>
      </c>
      <c r="E909" s="7">
        <f aca="true" t="shared" si="26" ref="E909:E920">C909+D909</f>
        <v>0</v>
      </c>
    </row>
    <row r="910" spans="2:5" ht="12.75">
      <c r="B910" s="9" t="s">
        <v>20</v>
      </c>
      <c r="C910" s="7">
        <f>USDA2000!B151</f>
        <v>124000</v>
      </c>
      <c r="D910" s="7">
        <f>USDA2000!C151</f>
        <v>9600</v>
      </c>
      <c r="E910" s="7">
        <f t="shared" si="26"/>
        <v>133600</v>
      </c>
    </row>
    <row r="911" spans="2:5" ht="12.75">
      <c r="B911" t="str">
        <f>B11</f>
        <v>2001 Def. 2012</v>
      </c>
      <c r="C911" s="7">
        <f>'2001'!B248</f>
        <v>0</v>
      </c>
      <c r="D911" s="7">
        <f>'2001'!C248</f>
        <v>0</v>
      </c>
      <c r="E911" s="7">
        <f t="shared" si="26"/>
        <v>0</v>
      </c>
    </row>
    <row r="912" spans="2:5" ht="12.75">
      <c r="B912" s="9" t="str">
        <f>B12</f>
        <v>2002A Def. 2012</v>
      </c>
      <c r="C912" s="7">
        <f>'2002A'!B248</f>
        <v>0</v>
      </c>
      <c r="D912" s="7">
        <f>'2002A'!C248</f>
        <v>0</v>
      </c>
      <c r="E912" s="7">
        <f t="shared" si="26"/>
        <v>0</v>
      </c>
    </row>
    <row r="913" spans="2:5" ht="12.75">
      <c r="B913" s="9" t="str">
        <f>B13</f>
        <v>2002B Def. 2013</v>
      </c>
      <c r="C913" s="7">
        <f>'2002B'!B248</f>
        <v>0</v>
      </c>
      <c r="D913" s="7">
        <f>'2002B'!C248</f>
        <v>0</v>
      </c>
      <c r="E913" s="7">
        <f t="shared" si="26"/>
        <v>0</v>
      </c>
    </row>
    <row r="914" spans="2:5" ht="12.75">
      <c r="B914" s="9" t="str">
        <f>B14</f>
        <v>2003A def. 2013</v>
      </c>
      <c r="C914" s="7">
        <f>'2003A'!B248</f>
        <v>0</v>
      </c>
      <c r="D914" s="7">
        <f>'2003A'!C248</f>
        <v>0</v>
      </c>
      <c r="E914" s="7">
        <f t="shared" si="26"/>
        <v>0</v>
      </c>
    </row>
    <row r="915" spans="2:5" ht="12.75">
      <c r="B915" s="9" t="str">
        <f>B109</f>
        <v>2003C def 2014</v>
      </c>
      <c r="C915" s="7">
        <f>'2003B'!B248</f>
        <v>0</v>
      </c>
      <c r="D915" s="7">
        <f>'2003B'!C248</f>
        <v>0</v>
      </c>
      <c r="E915" s="7">
        <f t="shared" si="26"/>
        <v>0</v>
      </c>
    </row>
    <row r="916" spans="2:5" ht="12.75">
      <c r="B916" s="9" t="str">
        <f>B110</f>
        <v>2004 def 2014</v>
      </c>
      <c r="C916" s="7">
        <f>'2003C'!B248</f>
        <v>0</v>
      </c>
      <c r="D916" s="7">
        <f>'2003C'!C248</f>
        <v>0</v>
      </c>
      <c r="E916" s="7">
        <f t="shared" si="26"/>
        <v>0</v>
      </c>
    </row>
    <row r="917" spans="2:5" ht="12.75">
      <c r="B917">
        <v>2004</v>
      </c>
      <c r="C917" s="7">
        <f>'2004'!B248</f>
        <v>0</v>
      </c>
      <c r="D917" s="7">
        <f>'2004'!C248</f>
        <v>0</v>
      </c>
      <c r="E917" s="7">
        <f t="shared" si="26"/>
        <v>0</v>
      </c>
    </row>
    <row r="918" spans="2:5" ht="12.75">
      <c r="B918">
        <v>2006</v>
      </c>
      <c r="C918" s="7">
        <f>'2006'!B248</f>
        <v>0</v>
      </c>
      <c r="D918" s="7">
        <f>'2006'!C248</f>
        <v>0</v>
      </c>
      <c r="E918" s="7">
        <f t="shared" si="26"/>
        <v>0</v>
      </c>
    </row>
    <row r="919" spans="2:5" ht="12.75">
      <c r="B919">
        <v>2009</v>
      </c>
      <c r="C919" s="7">
        <f>'2009'!B248</f>
        <v>0</v>
      </c>
      <c r="D919" s="7">
        <f>'2009'!C248</f>
        <v>0</v>
      </c>
      <c r="E919" s="7">
        <f t="shared" si="26"/>
        <v>0</v>
      </c>
    </row>
    <row r="920" spans="2:5" ht="12.75">
      <c r="B920">
        <v>2011</v>
      </c>
      <c r="C920" s="7">
        <f>'2011'!B248</f>
        <v>0</v>
      </c>
      <c r="D920" s="7">
        <f>'2011'!C248</f>
        <v>0</v>
      </c>
      <c r="E920" s="7">
        <f t="shared" si="26"/>
        <v>0</v>
      </c>
    </row>
    <row r="921" spans="2:5" ht="12.75">
      <c r="B921" s="9" t="s">
        <v>59</v>
      </c>
      <c r="C921" s="7">
        <f>'2013A'!B152</f>
        <v>1690000</v>
      </c>
      <c r="D921" s="7">
        <f>'2013A'!C152</f>
        <v>35913</v>
      </c>
      <c r="E921" s="7">
        <f>'2013A'!D152</f>
        <v>1725913</v>
      </c>
    </row>
    <row r="922" spans="2:5" ht="12.75">
      <c r="B922" s="9" t="s">
        <v>60</v>
      </c>
      <c r="C922" s="7">
        <f>'2013B'!B152</f>
        <v>0</v>
      </c>
      <c r="D922" s="7">
        <f>'2013B'!C152</f>
        <v>0</v>
      </c>
      <c r="E922" s="7">
        <f>C922+D922</f>
        <v>0</v>
      </c>
    </row>
    <row r="923" spans="2:5" ht="12.75">
      <c r="B923" s="9" t="s">
        <v>71</v>
      </c>
      <c r="C923" s="7">
        <f>'2014B'!B448</f>
        <v>0</v>
      </c>
      <c r="D923" s="7">
        <f>'2014B'!C448</f>
        <v>0</v>
      </c>
      <c r="E923" s="7">
        <f>'2014B'!D448</f>
        <v>0</v>
      </c>
    </row>
    <row r="924" spans="3:5" ht="12.75">
      <c r="C924" s="7"/>
      <c r="D924" s="7"/>
      <c r="E924" s="7"/>
    </row>
    <row r="925" spans="1:7" ht="12.75">
      <c r="A925" s="1" t="s">
        <v>37</v>
      </c>
      <c r="C925" s="8">
        <f>SUM(C908:C924)</f>
        <v>1814000</v>
      </c>
      <c r="D925" s="8">
        <f>SUM(D908:D924)</f>
        <v>45513</v>
      </c>
      <c r="E925" s="8">
        <f>SUM(E908:E924)</f>
        <v>1859513</v>
      </c>
      <c r="G925" s="8">
        <f>E925</f>
        <v>1859513</v>
      </c>
    </row>
    <row r="926" spans="3:5" ht="12.75">
      <c r="C926" s="7"/>
      <c r="D926" s="7"/>
      <c r="E926" s="7"/>
    </row>
    <row r="927" spans="2:5" ht="12.75">
      <c r="B927" t="s">
        <v>40</v>
      </c>
      <c r="C927" s="7">
        <f>KIAF06!B248</f>
        <v>0</v>
      </c>
      <c r="D927" s="7">
        <f>KIAF06!C248</f>
        <v>0</v>
      </c>
      <c r="E927" s="7">
        <f>C927+D927</f>
        <v>0</v>
      </c>
    </row>
    <row r="928" spans="2:5" ht="12.75">
      <c r="B928" t="s">
        <v>41</v>
      </c>
      <c r="C928" s="7">
        <f>KIAC08!B673</f>
        <v>0</v>
      </c>
      <c r="D928" s="7">
        <f>KIAC08!C673</f>
        <v>0</v>
      </c>
      <c r="E928" s="7">
        <f>C928+D928</f>
        <v>0</v>
      </c>
    </row>
    <row r="929" spans="2:5" ht="12.75">
      <c r="B929" t="s">
        <v>64</v>
      </c>
      <c r="C929" s="7">
        <f>KIAF08!B324</f>
        <v>0</v>
      </c>
      <c r="D929" s="7">
        <f>KIAF08!C324</f>
        <v>0</v>
      </c>
      <c r="E929" s="7">
        <f>C929+D929</f>
        <v>0</v>
      </c>
    </row>
    <row r="930" spans="2:5" ht="12.75">
      <c r="B930" t="s">
        <v>58</v>
      </c>
      <c r="C930" s="7">
        <f>KIAF09!B202</f>
        <v>0</v>
      </c>
      <c r="D930" s="7">
        <f>KIAF09!C202</f>
        <v>0</v>
      </c>
      <c r="E930" s="7">
        <f>C930+D930</f>
        <v>0</v>
      </c>
    </row>
    <row r="931" spans="3:5" ht="12.75">
      <c r="C931" s="7"/>
      <c r="D931" s="7"/>
      <c r="E931" s="7"/>
    </row>
    <row r="932" spans="1:7" ht="12.75">
      <c r="A932" s="1" t="s">
        <v>42</v>
      </c>
      <c r="C932" s="8">
        <f>SUM(C927:C931)</f>
        <v>0</v>
      </c>
      <c r="D932" s="8">
        <f>SUM(D927:D931)</f>
        <v>0</v>
      </c>
      <c r="E932" s="8">
        <f>SUM(E927:E931)</f>
        <v>0</v>
      </c>
      <c r="G932" s="8">
        <f>E932</f>
        <v>0</v>
      </c>
    </row>
    <row r="934" spans="1:7" ht="12.75">
      <c r="A934" s="1" t="s">
        <v>43</v>
      </c>
      <c r="G934" s="8">
        <f>G925+G932</f>
        <v>1859513</v>
      </c>
    </row>
    <row r="936" ht="12.75">
      <c r="G936" s="2" t="s">
        <v>38</v>
      </c>
    </row>
    <row r="937" spans="1:7" ht="12.75">
      <c r="A937" s="2" t="s">
        <v>34</v>
      </c>
      <c r="B937" s="2" t="s">
        <v>35</v>
      </c>
      <c r="C937" s="2" t="s">
        <v>1</v>
      </c>
      <c r="D937" s="2" t="s">
        <v>3</v>
      </c>
      <c r="E937" s="2" t="s">
        <v>4</v>
      </c>
      <c r="G937" s="2" t="s">
        <v>39</v>
      </c>
    </row>
    <row r="939" ht="12.75">
      <c r="A939" s="2">
        <v>2039</v>
      </c>
    </row>
    <row r="940" spans="2:5" ht="12.75">
      <c r="B940" t="str">
        <f>B8</f>
        <v>1997 Def. 2012</v>
      </c>
      <c r="C940" s="7">
        <f>'1997'!$B$137</f>
        <v>0</v>
      </c>
      <c r="D940" s="7">
        <f>'1997'!$C$137</f>
        <v>0</v>
      </c>
      <c r="E940" s="7">
        <f>C940+D940</f>
        <v>0</v>
      </c>
    </row>
    <row r="941" spans="2:5" ht="12.75">
      <c r="B941" t="str">
        <f>B9</f>
        <v>1998 Def. 2012</v>
      </c>
      <c r="C941" s="7">
        <f>'1998'!B253</f>
        <v>0</v>
      </c>
      <c r="D941" s="7">
        <f>'1998'!C253</f>
        <v>0</v>
      </c>
      <c r="E941" s="7">
        <f aca="true" t="shared" si="27" ref="E941:E952">C941+D941</f>
        <v>0</v>
      </c>
    </row>
    <row r="942" spans="2:5" ht="12.75">
      <c r="B942" s="9" t="s">
        <v>20</v>
      </c>
      <c r="C942" s="7">
        <f>USDA2000!B154</f>
        <v>130000</v>
      </c>
      <c r="D942" s="7">
        <f>USDA2000!C154</f>
        <v>3250</v>
      </c>
      <c r="E942" s="7">
        <f t="shared" si="27"/>
        <v>133250</v>
      </c>
    </row>
    <row r="943" spans="2:5" ht="12.75">
      <c r="B943" t="str">
        <f>B11</f>
        <v>2001 Def. 2012</v>
      </c>
      <c r="C943" s="7">
        <f>'2001'!B253</f>
        <v>0</v>
      </c>
      <c r="D943" s="7">
        <f>'2001'!C253</f>
        <v>0</v>
      </c>
      <c r="E943" s="7">
        <f t="shared" si="27"/>
        <v>0</v>
      </c>
    </row>
    <row r="944" spans="2:5" ht="12.75">
      <c r="B944" s="9" t="str">
        <f>B12</f>
        <v>2002A Def. 2012</v>
      </c>
      <c r="C944" s="7">
        <f>'2002A'!B253</f>
        <v>0</v>
      </c>
      <c r="D944" s="7">
        <f>'2002A'!C253</f>
        <v>0</v>
      </c>
      <c r="E944" s="7">
        <f t="shared" si="27"/>
        <v>0</v>
      </c>
    </row>
    <row r="945" spans="2:5" ht="12.75">
      <c r="B945" s="9" t="str">
        <f>B13</f>
        <v>2002B Def. 2013</v>
      </c>
      <c r="C945" s="7">
        <f>'2002B'!B253</f>
        <v>0</v>
      </c>
      <c r="D945" s="7">
        <f>'2002B'!C253</f>
        <v>0</v>
      </c>
      <c r="E945" s="7">
        <f t="shared" si="27"/>
        <v>0</v>
      </c>
    </row>
    <row r="946" spans="2:5" ht="12.75">
      <c r="B946" s="9" t="str">
        <f>B14</f>
        <v>2003A def. 2013</v>
      </c>
      <c r="C946" s="7">
        <f>'2003A'!B253</f>
        <v>0</v>
      </c>
      <c r="D946" s="7">
        <f>'2003A'!C253</f>
        <v>0</v>
      </c>
      <c r="E946" s="7">
        <f t="shared" si="27"/>
        <v>0</v>
      </c>
    </row>
    <row r="947" spans="2:5" ht="12.75">
      <c r="B947" s="9" t="str">
        <f>B15</f>
        <v>2003B def. 2013</v>
      </c>
      <c r="C947" s="7">
        <f>'2003B'!B253</f>
        <v>0</v>
      </c>
      <c r="D947" s="7">
        <f>'2003B'!C253</f>
        <v>0</v>
      </c>
      <c r="E947" s="7">
        <f t="shared" si="27"/>
        <v>0</v>
      </c>
    </row>
    <row r="948" spans="2:5" ht="12.75">
      <c r="B948" s="9" t="str">
        <f>B109</f>
        <v>2003C def 2014</v>
      </c>
      <c r="C948" s="7">
        <f>'2003C'!B253</f>
        <v>0</v>
      </c>
      <c r="D948" s="7">
        <f>'2003C'!C253</f>
        <v>0</v>
      </c>
      <c r="E948" s="7">
        <f t="shared" si="27"/>
        <v>0</v>
      </c>
    </row>
    <row r="949" spans="2:5" ht="12.75">
      <c r="B949" s="9" t="str">
        <f>B110</f>
        <v>2004 def 2014</v>
      </c>
      <c r="C949" s="7">
        <f>'2004'!B253</f>
        <v>0</v>
      </c>
      <c r="D949" s="7">
        <f>'2004'!C253</f>
        <v>0</v>
      </c>
      <c r="E949" s="7">
        <f t="shared" si="27"/>
        <v>0</v>
      </c>
    </row>
    <row r="950" spans="2:5" ht="12.75">
      <c r="B950">
        <v>2006</v>
      </c>
      <c r="C950" s="7">
        <f>'2006'!B253</f>
        <v>0</v>
      </c>
      <c r="D950" s="7">
        <f>'2006'!C253</f>
        <v>0</v>
      </c>
      <c r="E950" s="7">
        <f t="shared" si="27"/>
        <v>0</v>
      </c>
    </row>
    <row r="951" spans="2:5" ht="12.75">
      <c r="B951">
        <v>2009</v>
      </c>
      <c r="C951" s="7">
        <f>'2009'!B253</f>
        <v>0</v>
      </c>
      <c r="D951" s="7">
        <f>'2009'!C253</f>
        <v>0</v>
      </c>
      <c r="E951" s="7">
        <f t="shared" si="27"/>
        <v>0</v>
      </c>
    </row>
    <row r="952" spans="2:5" ht="12.75">
      <c r="B952">
        <v>2011</v>
      </c>
      <c r="C952" s="7">
        <f>'2011'!B253</f>
        <v>0</v>
      </c>
      <c r="D952" s="7">
        <f>'2011'!C253</f>
        <v>0</v>
      </c>
      <c r="E952" s="7">
        <f t="shared" si="27"/>
        <v>0</v>
      </c>
    </row>
    <row r="953" spans="2:5" ht="12.75">
      <c r="B953" s="9" t="s">
        <v>59</v>
      </c>
      <c r="C953" s="7">
        <f>'2013A'!B157</f>
        <v>0</v>
      </c>
      <c r="D953" s="7">
        <f>'2013A'!C157</f>
        <v>0</v>
      </c>
      <c r="E953" s="7">
        <f>'2013A'!D182</f>
        <v>0</v>
      </c>
    </row>
    <row r="954" spans="2:5" ht="12.75">
      <c r="B954" s="9" t="s">
        <v>60</v>
      </c>
      <c r="C954" s="7">
        <f>'2013B'!B157</f>
        <v>0</v>
      </c>
      <c r="D954" s="7">
        <f>'2013B'!C157</f>
        <v>0</v>
      </c>
      <c r="E954" s="7">
        <f>C954+D954</f>
        <v>0</v>
      </c>
    </row>
    <row r="955" spans="2:5" ht="12.75">
      <c r="B955" s="9" t="s">
        <v>71</v>
      </c>
      <c r="C955" s="7">
        <f>'2014B'!B480</f>
        <v>0</v>
      </c>
      <c r="D955" s="7">
        <f>'2014B'!C480</f>
        <v>0</v>
      </c>
      <c r="E955" s="7">
        <f>'2014B'!D480</f>
        <v>0</v>
      </c>
    </row>
    <row r="956" spans="3:5" ht="12.75">
      <c r="C956" s="7"/>
      <c r="D956" s="7"/>
      <c r="E956" s="7"/>
    </row>
    <row r="957" spans="1:7" ht="12.75">
      <c r="A957" s="1" t="s">
        <v>37</v>
      </c>
      <c r="C957" s="8">
        <f>SUM(C940:C956)</f>
        <v>130000</v>
      </c>
      <c r="D957" s="8">
        <f>SUM(D940:D956)</f>
        <v>3250</v>
      </c>
      <c r="E957" s="8">
        <f>SUM(E940:E956)</f>
        <v>133250</v>
      </c>
      <c r="G957" s="8">
        <f>E957</f>
        <v>133250</v>
      </c>
    </row>
    <row r="958" spans="3:5" ht="12.75">
      <c r="C958" s="7"/>
      <c r="D958" s="7"/>
      <c r="E958" s="7"/>
    </row>
    <row r="959" spans="2:5" ht="12.75">
      <c r="B959" t="s">
        <v>40</v>
      </c>
      <c r="C959" s="7">
        <f>KIAF06!B253</f>
        <v>0</v>
      </c>
      <c r="D959" s="7">
        <f>KIAF06!C253</f>
        <v>0</v>
      </c>
      <c r="E959" s="7">
        <f>C959+D959</f>
        <v>0</v>
      </c>
    </row>
    <row r="960" spans="2:5" ht="12.75">
      <c r="B960" t="s">
        <v>41</v>
      </c>
      <c r="C960" s="7">
        <f>KIAC08!B716</f>
        <v>0</v>
      </c>
      <c r="D960" s="7">
        <f>KIAC08!C716</f>
        <v>0</v>
      </c>
      <c r="E960" s="7">
        <f>C960+D960</f>
        <v>0</v>
      </c>
    </row>
    <row r="961" spans="2:5" ht="12.75">
      <c r="B961" t="s">
        <v>64</v>
      </c>
      <c r="C961" s="7">
        <f>KIAF08!B355</f>
        <v>0</v>
      </c>
      <c r="D961" s="7">
        <f>KIAF08!C355</f>
        <v>0</v>
      </c>
      <c r="E961" s="7">
        <f>C961+D961</f>
        <v>0</v>
      </c>
    </row>
    <row r="962" spans="2:5" ht="12.75">
      <c r="B962" t="s">
        <v>58</v>
      </c>
      <c r="C962" s="7">
        <f>KIAF09!B232</f>
        <v>0</v>
      </c>
      <c r="D962" s="7">
        <f>KIAF09!C232</f>
        <v>0</v>
      </c>
      <c r="E962" s="7">
        <f>C962+D962</f>
        <v>0</v>
      </c>
    </row>
    <row r="963" spans="3:5" ht="12.75">
      <c r="C963" s="7"/>
      <c r="D963" s="7"/>
      <c r="E963" s="7"/>
    </row>
    <row r="964" spans="1:7" ht="12.75">
      <c r="A964" s="1" t="s">
        <v>42</v>
      </c>
      <c r="C964" s="8">
        <f>SUM(C959:C963)</f>
        <v>0</v>
      </c>
      <c r="D964" s="8">
        <f>SUM(D959:D963)</f>
        <v>0</v>
      </c>
      <c r="E964" s="8">
        <f>SUM(E959:E963)</f>
        <v>0</v>
      </c>
      <c r="G964" s="8">
        <f>E964</f>
        <v>0</v>
      </c>
    </row>
    <row r="966" spans="1:7" ht="12.75">
      <c r="A966" s="1" t="s">
        <v>43</v>
      </c>
      <c r="G966" s="8">
        <f>G957+G964</f>
        <v>133250</v>
      </c>
    </row>
    <row r="970" spans="4:7" ht="12.75">
      <c r="D970" s="1" t="s">
        <v>46</v>
      </c>
      <c r="G970" s="8">
        <f>MAX(G22:G966)</f>
        <v>20455611</v>
      </c>
    </row>
  </sheetData>
  <sheetProtection/>
  <mergeCells count="28">
    <mergeCell ref="A61:G61"/>
    <mergeCell ref="A62:G62"/>
    <mergeCell ref="A1:G1"/>
    <mergeCell ref="A2:G2"/>
    <mergeCell ref="A271:G271"/>
    <mergeCell ref="A272:G272"/>
    <mergeCell ref="A341:G341"/>
    <mergeCell ref="A342:G342"/>
    <mergeCell ref="A131:G131"/>
    <mergeCell ref="A132:G132"/>
    <mergeCell ref="A201:G201"/>
    <mergeCell ref="A202:G202"/>
    <mergeCell ref="A552:G552"/>
    <mergeCell ref="A553:G553"/>
    <mergeCell ref="A622:G622"/>
    <mergeCell ref="A623:G623"/>
    <mergeCell ref="A411:G411"/>
    <mergeCell ref="A412:G412"/>
    <mergeCell ref="A482:G482"/>
    <mergeCell ref="A483:G483"/>
    <mergeCell ref="A832:G832"/>
    <mergeCell ref="A833:G833"/>
    <mergeCell ref="A901:G901"/>
    <mergeCell ref="A902:G902"/>
    <mergeCell ref="A692:G692"/>
    <mergeCell ref="A693:G693"/>
    <mergeCell ref="A762:G762"/>
    <mergeCell ref="A763:G763"/>
  </mergeCells>
  <printOptions gridLines="1" horizontalCentered="1"/>
  <pageMargins left="0.25" right="0.25" top="0.5" bottom="0.5" header="0.5" footer="0.5"/>
  <pageSetup horizontalDpi="600" verticalDpi="600" orientation="portrait" scale="82" r:id="rId1"/>
  <rowBreaks count="13" manualBreakCount="13">
    <brk id="58" max="6" man="1"/>
    <brk id="128" max="255" man="1"/>
    <brk id="199" max="255" man="1"/>
    <brk id="270" max="255" man="1"/>
    <brk id="340" max="255" man="1"/>
    <brk id="410" max="255" man="1"/>
    <brk id="481" max="255" man="1"/>
    <brk id="551" max="255" man="1"/>
    <brk id="621" max="255" man="1"/>
    <brk id="691" max="255" man="1"/>
    <brk id="761" max="255" man="1"/>
    <brk id="831" max="255" man="1"/>
    <brk id="90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65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2003C Defeased 2014 with 2014B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12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0</v>
      </c>
      <c r="C87" s="7">
        <v>0</v>
      </c>
      <c r="D87" s="7">
        <f>SUM(B87:C87)</f>
        <v>0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0</v>
      </c>
      <c r="C90" s="8">
        <f>SUM(C87:C89)</f>
        <v>0</v>
      </c>
      <c r="D90" s="8">
        <f>SUM(D87:D89)</f>
        <v>0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0</v>
      </c>
      <c r="C92" s="7">
        <v>0</v>
      </c>
      <c r="D92" s="7">
        <f>SUM(B92:C92)</f>
        <v>0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0</v>
      </c>
      <c r="C95" s="8">
        <f>SUM(C92:C94)</f>
        <v>0</v>
      </c>
      <c r="D95" s="8">
        <f>SUM(D92:D94)</f>
        <v>0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0</v>
      </c>
      <c r="C97" s="7">
        <v>0</v>
      </c>
      <c r="D97" s="7">
        <f>SUM(B97:C97)</f>
        <v>0</v>
      </c>
    </row>
    <row r="98" spans="1:4" ht="12.75">
      <c r="A98" s="3">
        <v>47331</v>
      </c>
      <c r="B98" s="7">
        <v>0</v>
      </c>
      <c r="C98" s="7">
        <v>0</v>
      </c>
      <c r="D98" s="7">
        <f>SUM(B98:C98)</f>
        <v>0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0</v>
      </c>
      <c r="C100" s="8">
        <f>SUM(C97:C99)</f>
        <v>0</v>
      </c>
      <c r="D100" s="8">
        <f>SUM(D97:D99)</f>
        <v>0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2003C Defeased 2014 with 2014B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0</v>
      </c>
      <c r="C109" s="7">
        <v>0</v>
      </c>
      <c r="D109" s="7">
        <f>SUM(B109:C109)</f>
        <v>0</v>
      </c>
    </row>
    <row r="110" spans="1:4" ht="12.75">
      <c r="A110" s="3">
        <v>47696</v>
      </c>
      <c r="B110" s="7">
        <v>0</v>
      </c>
      <c r="C110" s="7">
        <v>0</v>
      </c>
      <c r="D110" s="7">
        <f>SUM(B110:C110)</f>
        <v>0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0</v>
      </c>
      <c r="C112" s="8">
        <f>SUM(C109:C111)</f>
        <v>0</v>
      </c>
      <c r="D112" s="8">
        <f>SUM(D109:D111)</f>
        <v>0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0</v>
      </c>
      <c r="C114" s="7">
        <v>0</v>
      </c>
      <c r="D114" s="7">
        <f>SUM(B114:C114)</f>
        <v>0</v>
      </c>
    </row>
    <row r="115" spans="1:4" ht="12.75">
      <c r="A115" s="3">
        <v>48061</v>
      </c>
      <c r="B115" s="7">
        <v>0</v>
      </c>
      <c r="C115" s="7">
        <v>0</v>
      </c>
      <c r="D115" s="7">
        <f>SUM(B115:C115)</f>
        <v>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0</v>
      </c>
      <c r="C117" s="8">
        <f>SUM(C114:C116)</f>
        <v>0</v>
      </c>
      <c r="D117" s="8">
        <f>SUM(D114:D116)</f>
        <v>0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0</v>
      </c>
      <c r="C119" s="7">
        <v>0</v>
      </c>
      <c r="D119" s="7">
        <f>SUM(B119:C119)</f>
        <v>0</v>
      </c>
    </row>
    <row r="120" spans="1:4" ht="12.75">
      <c r="A120" s="3">
        <v>48427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23</v>
      </c>
      <c r="B122" s="8">
        <f>SUM(B119:B121)</f>
        <v>0</v>
      </c>
      <c r="C122" s="8">
        <f>SUM(C119:C121)</f>
        <v>0</v>
      </c>
      <c r="D122" s="8">
        <f>SUM(D119:D121)</f>
        <v>0</v>
      </c>
    </row>
    <row r="123" spans="1:4" ht="12.75">
      <c r="A123" s="2"/>
      <c r="B123" s="8"/>
      <c r="C123" s="8"/>
      <c r="D123" s="8"/>
    </row>
    <row r="124" spans="1:4" ht="12.75">
      <c r="A124" s="2"/>
      <c r="B124" s="8"/>
      <c r="C124" s="8"/>
      <c r="D124" s="8"/>
    </row>
    <row r="125" spans="1:4" ht="12.75">
      <c r="A125" s="2" t="s">
        <v>27</v>
      </c>
      <c r="B125" s="8">
        <f>SUMIF(A1:A122,"Total*",B1:B122)</f>
        <v>0</v>
      </c>
      <c r="C125" s="8">
        <f>SUMIF(A1:A122,"Total*",C1:C122)</f>
        <v>0</v>
      </c>
      <c r="D125" s="8">
        <f>B125+C125</f>
        <v>0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66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2004A Defeased 2014B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0</v>
      </c>
      <c r="C87" s="7">
        <v>0</v>
      </c>
      <c r="D87" s="7">
        <f>SUM(B87:C87)</f>
        <v>0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0</v>
      </c>
      <c r="C90" s="8">
        <f>SUM(C87:C89)</f>
        <v>0</v>
      </c>
      <c r="D90" s="8">
        <f>SUM(D87:D89)</f>
        <v>0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0</v>
      </c>
      <c r="C92" s="7">
        <v>0</v>
      </c>
      <c r="D92" s="7">
        <f>SUM(B92:C92)</f>
        <v>0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0</v>
      </c>
      <c r="C95" s="8">
        <f>SUM(C92:C94)</f>
        <v>0</v>
      </c>
      <c r="D95" s="8">
        <f>SUM(D92:D94)</f>
        <v>0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0</v>
      </c>
      <c r="C97" s="7">
        <v>0</v>
      </c>
      <c r="D97" s="7">
        <f>SUM(B97:C97)</f>
        <v>0</v>
      </c>
    </row>
    <row r="98" spans="1:4" ht="12.75">
      <c r="A98" s="3">
        <v>47331</v>
      </c>
      <c r="B98" s="7">
        <v>0</v>
      </c>
      <c r="C98" s="7">
        <v>0</v>
      </c>
      <c r="D98" s="7">
        <f>SUM(B98:C98)</f>
        <v>0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0</v>
      </c>
      <c r="C100" s="8">
        <f>SUM(C97:C99)</f>
        <v>0</v>
      </c>
      <c r="D100" s="8">
        <f>SUM(D97:D99)</f>
        <v>0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2004A Defeased 2014B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0</v>
      </c>
      <c r="C109" s="7">
        <v>0</v>
      </c>
      <c r="D109" s="7">
        <f>SUM(B109:C109)</f>
        <v>0</v>
      </c>
    </row>
    <row r="110" spans="1:4" ht="12.75">
      <c r="A110" s="3">
        <v>47696</v>
      </c>
      <c r="B110" s="7">
        <v>0</v>
      </c>
      <c r="C110" s="7">
        <v>0</v>
      </c>
      <c r="D110" s="7">
        <f>SUM(B110:C110)</f>
        <v>0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0</v>
      </c>
      <c r="C112" s="8">
        <f>SUM(C109:C111)</f>
        <v>0</v>
      </c>
      <c r="D112" s="8">
        <f>SUM(D109:D111)</f>
        <v>0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0</v>
      </c>
      <c r="C114" s="7">
        <v>0</v>
      </c>
      <c r="D114" s="7">
        <f>SUM(B114:C114)</f>
        <v>0</v>
      </c>
    </row>
    <row r="115" spans="1:4" ht="12.75">
      <c r="A115" s="3">
        <v>48061</v>
      </c>
      <c r="B115" s="7">
        <v>0</v>
      </c>
      <c r="C115" s="7">
        <v>0</v>
      </c>
      <c r="D115" s="7">
        <f>SUM(B115:C115)</f>
        <v>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0</v>
      </c>
      <c r="C117" s="8">
        <f>SUM(C114:C116)</f>
        <v>0</v>
      </c>
      <c r="D117" s="8">
        <f>SUM(D114:D116)</f>
        <v>0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0</v>
      </c>
      <c r="C119" s="7">
        <v>0</v>
      </c>
      <c r="D119" s="7">
        <f>SUM(B119:C119)</f>
        <v>0</v>
      </c>
    </row>
    <row r="120" spans="1:4" ht="12.75">
      <c r="A120" s="3">
        <v>48427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23</v>
      </c>
      <c r="B122" s="8">
        <f>SUM(B119:B121)</f>
        <v>0</v>
      </c>
      <c r="C122" s="8">
        <f>SUM(C119:C121)</f>
        <v>0</v>
      </c>
      <c r="D122" s="8">
        <f>SUM(D119:D121)</f>
        <v>0</v>
      </c>
    </row>
    <row r="123" spans="1:4" ht="12.75">
      <c r="A123" s="2"/>
      <c r="B123" s="8"/>
      <c r="C123" s="8"/>
      <c r="D123" s="8"/>
    </row>
    <row r="124" spans="1:4" ht="12.75">
      <c r="A124" s="2"/>
      <c r="B124" s="8"/>
      <c r="C124" s="8"/>
      <c r="D124" s="8"/>
    </row>
    <row r="125" spans="1:4" ht="12.75">
      <c r="A125" s="2" t="s">
        <v>27</v>
      </c>
      <c r="B125" s="8">
        <f>SUMIF(A1:A122,"Total*",B1:B122)</f>
        <v>0</v>
      </c>
      <c r="C125" s="8">
        <f>SUMIF(A1:A122,"Total*",C1:C122)</f>
        <v>0</v>
      </c>
      <c r="D125" s="8">
        <f>B125+C125</f>
        <v>0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73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980000</v>
      </c>
      <c r="C25" s="7">
        <v>462044</v>
      </c>
      <c r="D25" s="7">
        <f>SUM(B25:C25)</f>
        <v>1442044</v>
      </c>
    </row>
    <row r="26" spans="1:4" ht="12.75">
      <c r="A26" s="3">
        <v>42583</v>
      </c>
      <c r="B26" s="7">
        <v>0</v>
      </c>
      <c r="C26" s="7">
        <v>442444</v>
      </c>
      <c r="D26" s="7">
        <f>SUM(B26:C26)</f>
        <v>442444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980000</v>
      </c>
      <c r="C28" s="8">
        <f>SUM(C25:C27)</f>
        <v>904488</v>
      </c>
      <c r="D28" s="8">
        <f>SUM(D25:D27)</f>
        <v>1884488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1020000</v>
      </c>
      <c r="C30" s="7">
        <v>442444</v>
      </c>
      <c r="D30" s="7">
        <f>SUM(B30:C30)</f>
        <v>1462444</v>
      </c>
    </row>
    <row r="31" spans="1:4" ht="12.75">
      <c r="A31" s="3">
        <v>42948</v>
      </c>
      <c r="B31" s="7">
        <v>0</v>
      </c>
      <c r="C31" s="7">
        <v>422044</v>
      </c>
      <c r="D31" s="7">
        <f>SUM(B31:C31)</f>
        <v>422044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1020000</v>
      </c>
      <c r="C33" s="8">
        <f>SUM(C30:C32)</f>
        <v>864488</v>
      </c>
      <c r="D33" s="8">
        <f>SUM(D30:D32)</f>
        <v>1884488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970000</v>
      </c>
      <c r="C35" s="7">
        <v>422044</v>
      </c>
      <c r="D35" s="7">
        <f>SUM(B35:C35)</f>
        <v>1392044</v>
      </c>
    </row>
    <row r="36" spans="1:4" ht="12.75">
      <c r="A36" s="3">
        <v>43313</v>
      </c>
      <c r="B36" s="7">
        <v>0</v>
      </c>
      <c r="C36" s="7">
        <v>402644</v>
      </c>
      <c r="D36" s="7">
        <f>SUM(B36:C36)</f>
        <v>402644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970000</v>
      </c>
      <c r="C38" s="8">
        <f>SUM(C35:C37)</f>
        <v>824688</v>
      </c>
      <c r="D38" s="8">
        <f>SUM(D35:D37)</f>
        <v>1794688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1010000</v>
      </c>
      <c r="C40" s="7">
        <v>402644</v>
      </c>
      <c r="D40" s="7">
        <f>SUM(B40:C40)</f>
        <v>1412644</v>
      </c>
    </row>
    <row r="41" spans="1:4" ht="12.75">
      <c r="A41" s="3">
        <v>43678</v>
      </c>
      <c r="B41" s="7">
        <v>0</v>
      </c>
      <c r="C41" s="7">
        <v>382444</v>
      </c>
      <c r="D41" s="7">
        <f>SUM(B41:C41)</f>
        <v>382444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1010000</v>
      </c>
      <c r="C43" s="8">
        <f>SUM(C40:C42)</f>
        <v>785088</v>
      </c>
      <c r="D43" s="8">
        <f>SUM(D40:D42)</f>
        <v>1795088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1320000</v>
      </c>
      <c r="C45" s="7">
        <v>382444</v>
      </c>
      <c r="D45" s="7">
        <f>SUM(B45:C45)</f>
        <v>1702444</v>
      </c>
    </row>
    <row r="46" spans="1:4" ht="12.75">
      <c r="A46" s="3">
        <v>44044</v>
      </c>
      <c r="B46" s="7">
        <v>0</v>
      </c>
      <c r="C46" s="7">
        <v>355219</v>
      </c>
      <c r="D46" s="7">
        <f>SUM(B46:C46)</f>
        <v>355219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1320000</v>
      </c>
      <c r="C48" s="8">
        <f>SUM(C45:C47)</f>
        <v>737663</v>
      </c>
      <c r="D48" s="8">
        <f>SUM(D45:D47)</f>
        <v>2057663</v>
      </c>
    </row>
    <row r="53" spans="1:4" ht="12.75">
      <c r="A53" s="10" t="str">
        <f>A1</f>
        <v>Series 2006A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1205000</v>
      </c>
      <c r="C57" s="7">
        <v>355219</v>
      </c>
      <c r="D57" s="7">
        <f>SUM(B57:C57)</f>
        <v>1560219</v>
      </c>
    </row>
    <row r="58" spans="1:4" ht="12.75">
      <c r="A58" s="3">
        <v>44409</v>
      </c>
      <c r="B58" s="7">
        <v>0</v>
      </c>
      <c r="C58" s="7">
        <v>330366</v>
      </c>
      <c r="D58" s="7">
        <f>SUM(B58:C58)</f>
        <v>330366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1205000</v>
      </c>
      <c r="C60" s="8">
        <f>SUM(C57:C59)</f>
        <v>685585</v>
      </c>
      <c r="D60" s="8">
        <f>SUM(D57:D59)</f>
        <v>1890585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1255000</v>
      </c>
      <c r="C62" s="7">
        <v>330366</v>
      </c>
      <c r="D62" s="7">
        <f>SUM(B62:C62)</f>
        <v>1585366</v>
      </c>
    </row>
    <row r="63" spans="1:4" ht="12.75">
      <c r="A63" s="3">
        <v>44774</v>
      </c>
      <c r="B63" s="7">
        <v>0</v>
      </c>
      <c r="C63" s="7">
        <v>304481</v>
      </c>
      <c r="D63" s="7">
        <f>SUM(B63:C63)</f>
        <v>304481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1255000</v>
      </c>
      <c r="C65" s="8">
        <f>SUM(C62:C64)</f>
        <v>634847</v>
      </c>
      <c r="D65" s="8">
        <f>SUM(D62:D64)</f>
        <v>1889847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1420000</v>
      </c>
      <c r="C67" s="7">
        <v>304481</v>
      </c>
      <c r="D67" s="7">
        <f>SUM(B67:C67)</f>
        <v>1724481</v>
      </c>
    </row>
    <row r="68" spans="1:4" ht="12.75">
      <c r="A68" s="3">
        <v>45139</v>
      </c>
      <c r="B68" s="7">
        <v>0</v>
      </c>
      <c r="C68" s="7">
        <v>275194</v>
      </c>
      <c r="D68" s="7">
        <f>SUM(B68:C68)</f>
        <v>275194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1420000</v>
      </c>
      <c r="C70" s="8">
        <f>SUM(C67:C69)</f>
        <v>579675</v>
      </c>
      <c r="D70" s="8">
        <f>SUM(D67:D69)</f>
        <v>1999675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1375000</v>
      </c>
      <c r="C72" s="7">
        <v>275194</v>
      </c>
      <c r="D72" s="7">
        <f>SUM(B72:C72)</f>
        <v>1650194</v>
      </c>
    </row>
    <row r="73" spans="1:4" ht="12.75">
      <c r="A73" s="3">
        <v>45505</v>
      </c>
      <c r="B73" s="7">
        <v>0</v>
      </c>
      <c r="C73" s="7">
        <v>246834</v>
      </c>
      <c r="D73" s="7">
        <f>SUM(B73:C73)</f>
        <v>246834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1375000</v>
      </c>
      <c r="C75" s="8">
        <f>SUM(C72:C74)</f>
        <v>522028</v>
      </c>
      <c r="D75" s="8">
        <f>SUM(D72:D74)</f>
        <v>1897028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1440000</v>
      </c>
      <c r="C77" s="7">
        <v>246834</v>
      </c>
      <c r="D77" s="7">
        <f>SUM(B77:C77)</f>
        <v>1686834</v>
      </c>
    </row>
    <row r="78" spans="1:4" ht="12.75">
      <c r="A78" s="3">
        <v>45870</v>
      </c>
      <c r="B78" s="7">
        <v>0</v>
      </c>
      <c r="C78" s="7">
        <v>217134</v>
      </c>
      <c r="D78" s="7">
        <f>SUM(B78:C78)</f>
        <v>217134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1440000</v>
      </c>
      <c r="C80" s="8">
        <f>SUM(C77:C79)</f>
        <v>463968</v>
      </c>
      <c r="D80" s="8">
        <f>SUM(D77:D79)</f>
        <v>1903968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1505000</v>
      </c>
      <c r="C82" s="7">
        <v>217134</v>
      </c>
      <c r="D82" s="7">
        <f>SUM(B82:C82)</f>
        <v>1722134</v>
      </c>
    </row>
    <row r="83" spans="1:4" ht="12.75">
      <c r="A83" s="3">
        <v>46235</v>
      </c>
      <c r="B83" s="7">
        <v>0</v>
      </c>
      <c r="C83" s="7">
        <v>185153</v>
      </c>
      <c r="D83" s="7">
        <f>SUM(B83:C83)</f>
        <v>185153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1505000</v>
      </c>
      <c r="C85" s="8">
        <f>SUM(C82:C84)</f>
        <v>402287</v>
      </c>
      <c r="D85" s="8">
        <f>SUM(D82:D84)</f>
        <v>1907287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1570000</v>
      </c>
      <c r="C87" s="7">
        <v>185153</v>
      </c>
      <c r="D87" s="7">
        <f>SUM(B87:C87)</f>
        <v>1755153</v>
      </c>
    </row>
    <row r="88" spans="1:4" ht="12.75">
      <c r="A88" s="3">
        <v>46600</v>
      </c>
      <c r="B88" s="7">
        <v>0</v>
      </c>
      <c r="C88" s="7">
        <v>151791</v>
      </c>
      <c r="D88" s="7">
        <f>SUM(B88:C88)</f>
        <v>151791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1570000</v>
      </c>
      <c r="C90" s="8">
        <f>SUM(C87:C89)</f>
        <v>336944</v>
      </c>
      <c r="D90" s="8">
        <f>SUM(D87:D89)</f>
        <v>1906944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1640000</v>
      </c>
      <c r="C92" s="7">
        <v>151791</v>
      </c>
      <c r="D92" s="7">
        <f>SUM(B92:C92)</f>
        <v>1791791</v>
      </c>
    </row>
    <row r="93" spans="1:4" ht="12.75">
      <c r="A93" s="3">
        <v>46966</v>
      </c>
      <c r="B93" s="7">
        <v>0</v>
      </c>
      <c r="C93" s="7">
        <v>116941</v>
      </c>
      <c r="D93" s="7">
        <f>SUM(B93:C93)</f>
        <v>116941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1640000</v>
      </c>
      <c r="C95" s="8">
        <f>SUM(C92:C94)</f>
        <v>268732</v>
      </c>
      <c r="D95" s="8">
        <f>SUM(D92:D94)</f>
        <v>1908732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1720000</v>
      </c>
      <c r="C97" s="7">
        <v>116941</v>
      </c>
      <c r="D97" s="7">
        <f>SUM(B97:C97)</f>
        <v>1836941</v>
      </c>
    </row>
    <row r="98" spans="1:4" ht="12.75">
      <c r="A98" s="3">
        <v>47331</v>
      </c>
      <c r="B98" s="7">
        <v>0</v>
      </c>
      <c r="C98" s="7">
        <v>80391</v>
      </c>
      <c r="D98" s="7">
        <f>SUM(B98:C98)</f>
        <v>80391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1720000</v>
      </c>
      <c r="C100" s="8">
        <f>SUM(C97:C99)</f>
        <v>197332</v>
      </c>
      <c r="D100" s="8">
        <f>SUM(D97:D99)</f>
        <v>1917332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2006A After August 1, 2015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1795000</v>
      </c>
      <c r="C109" s="7">
        <v>80391</v>
      </c>
      <c r="D109" s="7">
        <f>SUM(B109:C109)</f>
        <v>1875391</v>
      </c>
    </row>
    <row r="110" spans="1:4" ht="12.75">
      <c r="A110" s="3">
        <v>47696</v>
      </c>
      <c r="B110" s="7">
        <v>0</v>
      </c>
      <c r="C110" s="7">
        <v>41125</v>
      </c>
      <c r="D110" s="7">
        <f>SUM(B110:C110)</f>
        <v>41125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1795000</v>
      </c>
      <c r="C112" s="8">
        <f>SUM(C109:C111)</f>
        <v>121516</v>
      </c>
      <c r="D112" s="8">
        <f>SUM(D109:D111)</f>
        <v>1916516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1880000</v>
      </c>
      <c r="C114" s="7">
        <v>41125</v>
      </c>
      <c r="D114" s="7">
        <f>SUM(B114:C114)</f>
        <v>1921125</v>
      </c>
    </row>
    <row r="115" spans="1:4" ht="12.75">
      <c r="A115" s="3">
        <v>48061</v>
      </c>
      <c r="B115" s="7">
        <v>0</v>
      </c>
      <c r="C115" s="7">
        <v>0</v>
      </c>
      <c r="D115" s="7">
        <f>SUM(B115:C115)</f>
        <v>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1880000</v>
      </c>
      <c r="C117" s="8">
        <f>SUM(C114:C116)</f>
        <v>41125</v>
      </c>
      <c r="D117" s="8">
        <f>SUM(D114:D116)</f>
        <v>1921125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0</v>
      </c>
      <c r="C119" s="7">
        <v>0</v>
      </c>
      <c r="D119" s="7">
        <f>SUM(B119:C119)</f>
        <v>0</v>
      </c>
    </row>
    <row r="120" spans="1:4" ht="12.75">
      <c r="A120" s="3">
        <v>48427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23</v>
      </c>
      <c r="B122" s="8">
        <f>SUM(B119:B121)</f>
        <v>0</v>
      </c>
      <c r="C122" s="8">
        <f>SUM(C119:C121)</f>
        <v>0</v>
      </c>
      <c r="D122" s="8">
        <f>SUM(D119:D121)</f>
        <v>0</v>
      </c>
    </row>
    <row r="123" spans="1:4" ht="12.75">
      <c r="A123" s="2"/>
      <c r="B123" s="8"/>
      <c r="C123" s="8"/>
      <c r="D123" s="8"/>
    </row>
    <row r="124" spans="1:4" ht="12.75">
      <c r="A124" s="2"/>
      <c r="B124" s="8"/>
      <c r="C124" s="8"/>
      <c r="D124" s="8"/>
    </row>
    <row r="125" spans="1:4" ht="12.75">
      <c r="A125" s="2" t="s">
        <v>27</v>
      </c>
      <c r="B125" s="8">
        <f>SUMIF(A1:A122,"Total*",B1:B122)</f>
        <v>22105000</v>
      </c>
      <c r="C125" s="8">
        <f>SUMIF(A1:A122,"Total*",C1:C122)</f>
        <v>8370454</v>
      </c>
      <c r="D125" s="8">
        <f>B125+C125</f>
        <v>30475454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74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815000</v>
      </c>
      <c r="C25" s="7">
        <v>689744</v>
      </c>
      <c r="D25" s="7">
        <f>SUM(B25:C25)</f>
        <v>1504744</v>
      </c>
    </row>
    <row r="26" spans="1:4" ht="12.75">
      <c r="A26" s="3">
        <v>42583</v>
      </c>
      <c r="B26" s="7">
        <v>0</v>
      </c>
      <c r="C26" s="7">
        <v>672425</v>
      </c>
      <c r="D26" s="7">
        <f>SUM(B26:C26)</f>
        <v>672425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815000</v>
      </c>
      <c r="C28" s="8">
        <f>SUM(C25:C27)</f>
        <v>1362169</v>
      </c>
      <c r="D28" s="8">
        <f>SUM(D25:D27)</f>
        <v>2177169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850000</v>
      </c>
      <c r="C30" s="7">
        <v>672425</v>
      </c>
      <c r="D30" s="7">
        <f>SUM(B30:C30)</f>
        <v>1522425</v>
      </c>
    </row>
    <row r="31" spans="1:4" ht="12.75">
      <c r="A31" s="3">
        <v>42948</v>
      </c>
      <c r="B31" s="7">
        <v>0</v>
      </c>
      <c r="C31" s="7">
        <v>652238</v>
      </c>
      <c r="D31" s="7">
        <f>SUM(B31:C31)</f>
        <v>652238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850000</v>
      </c>
      <c r="C33" s="8">
        <f>SUM(C30:C32)</f>
        <v>1324663</v>
      </c>
      <c r="D33" s="8">
        <f>SUM(D30:D32)</f>
        <v>2174663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895000</v>
      </c>
      <c r="C35" s="7">
        <v>652238</v>
      </c>
      <c r="D35" s="7">
        <f>SUM(B35:C35)</f>
        <v>1547238</v>
      </c>
    </row>
    <row r="36" spans="1:4" ht="12.75">
      <c r="A36" s="3">
        <v>43313</v>
      </c>
      <c r="B36" s="7">
        <v>0</v>
      </c>
      <c r="C36" s="7">
        <v>629863</v>
      </c>
      <c r="D36" s="7">
        <f>SUM(B36:C36)</f>
        <v>629863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895000</v>
      </c>
      <c r="C38" s="8">
        <f>SUM(C35:C37)</f>
        <v>1282101</v>
      </c>
      <c r="D38" s="8">
        <f>SUM(D35:D37)</f>
        <v>2177101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940000</v>
      </c>
      <c r="C40" s="7">
        <v>629863</v>
      </c>
      <c r="D40" s="7">
        <f>SUM(B40:C40)</f>
        <v>1569863</v>
      </c>
    </row>
    <row r="41" spans="1:4" ht="12.75">
      <c r="A41" s="3">
        <v>43678</v>
      </c>
      <c r="B41" s="7">
        <v>0</v>
      </c>
      <c r="C41" s="7">
        <v>606363</v>
      </c>
      <c r="D41" s="7">
        <f>SUM(B41:C41)</f>
        <v>606363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940000</v>
      </c>
      <c r="C43" s="8">
        <f>SUM(C40:C42)</f>
        <v>1236226</v>
      </c>
      <c r="D43" s="8">
        <f>SUM(D40:D42)</f>
        <v>2176226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990000</v>
      </c>
      <c r="C45" s="7">
        <v>606363</v>
      </c>
      <c r="D45" s="7">
        <f>SUM(B45:C45)</f>
        <v>1596363</v>
      </c>
    </row>
    <row r="46" spans="1:4" ht="12.75">
      <c r="A46" s="3">
        <v>44044</v>
      </c>
      <c r="B46" s="7">
        <v>0</v>
      </c>
      <c r="C46" s="7">
        <v>580994</v>
      </c>
      <c r="D46" s="7">
        <f>SUM(B46:C46)</f>
        <v>580994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990000</v>
      </c>
      <c r="C48" s="8">
        <f>SUM(C45:C47)</f>
        <v>1187357</v>
      </c>
      <c r="D48" s="8">
        <f>SUM(D45:D47)</f>
        <v>2177357</v>
      </c>
    </row>
    <row r="53" spans="1:4" ht="12.75">
      <c r="A53" s="10" t="str">
        <f>A1</f>
        <v>Series 2009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1040000</v>
      </c>
      <c r="C57" s="7">
        <v>580994</v>
      </c>
      <c r="D57" s="7">
        <f>SUM(B57:C57)</f>
        <v>1620994</v>
      </c>
    </row>
    <row r="58" spans="1:4" ht="12.75">
      <c r="A58" s="3">
        <v>44409</v>
      </c>
      <c r="B58" s="7">
        <v>0</v>
      </c>
      <c r="C58" s="7">
        <v>553694</v>
      </c>
      <c r="D58" s="7">
        <f>SUM(B58:C58)</f>
        <v>553694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1040000</v>
      </c>
      <c r="C60" s="8">
        <f>SUM(C57:C59)</f>
        <v>1134688</v>
      </c>
      <c r="D60" s="8">
        <f>SUM(D57:D59)</f>
        <v>2174688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1100000</v>
      </c>
      <c r="C62" s="7">
        <v>553594</v>
      </c>
      <c r="D62" s="7">
        <f>SUM(B62:C62)</f>
        <v>1653594</v>
      </c>
    </row>
    <row r="63" spans="1:4" ht="12.75">
      <c r="A63" s="3">
        <v>44774</v>
      </c>
      <c r="B63" s="7">
        <v>0</v>
      </c>
      <c r="C63" s="7">
        <v>524131</v>
      </c>
      <c r="D63" s="7">
        <f>SUM(B63:C63)</f>
        <v>524131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1100000</v>
      </c>
      <c r="C65" s="8">
        <f>SUM(C62:C64)</f>
        <v>1077725</v>
      </c>
      <c r="D65" s="8">
        <f>SUM(D62:D64)</f>
        <v>2177725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1160000</v>
      </c>
      <c r="C67" s="7">
        <v>524131</v>
      </c>
      <c r="D67" s="7">
        <f>SUM(B67:C67)</f>
        <v>1684131</v>
      </c>
    </row>
    <row r="68" spans="1:4" ht="12.75">
      <c r="A68" s="3">
        <v>45139</v>
      </c>
      <c r="B68" s="7">
        <v>0</v>
      </c>
      <c r="C68" s="7">
        <v>492231</v>
      </c>
      <c r="D68" s="7">
        <f>SUM(B68:C68)</f>
        <v>492231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1160000</v>
      </c>
      <c r="C70" s="8">
        <f>SUM(C67:C69)</f>
        <v>1016362</v>
      </c>
      <c r="D70" s="8">
        <f>SUM(D67:D69)</f>
        <v>2176362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1225000</v>
      </c>
      <c r="C72" s="7">
        <v>492231</v>
      </c>
      <c r="D72" s="7">
        <f>SUM(B72:C72)</f>
        <v>1717231</v>
      </c>
    </row>
    <row r="73" spans="1:4" ht="12.75">
      <c r="A73" s="3">
        <v>45505</v>
      </c>
      <c r="B73" s="7">
        <v>0</v>
      </c>
      <c r="C73" s="7">
        <v>457319</v>
      </c>
      <c r="D73" s="7">
        <f>SUM(B73:C73)</f>
        <v>457319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1225000</v>
      </c>
      <c r="C75" s="8">
        <f>SUM(C72:C74)</f>
        <v>949550</v>
      </c>
      <c r="D75" s="8">
        <f>SUM(D72:D74)</f>
        <v>2174550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1300000</v>
      </c>
      <c r="C77" s="7">
        <v>457319</v>
      </c>
      <c r="D77" s="7">
        <f>SUM(B77:C77)</f>
        <v>1757319</v>
      </c>
    </row>
    <row r="78" spans="1:4" ht="12.75">
      <c r="A78" s="3">
        <v>45870</v>
      </c>
      <c r="B78" s="7">
        <v>0</v>
      </c>
      <c r="C78" s="7">
        <v>419944</v>
      </c>
      <c r="D78" s="7">
        <f>SUM(B78:C78)</f>
        <v>419944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1300000</v>
      </c>
      <c r="C80" s="8">
        <f>SUM(C77:C79)</f>
        <v>877263</v>
      </c>
      <c r="D80" s="8">
        <f>SUM(D77:D79)</f>
        <v>2177263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1375000</v>
      </c>
      <c r="C82" s="7">
        <v>419944</v>
      </c>
      <c r="D82" s="7">
        <f>SUM(B82:C82)</f>
        <v>1794944</v>
      </c>
    </row>
    <row r="83" spans="1:4" ht="12.75">
      <c r="A83" s="3">
        <v>46235</v>
      </c>
      <c r="B83" s="7">
        <v>0</v>
      </c>
      <c r="C83" s="7">
        <v>380413</v>
      </c>
      <c r="D83" s="7">
        <f>SUM(B83:C83)</f>
        <v>380413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1375000</v>
      </c>
      <c r="C85" s="8">
        <f>SUM(C82:C84)</f>
        <v>800357</v>
      </c>
      <c r="D85" s="8">
        <f>SUM(D82:D84)</f>
        <v>2175357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1460000</v>
      </c>
      <c r="C87" s="7">
        <v>380413</v>
      </c>
      <c r="D87" s="7">
        <f>SUM(B87:C87)</f>
        <v>1840413</v>
      </c>
    </row>
    <row r="88" spans="1:4" ht="12.75">
      <c r="A88" s="3">
        <v>46600</v>
      </c>
      <c r="B88" s="7">
        <v>0</v>
      </c>
      <c r="C88" s="7">
        <v>336613</v>
      </c>
      <c r="D88" s="7">
        <f>SUM(B88:C88)</f>
        <v>336613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1460000</v>
      </c>
      <c r="C90" s="8">
        <f>SUM(C87:C89)</f>
        <v>717026</v>
      </c>
      <c r="D90" s="8">
        <f>SUM(D87:D89)</f>
        <v>2177026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1550000</v>
      </c>
      <c r="C92" s="7">
        <v>336613</v>
      </c>
      <c r="D92" s="7">
        <f>SUM(B92:C92)</f>
        <v>1886613</v>
      </c>
    </row>
    <row r="93" spans="1:4" ht="12.75">
      <c r="A93" s="3">
        <v>46966</v>
      </c>
      <c r="B93" s="7">
        <v>0</v>
      </c>
      <c r="C93" s="7">
        <v>290113</v>
      </c>
      <c r="D93" s="7">
        <f>SUM(B93:C93)</f>
        <v>290113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1550000</v>
      </c>
      <c r="C95" s="8">
        <f>SUM(C92:C94)</f>
        <v>626726</v>
      </c>
      <c r="D95" s="8">
        <f>SUM(D92:D94)</f>
        <v>2176726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1645000</v>
      </c>
      <c r="C97" s="7">
        <v>290113</v>
      </c>
      <c r="D97" s="7">
        <f>SUM(B97:C97)</f>
        <v>1935113</v>
      </c>
    </row>
    <row r="98" spans="1:4" ht="12.75">
      <c r="A98" s="3">
        <v>47331</v>
      </c>
      <c r="B98" s="7">
        <v>0</v>
      </c>
      <c r="C98" s="7">
        <v>240763</v>
      </c>
      <c r="D98" s="7">
        <f>SUM(B98:C98)</f>
        <v>240763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1645000</v>
      </c>
      <c r="C100" s="8">
        <f>SUM(C97:C99)</f>
        <v>530876</v>
      </c>
      <c r="D100" s="8">
        <f>SUM(D97:D99)</f>
        <v>2175876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2009 After August 1, 2015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1745000</v>
      </c>
      <c r="C109" s="7">
        <v>240763</v>
      </c>
      <c r="D109" s="7">
        <f>SUM(B109:C109)</f>
        <v>1985763</v>
      </c>
    </row>
    <row r="110" spans="1:4" ht="12.75">
      <c r="A110" s="3">
        <v>47696</v>
      </c>
      <c r="B110" s="7">
        <v>0</v>
      </c>
      <c r="C110" s="7">
        <v>188413</v>
      </c>
      <c r="D110" s="7">
        <f>SUM(B110:C110)</f>
        <v>188413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1745000</v>
      </c>
      <c r="C112" s="8">
        <f>SUM(C109:C111)</f>
        <v>429176</v>
      </c>
      <c r="D112" s="8">
        <f>SUM(D109:D111)</f>
        <v>2174176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1855000</v>
      </c>
      <c r="C114" s="7">
        <v>188413</v>
      </c>
      <c r="D114" s="7">
        <f>SUM(B114:C114)</f>
        <v>2043413</v>
      </c>
    </row>
    <row r="115" spans="1:4" ht="12.75">
      <c r="A115" s="3">
        <v>48061</v>
      </c>
      <c r="B115" s="7">
        <v>0</v>
      </c>
      <c r="C115" s="7">
        <v>132763</v>
      </c>
      <c r="D115" s="7">
        <f>SUM(B115:C115)</f>
        <v>132763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1855000</v>
      </c>
      <c r="C117" s="8">
        <f>SUM(C114:C116)</f>
        <v>321176</v>
      </c>
      <c r="D117" s="8">
        <f>SUM(D114:D116)</f>
        <v>2176176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1975000</v>
      </c>
      <c r="C119" s="7">
        <v>132763</v>
      </c>
      <c r="D119" s="7">
        <f>SUM(B119:C119)</f>
        <v>2107763</v>
      </c>
    </row>
    <row r="120" spans="1:4" ht="12.75">
      <c r="A120" s="3">
        <v>48427</v>
      </c>
      <c r="B120" s="7">
        <v>0</v>
      </c>
      <c r="C120" s="7">
        <v>68575</v>
      </c>
      <c r="D120" s="7">
        <f>SUM(B120:C120)</f>
        <v>68575</v>
      </c>
    </row>
    <row r="121" spans="2:4" ht="12.75">
      <c r="B121" s="7"/>
      <c r="C121" s="7"/>
      <c r="D121" s="7"/>
    </row>
    <row r="122" spans="1:4" ht="12.75">
      <c r="A122" s="2" t="s">
        <v>24</v>
      </c>
      <c r="B122" s="8">
        <f>SUM(B119:B121)</f>
        <v>1975000</v>
      </c>
      <c r="C122" s="8">
        <f>SUM(C119:C121)</f>
        <v>201338</v>
      </c>
      <c r="D122" s="8">
        <f>SUM(D119:D121)</f>
        <v>2176338</v>
      </c>
    </row>
    <row r="123" spans="1:4" ht="12.75">
      <c r="A123" s="2"/>
      <c r="B123" s="8"/>
      <c r="C123" s="8"/>
      <c r="D123" s="8"/>
    </row>
    <row r="124" spans="1:4" ht="12.75">
      <c r="A124" s="3">
        <v>48611</v>
      </c>
      <c r="B124" s="7">
        <v>2110000</v>
      </c>
      <c r="C124" s="7">
        <v>68575</v>
      </c>
      <c r="D124" s="7">
        <f>SUM(B124:C124)</f>
        <v>2178575</v>
      </c>
    </row>
    <row r="125" spans="1:4" ht="12.75">
      <c r="A125" s="3">
        <v>48792</v>
      </c>
      <c r="B125" s="7">
        <v>0</v>
      </c>
      <c r="C125" s="7">
        <v>0</v>
      </c>
      <c r="D125" s="7">
        <f>SUM(B125:C125)</f>
        <v>0</v>
      </c>
    </row>
    <row r="126" spans="2:4" ht="12.75">
      <c r="B126" s="7"/>
      <c r="C126" s="7"/>
      <c r="D126" s="7"/>
    </row>
    <row r="127" spans="1:4" ht="12.75">
      <c r="A127" s="2" t="s">
        <v>25</v>
      </c>
      <c r="B127" s="8">
        <f>SUM(B124:B126)</f>
        <v>2110000</v>
      </c>
      <c r="C127" s="8">
        <f>SUM(C124:C126)</f>
        <v>68575</v>
      </c>
      <c r="D127" s="8">
        <f>SUM(D124:D126)</f>
        <v>2178575</v>
      </c>
    </row>
    <row r="128" spans="1:4" ht="12.75">
      <c r="A128" s="2"/>
      <c r="B128" s="8"/>
      <c r="C128" s="8"/>
      <c r="D128" s="8"/>
    </row>
    <row r="129" spans="1:4" ht="12.75">
      <c r="A129" s="2"/>
      <c r="B129" s="8"/>
      <c r="C129" s="8"/>
      <c r="D129" s="8"/>
    </row>
    <row r="130" spans="1:4" ht="12.75">
      <c r="A130" s="2" t="s">
        <v>27</v>
      </c>
      <c r="B130" s="8">
        <f>SUMIF(A1:A127,"Total*",B1:B127)</f>
        <v>24030000</v>
      </c>
      <c r="C130" s="8">
        <f>SUMIF(A1:A127,"Total*",C1:C127)</f>
        <v>15143354</v>
      </c>
      <c r="D130" s="8">
        <f>B130+C130</f>
        <v>39173354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75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930000</v>
      </c>
      <c r="C25" s="7">
        <v>580231</v>
      </c>
      <c r="D25" s="7">
        <f>SUM(B25:C25)</f>
        <v>1510231</v>
      </c>
    </row>
    <row r="26" spans="1:4" ht="12.75">
      <c r="A26" s="3">
        <v>42583</v>
      </c>
      <c r="B26" s="7">
        <v>0</v>
      </c>
      <c r="C26" s="7">
        <v>566281</v>
      </c>
      <c r="D26" s="7">
        <f>SUM(B26:C26)</f>
        <v>566281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930000</v>
      </c>
      <c r="C28" s="8">
        <f>SUM(C25:C27)</f>
        <v>1146512</v>
      </c>
      <c r="D28" s="8">
        <f>SUM(D25:D27)</f>
        <v>2076512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960000</v>
      </c>
      <c r="C30" s="7">
        <v>566281</v>
      </c>
      <c r="D30" s="7">
        <f>SUM(B30:C30)</f>
        <v>1526281</v>
      </c>
    </row>
    <row r="31" spans="1:4" ht="12.75">
      <c r="A31" s="3">
        <v>42948</v>
      </c>
      <c r="B31" s="7">
        <v>0</v>
      </c>
      <c r="C31" s="7">
        <v>551881</v>
      </c>
      <c r="D31" s="7">
        <f>SUM(B31:C31)</f>
        <v>551881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960000</v>
      </c>
      <c r="C33" s="8">
        <f>SUM(C30:C32)</f>
        <v>1118162</v>
      </c>
      <c r="D33" s="8">
        <f>SUM(D30:D32)</f>
        <v>2078162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985000</v>
      </c>
      <c r="C35" s="7">
        <v>551881</v>
      </c>
      <c r="D35" s="7">
        <f>SUM(B35:C35)</f>
        <v>1536881</v>
      </c>
    </row>
    <row r="36" spans="1:4" ht="12.75">
      <c r="A36" s="3">
        <v>43313</v>
      </c>
      <c r="B36" s="7">
        <v>0</v>
      </c>
      <c r="C36" s="7">
        <v>537106</v>
      </c>
      <c r="D36" s="7">
        <f>SUM(B36:C36)</f>
        <v>537106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985000</v>
      </c>
      <c r="C38" s="8">
        <f>SUM(C35:C37)</f>
        <v>1088987</v>
      </c>
      <c r="D38" s="8">
        <f>SUM(D35:D37)</f>
        <v>2073987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1015000</v>
      </c>
      <c r="C40" s="7">
        <v>537106</v>
      </c>
      <c r="D40" s="7">
        <f>SUM(B40:C40)</f>
        <v>1552106</v>
      </c>
    </row>
    <row r="41" spans="1:4" ht="12.75">
      <c r="A41" s="3">
        <v>43678</v>
      </c>
      <c r="B41" s="7">
        <v>0</v>
      </c>
      <c r="C41" s="7">
        <v>521881</v>
      </c>
      <c r="D41" s="7">
        <f>SUM(B41:C41)</f>
        <v>521881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1015000</v>
      </c>
      <c r="C43" s="8">
        <f>SUM(C40:C42)</f>
        <v>1058987</v>
      </c>
      <c r="D43" s="8">
        <f>SUM(D40:D42)</f>
        <v>2073987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1055000</v>
      </c>
      <c r="C45" s="7">
        <v>521881</v>
      </c>
      <c r="D45" s="7">
        <f>SUM(B45:C45)</f>
        <v>1576881</v>
      </c>
    </row>
    <row r="46" spans="1:4" ht="12.75">
      <c r="A46" s="3">
        <v>44044</v>
      </c>
      <c r="B46" s="7">
        <v>0</v>
      </c>
      <c r="C46" s="7">
        <v>500781</v>
      </c>
      <c r="D46" s="7">
        <f>SUM(B46:C46)</f>
        <v>500781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1055000</v>
      </c>
      <c r="C48" s="8">
        <f>SUM(C45:C47)</f>
        <v>1022662</v>
      </c>
      <c r="D48" s="8">
        <f>SUM(D45:D47)</f>
        <v>2077662</v>
      </c>
    </row>
    <row r="53" spans="1:4" ht="12.75">
      <c r="A53" s="10" t="str">
        <f>A1</f>
        <v>Series 2011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1095000</v>
      </c>
      <c r="C57" s="7">
        <v>500781</v>
      </c>
      <c r="D57" s="7">
        <f>SUM(B57:C57)</f>
        <v>1595781</v>
      </c>
    </row>
    <row r="58" spans="1:4" ht="12.75">
      <c r="A58" s="3">
        <v>44409</v>
      </c>
      <c r="B58" s="7">
        <v>0</v>
      </c>
      <c r="C58" s="7">
        <v>478881</v>
      </c>
      <c r="D58" s="7">
        <f>SUM(B58:C58)</f>
        <v>478881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1095000</v>
      </c>
      <c r="C60" s="8">
        <f>SUM(C57:C59)</f>
        <v>979662</v>
      </c>
      <c r="D60" s="8">
        <f>SUM(D57:D59)</f>
        <v>2074662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1140000</v>
      </c>
      <c r="C62" s="7">
        <v>478881</v>
      </c>
      <c r="D62" s="7">
        <f>SUM(B62:C62)</f>
        <v>1618881</v>
      </c>
    </row>
    <row r="63" spans="1:4" ht="12.75">
      <c r="A63" s="3">
        <v>44774</v>
      </c>
      <c r="B63" s="7">
        <v>0</v>
      </c>
      <c r="C63" s="7">
        <v>456081</v>
      </c>
      <c r="D63" s="7">
        <f>SUM(B63:C63)</f>
        <v>456081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1140000</v>
      </c>
      <c r="C65" s="8">
        <f>SUM(C62:C64)</f>
        <v>934962</v>
      </c>
      <c r="D65" s="8">
        <f>SUM(D62:D64)</f>
        <v>2074962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1185000</v>
      </c>
      <c r="C67" s="7">
        <v>456081</v>
      </c>
      <c r="D67" s="7">
        <f>SUM(B67:C67)</f>
        <v>1641081</v>
      </c>
    </row>
    <row r="68" spans="1:4" ht="12.75">
      <c r="A68" s="3">
        <v>45139</v>
      </c>
      <c r="B68" s="7">
        <v>0</v>
      </c>
      <c r="C68" s="7">
        <v>432381</v>
      </c>
      <c r="D68" s="7">
        <f>SUM(B68:C68)</f>
        <v>432381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1185000</v>
      </c>
      <c r="C70" s="8">
        <f>SUM(C67:C69)</f>
        <v>888462</v>
      </c>
      <c r="D70" s="8">
        <f>SUM(D67:D69)</f>
        <v>2073462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1235000</v>
      </c>
      <c r="C72" s="7">
        <v>432381</v>
      </c>
      <c r="D72" s="7">
        <f>SUM(B72:C72)</f>
        <v>1667381</v>
      </c>
    </row>
    <row r="73" spans="1:4" ht="12.75">
      <c r="A73" s="3">
        <v>45505</v>
      </c>
      <c r="B73" s="7">
        <v>0</v>
      </c>
      <c r="C73" s="7">
        <v>407681</v>
      </c>
      <c r="D73" s="7">
        <f>SUM(B73:C73)</f>
        <v>407681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1235000</v>
      </c>
      <c r="C75" s="8">
        <f>SUM(C72:C74)</f>
        <v>840062</v>
      </c>
      <c r="D75" s="8">
        <f>SUM(D72:D74)</f>
        <v>2075062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1285000</v>
      </c>
      <c r="C77" s="7">
        <v>407681</v>
      </c>
      <c r="D77" s="7">
        <f>SUM(B77:C77)</f>
        <v>1692681</v>
      </c>
    </row>
    <row r="78" spans="1:4" ht="12.75">
      <c r="A78" s="3">
        <v>45870</v>
      </c>
      <c r="B78" s="7">
        <v>0</v>
      </c>
      <c r="C78" s="7">
        <v>381981</v>
      </c>
      <c r="D78" s="7">
        <f>SUM(B78:C78)</f>
        <v>381981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1285000</v>
      </c>
      <c r="C80" s="8">
        <f>SUM(C77:C79)</f>
        <v>789662</v>
      </c>
      <c r="D80" s="8">
        <f>SUM(D77:D79)</f>
        <v>2074662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1340000</v>
      </c>
      <c r="C82" s="7">
        <v>381981</v>
      </c>
      <c r="D82" s="7">
        <f>SUM(B82:C82)</f>
        <v>1721981</v>
      </c>
    </row>
    <row r="83" spans="1:4" ht="12.75">
      <c r="A83" s="3">
        <v>46235</v>
      </c>
      <c r="B83" s="7">
        <v>0</v>
      </c>
      <c r="C83" s="7">
        <v>354344</v>
      </c>
      <c r="D83" s="7">
        <f>SUM(B83:C83)</f>
        <v>354344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1340000</v>
      </c>
      <c r="C85" s="8">
        <f>SUM(C82:C84)</f>
        <v>736325</v>
      </c>
      <c r="D85" s="8">
        <f>SUM(D82:D84)</f>
        <v>2076325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1395000</v>
      </c>
      <c r="C87" s="7">
        <v>354344</v>
      </c>
      <c r="D87" s="7">
        <f>SUM(B87:C87)</f>
        <v>1749344</v>
      </c>
    </row>
    <row r="88" spans="1:4" ht="12.75">
      <c r="A88" s="3">
        <v>46600</v>
      </c>
      <c r="B88" s="7">
        <v>0</v>
      </c>
      <c r="C88" s="7">
        <v>324700</v>
      </c>
      <c r="D88" s="7">
        <f>SUM(B88:C88)</f>
        <v>324700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1395000</v>
      </c>
      <c r="C90" s="8">
        <f>SUM(C87:C89)</f>
        <v>679044</v>
      </c>
      <c r="D90" s="8">
        <f>SUM(D87:D89)</f>
        <v>2074044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1460000</v>
      </c>
      <c r="C92" s="7">
        <v>324700</v>
      </c>
      <c r="D92" s="7">
        <f>SUM(B92:C92)</f>
        <v>1784700</v>
      </c>
    </row>
    <row r="93" spans="1:4" ht="12.75">
      <c r="A93" s="3">
        <v>46966</v>
      </c>
      <c r="B93" s="7">
        <v>0</v>
      </c>
      <c r="C93" s="7">
        <v>293675</v>
      </c>
      <c r="D93" s="7">
        <f>SUM(B93:C93)</f>
        <v>293675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1460000</v>
      </c>
      <c r="C95" s="8">
        <f>SUM(C92:C94)</f>
        <v>618375</v>
      </c>
      <c r="D95" s="8">
        <f>SUM(D92:D94)</f>
        <v>2078375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1520000</v>
      </c>
      <c r="C97" s="7">
        <v>293675</v>
      </c>
      <c r="D97" s="7">
        <f>SUM(B97:C97)</f>
        <v>1813675</v>
      </c>
    </row>
    <row r="98" spans="1:4" ht="12.75">
      <c r="A98" s="3">
        <v>47331</v>
      </c>
      <c r="B98" s="7">
        <v>0</v>
      </c>
      <c r="C98" s="7">
        <v>261375</v>
      </c>
      <c r="D98" s="7">
        <f>SUM(B98:C98)</f>
        <v>261375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1520000</v>
      </c>
      <c r="C100" s="8">
        <f>SUM(C97:C99)</f>
        <v>555050</v>
      </c>
      <c r="D100" s="8">
        <f>SUM(D97:D99)</f>
        <v>2075050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2011 After August 1, 2015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1590000</v>
      </c>
      <c r="C109" s="7">
        <v>261375</v>
      </c>
      <c r="D109" s="7">
        <f>SUM(B109:C109)</f>
        <v>1851375</v>
      </c>
    </row>
    <row r="110" spans="1:4" ht="12.75">
      <c r="A110" s="3">
        <v>47696</v>
      </c>
      <c r="B110" s="7">
        <v>0</v>
      </c>
      <c r="C110" s="7">
        <v>225600</v>
      </c>
      <c r="D110" s="7">
        <f>SUM(B110:C110)</f>
        <v>225600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1590000</v>
      </c>
      <c r="C112" s="8">
        <f>SUM(C109:C111)</f>
        <v>486975</v>
      </c>
      <c r="D112" s="8">
        <f>SUM(D109:D111)</f>
        <v>2076975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1660000</v>
      </c>
      <c r="C114" s="7">
        <v>225600</v>
      </c>
      <c r="D114" s="7">
        <f>SUM(B114:C114)</f>
        <v>1885600</v>
      </c>
    </row>
    <row r="115" spans="1:4" ht="12.75">
      <c r="A115" s="3">
        <v>48061</v>
      </c>
      <c r="B115" s="7">
        <v>0</v>
      </c>
      <c r="C115" s="7">
        <v>188250</v>
      </c>
      <c r="D115" s="7">
        <f>SUM(B115:C115)</f>
        <v>188250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1660000</v>
      </c>
      <c r="C117" s="8">
        <f>SUM(C114:C116)</f>
        <v>413850</v>
      </c>
      <c r="D117" s="8">
        <f>SUM(D114:D116)</f>
        <v>2073850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1745000</v>
      </c>
      <c r="C119" s="7">
        <v>188250</v>
      </c>
      <c r="D119" s="7">
        <f>SUM(B119:C119)</f>
        <v>1933250</v>
      </c>
    </row>
    <row r="120" spans="1:4" ht="12.75">
      <c r="A120" s="3">
        <v>48427</v>
      </c>
      <c r="B120" s="7">
        <v>0</v>
      </c>
      <c r="C120" s="7">
        <v>144625</v>
      </c>
      <c r="D120" s="7">
        <f>SUM(B120:C120)</f>
        <v>144625</v>
      </c>
    </row>
    <row r="121" spans="2:4" ht="12.75">
      <c r="B121" s="7"/>
      <c r="C121" s="7"/>
      <c r="D121" s="7"/>
    </row>
    <row r="122" spans="1:4" ht="12.75">
      <c r="A122" s="2" t="s">
        <v>24</v>
      </c>
      <c r="B122" s="8">
        <f>SUM(B119:B121)</f>
        <v>1745000</v>
      </c>
      <c r="C122" s="8">
        <f>SUM(C119:C121)</f>
        <v>332875</v>
      </c>
      <c r="D122" s="8">
        <f>SUM(D119:D121)</f>
        <v>2077875</v>
      </c>
    </row>
    <row r="123" spans="1:4" ht="12.75">
      <c r="A123" s="2"/>
      <c r="B123" s="8"/>
      <c r="C123" s="8"/>
      <c r="D123" s="8"/>
    </row>
    <row r="124" spans="1:4" ht="12.75">
      <c r="A124" s="3">
        <v>48611</v>
      </c>
      <c r="B124" s="7">
        <v>1835000</v>
      </c>
      <c r="C124" s="7">
        <v>144625</v>
      </c>
      <c r="D124" s="7">
        <f>SUM(B124:C124)</f>
        <v>1979625</v>
      </c>
    </row>
    <row r="125" spans="1:4" ht="12.75">
      <c r="A125" s="3">
        <v>48792</v>
      </c>
      <c r="B125" s="7">
        <v>0</v>
      </c>
      <c r="C125" s="7">
        <v>98750</v>
      </c>
      <c r="D125" s="7">
        <f>SUM(B125:C125)</f>
        <v>98750</v>
      </c>
    </row>
    <row r="126" spans="2:4" ht="12.75">
      <c r="B126" s="7"/>
      <c r="C126" s="7"/>
      <c r="D126" s="7"/>
    </row>
    <row r="127" spans="1:4" ht="12.75">
      <c r="A127" s="2" t="s">
        <v>25</v>
      </c>
      <c r="B127" s="8">
        <f>SUM(B124:B126)</f>
        <v>1835000</v>
      </c>
      <c r="C127" s="8">
        <f>SUM(C124:C126)</f>
        <v>243375</v>
      </c>
      <c r="D127" s="8">
        <f>SUM(D124:D126)</f>
        <v>2078375</v>
      </c>
    </row>
    <row r="128" spans="1:4" ht="12.75">
      <c r="A128" s="2"/>
      <c r="B128" s="8"/>
      <c r="C128" s="8"/>
      <c r="D128" s="8"/>
    </row>
    <row r="129" spans="1:4" ht="12.75">
      <c r="A129" s="3">
        <v>48976</v>
      </c>
      <c r="B129" s="7">
        <v>1925000</v>
      </c>
      <c r="C129" s="7">
        <v>98750</v>
      </c>
      <c r="D129" s="7">
        <f>SUM(B129:C129)</f>
        <v>2023750</v>
      </c>
    </row>
    <row r="130" spans="1:4" ht="12.75">
      <c r="A130" s="3">
        <v>49157</v>
      </c>
      <c r="B130" s="7">
        <v>0</v>
      </c>
      <c r="C130" s="7">
        <v>50625</v>
      </c>
      <c r="D130" s="7">
        <f>SUM(B130:C130)</f>
        <v>50625</v>
      </c>
    </row>
    <row r="131" spans="2:4" ht="12.75">
      <c r="B131" s="7"/>
      <c r="C131" s="7"/>
      <c r="D131" s="7"/>
    </row>
    <row r="132" spans="1:4" ht="12.75">
      <c r="A132" s="2" t="s">
        <v>26</v>
      </c>
      <c r="B132" s="8">
        <f>SUM(B129:B131)</f>
        <v>1925000</v>
      </c>
      <c r="C132" s="8">
        <f>SUM(C129:C131)</f>
        <v>149375</v>
      </c>
      <c r="D132" s="8">
        <f>SUM(D129:D131)</f>
        <v>2074375</v>
      </c>
    </row>
    <row r="133" spans="1:4" ht="12.75">
      <c r="A133" s="2"/>
      <c r="B133" s="8"/>
      <c r="C133" s="8"/>
      <c r="D133" s="8"/>
    </row>
    <row r="134" spans="1:4" ht="12.75">
      <c r="A134" s="3">
        <v>49341</v>
      </c>
      <c r="B134" s="7">
        <v>2025000</v>
      </c>
      <c r="C134" s="7">
        <v>50625</v>
      </c>
      <c r="D134" s="7">
        <f>SUM(B134:C134)</f>
        <v>2075625</v>
      </c>
    </row>
    <row r="135" spans="1:4" ht="12.75">
      <c r="A135" s="3">
        <v>49522</v>
      </c>
      <c r="B135" s="7">
        <v>0</v>
      </c>
      <c r="C135" s="7">
        <v>0</v>
      </c>
      <c r="D135" s="7">
        <f>SUM(B135:C135)</f>
        <v>0</v>
      </c>
    </row>
    <row r="136" spans="2:4" ht="12.75">
      <c r="B136" s="7"/>
      <c r="C136" s="7"/>
      <c r="D136" s="7"/>
    </row>
    <row r="137" spans="1:4" ht="12.75">
      <c r="A137" s="2" t="s">
        <v>28</v>
      </c>
      <c r="B137" s="8">
        <f>SUM(B134:B136)</f>
        <v>2025000</v>
      </c>
      <c r="C137" s="8">
        <f>SUM(C134:C136)</f>
        <v>50625</v>
      </c>
      <c r="D137" s="8">
        <f>SUM(D134:D136)</f>
        <v>2075625</v>
      </c>
    </row>
    <row r="138" spans="1:4" ht="12.75">
      <c r="A138" s="2"/>
      <c r="B138" s="8"/>
      <c r="C138" s="8"/>
      <c r="D138" s="8"/>
    </row>
    <row r="139" spans="1:4" ht="12.75">
      <c r="A139" s="2" t="s">
        <v>27</v>
      </c>
      <c r="B139" s="8">
        <f>SUMIF(A1:A137,"Total*",B1:B137)</f>
        <v>27380000</v>
      </c>
      <c r="C139" s="8">
        <f>SUMIF(A1:A137,"Total*",C1:C137)</f>
        <v>14133989</v>
      </c>
      <c r="D139" s="8">
        <f>B139+C139</f>
        <v>41513989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76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1960000</v>
      </c>
      <c r="C25" s="7">
        <v>1226200</v>
      </c>
      <c r="D25" s="7">
        <f>SUM(B25:C25)</f>
        <v>3186200</v>
      </c>
    </row>
    <row r="26" spans="1:4" ht="12.75">
      <c r="A26" s="3">
        <v>42583</v>
      </c>
      <c r="B26" s="7">
        <v>0</v>
      </c>
      <c r="C26" s="7">
        <v>1187000</v>
      </c>
      <c r="D26" s="7">
        <f>SUM(B26:C26)</f>
        <v>1187000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1960000</v>
      </c>
      <c r="C28" s="8">
        <f>SUM(C25:C27)</f>
        <v>2413200</v>
      </c>
      <c r="D28" s="8">
        <f>SUM(D25:D27)</f>
        <v>4373200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2530000</v>
      </c>
      <c r="C30" s="7">
        <v>1187000</v>
      </c>
      <c r="D30" s="7">
        <f>SUM(B30:C30)</f>
        <v>3717000</v>
      </c>
    </row>
    <row r="31" spans="1:4" ht="12.75">
      <c r="A31" s="3">
        <v>42948</v>
      </c>
      <c r="B31" s="7">
        <v>0</v>
      </c>
      <c r="C31" s="7">
        <v>1123750</v>
      </c>
      <c r="D31" s="7">
        <f>SUM(B31:C31)</f>
        <v>1123750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2530000</v>
      </c>
      <c r="C33" s="8">
        <f>SUM(C30:C32)</f>
        <v>2310750</v>
      </c>
      <c r="D33" s="8">
        <f>SUM(D30:D32)</f>
        <v>4840750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3475000</v>
      </c>
      <c r="C35" s="7">
        <v>1123750</v>
      </c>
      <c r="D35" s="7">
        <f>SUM(B35:C35)</f>
        <v>4598750</v>
      </c>
    </row>
    <row r="36" spans="1:4" ht="12.75">
      <c r="A36" s="3">
        <v>43313</v>
      </c>
      <c r="B36" s="7">
        <v>0</v>
      </c>
      <c r="C36" s="7">
        <v>1036875</v>
      </c>
      <c r="D36" s="7">
        <f>SUM(B36:C36)</f>
        <v>1036875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3475000</v>
      </c>
      <c r="C38" s="8">
        <f>SUM(C35:C37)</f>
        <v>2160625</v>
      </c>
      <c r="D38" s="8">
        <f>SUM(D35:D37)</f>
        <v>5635625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3650000</v>
      </c>
      <c r="C40" s="7">
        <v>1036875</v>
      </c>
      <c r="D40" s="7">
        <f>SUM(B40:C40)</f>
        <v>4686875</v>
      </c>
    </row>
    <row r="41" spans="1:4" ht="12.75">
      <c r="A41" s="3">
        <v>43678</v>
      </c>
      <c r="B41" s="7">
        <v>0</v>
      </c>
      <c r="C41" s="7">
        <v>945625</v>
      </c>
      <c r="D41" s="7">
        <f>SUM(B41:C41)</f>
        <v>945625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3650000</v>
      </c>
      <c r="C43" s="8">
        <f>SUM(C40:C42)</f>
        <v>1982500</v>
      </c>
      <c r="D43" s="8">
        <f>SUM(D40:D42)</f>
        <v>5632500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4150000</v>
      </c>
      <c r="C45" s="7">
        <v>945625</v>
      </c>
      <c r="D45" s="7">
        <f>SUM(B45:C45)</f>
        <v>5095625</v>
      </c>
    </row>
    <row r="46" spans="1:4" ht="12.75">
      <c r="A46" s="3">
        <v>44044</v>
      </c>
      <c r="B46" s="7">
        <v>0</v>
      </c>
      <c r="C46" s="7">
        <v>841875</v>
      </c>
      <c r="D46" s="7">
        <f>SUM(B46:C46)</f>
        <v>841875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4150000</v>
      </c>
      <c r="C48" s="8">
        <f>SUM(C45:C47)</f>
        <v>1787500</v>
      </c>
      <c r="D48" s="8">
        <f>SUM(D45:D47)</f>
        <v>5937500</v>
      </c>
    </row>
    <row r="53" spans="1:4" ht="12.75">
      <c r="A53" s="10" t="str">
        <f>A1</f>
        <v>Series 2012 Refunding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4365000</v>
      </c>
      <c r="C57" s="7">
        <v>841875</v>
      </c>
      <c r="D57" s="7">
        <f>SUM(B57:C57)</f>
        <v>5206875</v>
      </c>
    </row>
    <row r="58" spans="1:4" ht="12.75">
      <c r="A58" s="3">
        <v>44409</v>
      </c>
      <c r="B58" s="7">
        <v>0</v>
      </c>
      <c r="C58" s="7">
        <v>732750</v>
      </c>
      <c r="D58" s="7">
        <f>SUM(B58:C58)</f>
        <v>732750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4365000</v>
      </c>
      <c r="C60" s="8">
        <f>SUM(C57:C59)</f>
        <v>1574625</v>
      </c>
      <c r="D60" s="8">
        <f>SUM(D57:D59)</f>
        <v>5939625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4590000</v>
      </c>
      <c r="C62" s="7">
        <v>732750</v>
      </c>
      <c r="D62" s="7">
        <f>SUM(B62:C62)</f>
        <v>5322750</v>
      </c>
    </row>
    <row r="63" spans="1:4" ht="12.75">
      <c r="A63" s="3">
        <v>44774</v>
      </c>
      <c r="B63" s="7">
        <v>0</v>
      </c>
      <c r="C63" s="7">
        <v>618000</v>
      </c>
      <c r="D63" s="7">
        <f>SUM(B63:C63)</f>
        <v>618000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4590000</v>
      </c>
      <c r="C65" s="8">
        <f>SUM(C62:C64)</f>
        <v>1350750</v>
      </c>
      <c r="D65" s="8">
        <f>SUM(D62:D64)</f>
        <v>5940750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4720000</v>
      </c>
      <c r="C67" s="7">
        <v>618000</v>
      </c>
      <c r="D67" s="7">
        <f>SUM(B67:C67)</f>
        <v>5338000</v>
      </c>
    </row>
    <row r="68" spans="1:4" ht="12.75">
      <c r="A68" s="3">
        <v>45139</v>
      </c>
      <c r="B68" s="7">
        <v>0</v>
      </c>
      <c r="C68" s="7">
        <v>500000</v>
      </c>
      <c r="D68" s="7">
        <f>SUM(B68:C68)</f>
        <v>500000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4720000</v>
      </c>
      <c r="C70" s="8">
        <f>SUM(C67:C69)</f>
        <v>1118000</v>
      </c>
      <c r="D70" s="8">
        <f>SUM(D67:D69)</f>
        <v>5838000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4970000</v>
      </c>
      <c r="C72" s="7">
        <v>500000</v>
      </c>
      <c r="D72" s="7">
        <f>SUM(B72:C72)</f>
        <v>5470000</v>
      </c>
    </row>
    <row r="73" spans="1:4" ht="12.75">
      <c r="A73" s="3">
        <v>45505</v>
      </c>
      <c r="B73" s="7">
        <v>0</v>
      </c>
      <c r="C73" s="7">
        <v>375750</v>
      </c>
      <c r="D73" s="7">
        <f>SUM(B73:C73)</f>
        <v>375750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4970000</v>
      </c>
      <c r="C75" s="8">
        <f>SUM(C72:C74)</f>
        <v>875750</v>
      </c>
      <c r="D75" s="8">
        <f>SUM(D72:D74)</f>
        <v>5845750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5220000</v>
      </c>
      <c r="C77" s="7">
        <v>375750</v>
      </c>
      <c r="D77" s="7">
        <f>SUM(B77:C77)</f>
        <v>5595750</v>
      </c>
    </row>
    <row r="78" spans="1:4" ht="12.75">
      <c r="A78" s="3">
        <v>45870</v>
      </c>
      <c r="B78" s="7">
        <v>0</v>
      </c>
      <c r="C78" s="7">
        <v>245250</v>
      </c>
      <c r="D78" s="7">
        <f>SUM(B78:C78)</f>
        <v>245250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5220000</v>
      </c>
      <c r="C80" s="8">
        <f>SUM(C77:C79)</f>
        <v>621000</v>
      </c>
      <c r="D80" s="8">
        <f>SUM(D77:D79)</f>
        <v>5841000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5495000</v>
      </c>
      <c r="C82" s="7">
        <v>245250</v>
      </c>
      <c r="D82" s="7">
        <f>SUM(B82:C82)</f>
        <v>5740250</v>
      </c>
    </row>
    <row r="83" spans="1:4" ht="12.75">
      <c r="A83" s="3">
        <v>46235</v>
      </c>
      <c r="B83" s="7">
        <v>0</v>
      </c>
      <c r="C83" s="7">
        <v>107875</v>
      </c>
      <c r="D83" s="7">
        <f>SUM(B83:C83)</f>
        <v>107875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5495000</v>
      </c>
      <c r="C85" s="8">
        <f>SUM(C82:C84)</f>
        <v>353125</v>
      </c>
      <c r="D85" s="8">
        <f>SUM(D82:D84)</f>
        <v>5848125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4315000</v>
      </c>
      <c r="C87" s="7">
        <v>107875</v>
      </c>
      <c r="D87" s="7">
        <f>SUM(B87:C87)</f>
        <v>4422875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4315000</v>
      </c>
      <c r="C90" s="8">
        <f>SUM(C87:C89)</f>
        <v>107875</v>
      </c>
      <c r="D90" s="8">
        <f>SUM(D87:D89)</f>
        <v>4422875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0</v>
      </c>
      <c r="C92" s="7">
        <v>0</v>
      </c>
      <c r="D92" s="7">
        <f>SUM(B92:C92)</f>
        <v>0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0</v>
      </c>
      <c r="C95" s="8">
        <f>SUM(C92:C94)</f>
        <v>0</v>
      </c>
      <c r="D95" s="8">
        <f>SUM(D92:D94)</f>
        <v>0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0</v>
      </c>
      <c r="C97" s="7">
        <v>0</v>
      </c>
      <c r="D97" s="7">
        <f>SUM(B97:C97)</f>
        <v>0</v>
      </c>
    </row>
    <row r="98" spans="1:4" ht="12.75">
      <c r="A98" s="3">
        <v>47331</v>
      </c>
      <c r="B98" s="7">
        <v>0</v>
      </c>
      <c r="C98" s="7">
        <v>0</v>
      </c>
      <c r="D98" s="7">
        <f>SUM(B98:C98)</f>
        <v>0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0</v>
      </c>
      <c r="C100" s="8">
        <f>SUM(C97:C99)</f>
        <v>0</v>
      </c>
      <c r="D100" s="8">
        <f>SUM(D97:D99)</f>
        <v>0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2012 Refunding After August 1, 2015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0</v>
      </c>
      <c r="C109" s="7">
        <v>0</v>
      </c>
      <c r="D109" s="7">
        <f>SUM(B109:C109)</f>
        <v>0</v>
      </c>
    </row>
    <row r="110" spans="1:4" ht="12.75">
      <c r="A110" s="3">
        <v>47696</v>
      </c>
      <c r="B110" s="7">
        <v>0</v>
      </c>
      <c r="C110" s="7">
        <v>0</v>
      </c>
      <c r="D110" s="7">
        <f>SUM(B110:C110)</f>
        <v>0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0</v>
      </c>
      <c r="C112" s="8">
        <f>SUM(C109:C111)</f>
        <v>0</v>
      </c>
      <c r="D112" s="8">
        <f>SUM(D109:D111)</f>
        <v>0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0</v>
      </c>
      <c r="C114" s="7">
        <v>0</v>
      </c>
      <c r="D114" s="7">
        <f>SUM(B114:C114)</f>
        <v>0</v>
      </c>
    </row>
    <row r="115" spans="1:4" ht="12.75">
      <c r="A115" s="3">
        <v>48061</v>
      </c>
      <c r="B115" s="7">
        <v>0</v>
      </c>
      <c r="C115" s="7">
        <v>0</v>
      </c>
      <c r="D115" s="7">
        <f>SUM(B115:C115)</f>
        <v>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0</v>
      </c>
      <c r="C117" s="8">
        <f>SUM(C114:C116)</f>
        <v>0</v>
      </c>
      <c r="D117" s="8">
        <f>SUM(D114:D116)</f>
        <v>0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0</v>
      </c>
      <c r="C119" s="7">
        <v>0</v>
      </c>
      <c r="D119" s="7">
        <f>SUM(B119:C119)</f>
        <v>0</v>
      </c>
    </row>
    <row r="120" spans="1:4" ht="12.75">
      <c r="A120" s="3">
        <v>48427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24</v>
      </c>
      <c r="B122" s="8">
        <f>SUM(B119:B121)</f>
        <v>0</v>
      </c>
      <c r="C122" s="8">
        <f>SUM(C119:C121)</f>
        <v>0</v>
      </c>
      <c r="D122" s="8">
        <f>SUM(D119:D121)</f>
        <v>0</v>
      </c>
    </row>
    <row r="123" spans="1:4" ht="12.75">
      <c r="A123" s="2"/>
      <c r="B123" s="8"/>
      <c r="C123" s="8"/>
      <c r="D123" s="8"/>
    </row>
    <row r="124" spans="1:4" ht="12.75">
      <c r="A124" s="3">
        <v>48611</v>
      </c>
      <c r="B124" s="7">
        <v>0</v>
      </c>
      <c r="C124" s="7">
        <v>0</v>
      </c>
      <c r="D124" s="7">
        <f>SUM(B124:C124)</f>
        <v>0</v>
      </c>
    </row>
    <row r="125" spans="1:4" ht="12.75">
      <c r="A125" s="3">
        <v>48792</v>
      </c>
      <c r="B125" s="7">
        <v>0</v>
      </c>
      <c r="C125" s="7">
        <v>0</v>
      </c>
      <c r="D125" s="7">
        <f>SUM(B125:C125)</f>
        <v>0</v>
      </c>
    </row>
    <row r="126" spans="2:4" ht="12.75">
      <c r="B126" s="7"/>
      <c r="C126" s="7"/>
      <c r="D126" s="7"/>
    </row>
    <row r="127" spans="1:4" ht="12.75">
      <c r="A127" s="2" t="s">
        <v>25</v>
      </c>
      <c r="B127" s="8">
        <f>SUM(B124:B126)</f>
        <v>0</v>
      </c>
      <c r="C127" s="8">
        <f>SUM(C124:C126)</f>
        <v>0</v>
      </c>
      <c r="D127" s="8">
        <f>SUM(D124:D126)</f>
        <v>0</v>
      </c>
    </row>
    <row r="128" spans="1:4" ht="12.75">
      <c r="A128" s="2"/>
      <c r="B128" s="8"/>
      <c r="C128" s="8"/>
      <c r="D128" s="8"/>
    </row>
    <row r="129" spans="1:4" ht="12.75">
      <c r="A129" s="3">
        <v>48976</v>
      </c>
      <c r="B129" s="7">
        <v>0</v>
      </c>
      <c r="C129" s="7">
        <v>0</v>
      </c>
      <c r="D129" s="7">
        <f>SUM(B129:C129)</f>
        <v>0</v>
      </c>
    </row>
    <row r="130" spans="1:4" ht="12.75">
      <c r="A130" s="3">
        <v>49157</v>
      </c>
      <c r="B130" s="7">
        <v>0</v>
      </c>
      <c r="C130" s="7">
        <v>0</v>
      </c>
      <c r="D130" s="7">
        <f>SUM(B130:C130)</f>
        <v>0</v>
      </c>
    </row>
    <row r="131" spans="2:4" ht="12.75">
      <c r="B131" s="7"/>
      <c r="C131" s="7"/>
      <c r="D131" s="7"/>
    </row>
    <row r="132" spans="1:4" ht="12.75">
      <c r="A132" s="2" t="s">
        <v>26</v>
      </c>
      <c r="B132" s="8">
        <f>SUM(B129:B131)</f>
        <v>0</v>
      </c>
      <c r="C132" s="8">
        <f>SUM(C129:C131)</f>
        <v>0</v>
      </c>
      <c r="D132" s="8">
        <f>SUM(D129:D131)</f>
        <v>0</v>
      </c>
    </row>
    <row r="133" spans="1:4" ht="12.75">
      <c r="A133" s="2"/>
      <c r="B133" s="8"/>
      <c r="C133" s="8"/>
      <c r="D133" s="8"/>
    </row>
    <row r="134" spans="1:4" ht="12.75">
      <c r="A134" s="3">
        <v>49341</v>
      </c>
      <c r="B134" s="7">
        <v>0</v>
      </c>
      <c r="C134" s="7">
        <v>0</v>
      </c>
      <c r="D134" s="7">
        <f>SUM(B134:C134)</f>
        <v>0</v>
      </c>
    </row>
    <row r="135" spans="1:4" ht="12.75">
      <c r="A135" s="3">
        <v>49522</v>
      </c>
      <c r="B135" s="7">
        <v>0</v>
      </c>
      <c r="C135" s="7">
        <v>0</v>
      </c>
      <c r="D135" s="7">
        <f>SUM(B135:C135)</f>
        <v>0</v>
      </c>
    </row>
    <row r="136" spans="2:4" ht="12.75">
      <c r="B136" s="7"/>
      <c r="C136" s="7"/>
      <c r="D136" s="7"/>
    </row>
    <row r="137" spans="1:4" ht="12.75">
      <c r="A137" s="2" t="s">
        <v>28</v>
      </c>
      <c r="B137" s="8">
        <f>SUM(B134:B136)</f>
        <v>0</v>
      </c>
      <c r="C137" s="8">
        <f>SUM(C134:C136)</f>
        <v>0</v>
      </c>
      <c r="D137" s="8">
        <f>SUM(D134:D136)</f>
        <v>0</v>
      </c>
    </row>
    <row r="138" spans="1:4" ht="12.75">
      <c r="A138" s="2"/>
      <c r="B138" s="8"/>
      <c r="C138" s="8"/>
      <c r="D138" s="8"/>
    </row>
    <row r="139" spans="1:4" ht="12.75">
      <c r="A139" s="2" t="s">
        <v>27</v>
      </c>
      <c r="B139" s="8">
        <f>SUMIF(A1:A137,"Total*",B1:B137)</f>
        <v>49440000</v>
      </c>
      <c r="C139" s="8">
        <f>SUMIF(A1:A137,"Total*",C1:C137)</f>
        <v>16655700</v>
      </c>
      <c r="D139" s="8">
        <f>B139+C139</f>
        <v>66095700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77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645000</v>
      </c>
      <c r="C25" s="7">
        <v>546363</v>
      </c>
      <c r="D25" s="7">
        <f>SUM(B25:C25)</f>
        <v>1191363</v>
      </c>
    </row>
    <row r="26" spans="1:4" ht="12.75">
      <c r="A26" s="3">
        <v>42583</v>
      </c>
      <c r="B26" s="7">
        <v>0</v>
      </c>
      <c r="C26" s="7">
        <v>536688</v>
      </c>
      <c r="D26" s="7">
        <f>SUM(B26:C26)</f>
        <v>536688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645000</v>
      </c>
      <c r="C28" s="8">
        <f>SUM(C25:C27)</f>
        <v>1083051</v>
      </c>
      <c r="D28" s="8">
        <f>SUM(D25:D27)</f>
        <v>1728051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665000</v>
      </c>
      <c r="C30" s="7">
        <v>536688</v>
      </c>
      <c r="D30" s="7">
        <f>SUM(B30:C30)</f>
        <v>1201688</v>
      </c>
    </row>
    <row r="31" spans="1:4" ht="12.75">
      <c r="A31" s="3">
        <v>42948</v>
      </c>
      <c r="B31" s="7">
        <v>0</v>
      </c>
      <c r="C31" s="7">
        <v>526713</v>
      </c>
      <c r="D31" s="7">
        <f>SUM(B31:C31)</f>
        <v>526713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665000</v>
      </c>
      <c r="C33" s="8">
        <f>SUM(C30:C32)</f>
        <v>1063401</v>
      </c>
      <c r="D33" s="8">
        <f>SUM(D30:D32)</f>
        <v>1728401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685000</v>
      </c>
      <c r="C35" s="7">
        <v>526713</v>
      </c>
      <c r="D35" s="7">
        <f>SUM(B35:C35)</f>
        <v>1211713</v>
      </c>
    </row>
    <row r="36" spans="1:4" ht="12.75">
      <c r="A36" s="3">
        <v>43313</v>
      </c>
      <c r="B36" s="7">
        <v>0</v>
      </c>
      <c r="C36" s="7">
        <v>513013</v>
      </c>
      <c r="D36" s="7">
        <f>SUM(B36:C36)</f>
        <v>513013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685000</v>
      </c>
      <c r="C38" s="8">
        <f>SUM(C35:C37)</f>
        <v>1039726</v>
      </c>
      <c r="D38" s="8">
        <f>SUM(D35:D37)</f>
        <v>1724726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720000</v>
      </c>
      <c r="C40" s="7">
        <v>513013</v>
      </c>
      <c r="D40" s="7">
        <f>SUM(B40:C40)</f>
        <v>1233013</v>
      </c>
    </row>
    <row r="41" spans="1:4" ht="12.75">
      <c r="A41" s="3">
        <v>43678</v>
      </c>
      <c r="B41" s="7">
        <v>0</v>
      </c>
      <c r="C41" s="7">
        <v>495013</v>
      </c>
      <c r="D41" s="7">
        <f>SUM(B41:C41)</f>
        <v>495013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720000</v>
      </c>
      <c r="C43" s="8">
        <f>SUM(C40:C42)</f>
        <v>1008026</v>
      </c>
      <c r="D43" s="8">
        <f>SUM(D40:D42)</f>
        <v>1728026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755000</v>
      </c>
      <c r="C45" s="7">
        <v>495013</v>
      </c>
      <c r="D45" s="7">
        <f>SUM(B45:C45)</f>
        <v>1250013</v>
      </c>
    </row>
    <row r="46" spans="1:4" ht="12.75">
      <c r="A46" s="3">
        <v>44044</v>
      </c>
      <c r="B46" s="7">
        <v>0</v>
      </c>
      <c r="C46" s="7">
        <v>476138</v>
      </c>
      <c r="D46" s="7">
        <f>SUM(B46:C46)</f>
        <v>476138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755000</v>
      </c>
      <c r="C48" s="8">
        <f>SUM(C45:C47)</f>
        <v>971151</v>
      </c>
      <c r="D48" s="8">
        <f>SUM(D45:D47)</f>
        <v>1726151</v>
      </c>
    </row>
    <row r="53" spans="1:4" ht="12.75">
      <c r="A53" s="10" t="str">
        <f>A1</f>
        <v>Series 2013A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795000</v>
      </c>
      <c r="C57" s="7">
        <v>476138</v>
      </c>
      <c r="D57" s="7">
        <f>SUM(B57:C57)</f>
        <v>1271138</v>
      </c>
    </row>
    <row r="58" spans="1:4" ht="12.75">
      <c r="A58" s="3">
        <v>44409</v>
      </c>
      <c r="B58" s="7">
        <v>0</v>
      </c>
      <c r="C58" s="7">
        <v>456263</v>
      </c>
      <c r="D58" s="7">
        <f>SUM(B58:C58)</f>
        <v>456263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795000</v>
      </c>
      <c r="C60" s="8">
        <f>SUM(C57:C59)</f>
        <v>932401</v>
      </c>
      <c r="D60" s="8">
        <f>SUM(D57:D59)</f>
        <v>1727401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835000</v>
      </c>
      <c r="C62" s="7">
        <v>456263</v>
      </c>
      <c r="D62" s="7">
        <f>SUM(B62:C62)</f>
        <v>1291263</v>
      </c>
    </row>
    <row r="63" spans="1:4" ht="12.75">
      <c r="A63" s="3">
        <v>44774</v>
      </c>
      <c r="B63" s="7">
        <v>0</v>
      </c>
      <c r="C63" s="7">
        <v>435388</v>
      </c>
      <c r="D63" s="7">
        <f>SUM(B63:C63)</f>
        <v>435388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835000</v>
      </c>
      <c r="C65" s="8">
        <f>SUM(C62:C64)</f>
        <v>891651</v>
      </c>
      <c r="D65" s="8">
        <f>SUM(D62:D64)</f>
        <v>1726651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880000</v>
      </c>
      <c r="C67" s="7">
        <v>435388</v>
      </c>
      <c r="D67" s="7">
        <f>SUM(B67:C67)</f>
        <v>1315388</v>
      </c>
    </row>
    <row r="68" spans="1:4" ht="12.75">
      <c r="A68" s="3">
        <v>45139</v>
      </c>
      <c r="B68" s="7">
        <v>0</v>
      </c>
      <c r="C68" s="7">
        <v>413388</v>
      </c>
      <c r="D68" s="7">
        <f>SUM(B68:C68)</f>
        <v>413388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880000</v>
      </c>
      <c r="C70" s="8">
        <f>SUM(C67:C69)</f>
        <v>848776</v>
      </c>
      <c r="D70" s="8">
        <f>SUM(D67:D69)</f>
        <v>1728776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925000</v>
      </c>
      <c r="C72" s="7">
        <v>413388</v>
      </c>
      <c r="D72" s="7">
        <f>SUM(B72:C72)</f>
        <v>1338388</v>
      </c>
    </row>
    <row r="73" spans="1:4" ht="12.75">
      <c r="A73" s="3">
        <v>45505</v>
      </c>
      <c r="B73" s="7">
        <v>0</v>
      </c>
      <c r="C73" s="7">
        <v>390263</v>
      </c>
      <c r="D73" s="7">
        <f>SUM(B73:C73)</f>
        <v>390263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925000</v>
      </c>
      <c r="C75" s="8">
        <f>SUM(C72:C74)</f>
        <v>803651</v>
      </c>
      <c r="D75" s="8">
        <f>SUM(D72:D74)</f>
        <v>1728651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970000</v>
      </c>
      <c r="C77" s="7">
        <v>390263</v>
      </c>
      <c r="D77" s="7">
        <f>SUM(B77:C77)</f>
        <v>1360263</v>
      </c>
    </row>
    <row r="78" spans="1:4" ht="12.75">
      <c r="A78" s="3">
        <v>45870</v>
      </c>
      <c r="B78" s="7">
        <v>0</v>
      </c>
      <c r="C78" s="7">
        <v>366013</v>
      </c>
      <c r="D78" s="7">
        <f>SUM(B78:C78)</f>
        <v>366013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970000</v>
      </c>
      <c r="C80" s="8">
        <f>SUM(C77:C79)</f>
        <v>756276</v>
      </c>
      <c r="D80" s="8">
        <f>SUM(D77:D79)</f>
        <v>1726276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1020000</v>
      </c>
      <c r="C82" s="7">
        <v>366013</v>
      </c>
      <c r="D82" s="7">
        <f>SUM(B82:C82)</f>
        <v>1386013</v>
      </c>
    </row>
    <row r="83" spans="1:4" ht="12.75">
      <c r="A83" s="3">
        <v>46235</v>
      </c>
      <c r="B83" s="7">
        <v>0</v>
      </c>
      <c r="C83" s="7">
        <v>340513</v>
      </c>
      <c r="D83" s="7">
        <f>SUM(B83:C83)</f>
        <v>340513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1020000</v>
      </c>
      <c r="C85" s="8">
        <f>SUM(C82:C84)</f>
        <v>706526</v>
      </c>
      <c r="D85" s="8">
        <f>SUM(D82:D84)</f>
        <v>1726526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1070000</v>
      </c>
      <c r="C87" s="7">
        <v>340513</v>
      </c>
      <c r="D87" s="7">
        <f>SUM(B87:C87)</f>
        <v>1410513</v>
      </c>
    </row>
    <row r="88" spans="1:4" ht="12.75">
      <c r="A88" s="3">
        <v>46600</v>
      </c>
      <c r="B88" s="7">
        <v>0</v>
      </c>
      <c r="C88" s="7">
        <v>319113</v>
      </c>
      <c r="D88" s="7">
        <f>SUM(B88:C88)</f>
        <v>319113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1070000</v>
      </c>
      <c r="C90" s="8">
        <f>SUM(C87:C89)</f>
        <v>659626</v>
      </c>
      <c r="D90" s="8">
        <f>SUM(D87:D89)</f>
        <v>1729626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1110000</v>
      </c>
      <c r="C92" s="7">
        <v>319113</v>
      </c>
      <c r="D92" s="7">
        <f>SUM(B92:C92)</f>
        <v>1429113</v>
      </c>
    </row>
    <row r="93" spans="1:4" ht="12.75">
      <c r="A93" s="3">
        <v>46966</v>
      </c>
      <c r="B93" s="7">
        <v>0</v>
      </c>
      <c r="C93" s="7">
        <v>296913</v>
      </c>
      <c r="D93" s="7">
        <f>SUM(B93:C93)</f>
        <v>296913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1110000</v>
      </c>
      <c r="C95" s="8">
        <f>SUM(C92:C94)</f>
        <v>616026</v>
      </c>
      <c r="D95" s="8">
        <f>SUM(D92:D94)</f>
        <v>1726026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1155000</v>
      </c>
      <c r="C97" s="7">
        <v>296913</v>
      </c>
      <c r="D97" s="7">
        <f>SUM(B97:C97)</f>
        <v>1451913</v>
      </c>
    </row>
    <row r="98" spans="1:4" ht="12.75">
      <c r="A98" s="3">
        <v>47331</v>
      </c>
      <c r="B98" s="7">
        <v>0</v>
      </c>
      <c r="C98" s="7">
        <v>273813</v>
      </c>
      <c r="D98" s="7">
        <f>SUM(B98:C98)</f>
        <v>273813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1155000</v>
      </c>
      <c r="C100" s="8">
        <f>SUM(C97:C99)</f>
        <v>570726</v>
      </c>
      <c r="D100" s="8">
        <f>SUM(D97:D99)</f>
        <v>1725726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2013A After August 1, 2015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1205000</v>
      </c>
      <c r="C109" s="7">
        <v>273813</v>
      </c>
      <c r="D109" s="7">
        <f>SUM(B109:C109)</f>
        <v>1478813</v>
      </c>
    </row>
    <row r="110" spans="1:4" ht="12.75">
      <c r="A110" s="3">
        <v>47696</v>
      </c>
      <c r="B110" s="7">
        <v>0</v>
      </c>
      <c r="C110" s="7">
        <v>249713</v>
      </c>
      <c r="D110" s="7">
        <f>SUM(B110:C110)</f>
        <v>249713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1205000</v>
      </c>
      <c r="C112" s="8">
        <f>SUM(C109:C111)</f>
        <v>523526</v>
      </c>
      <c r="D112" s="8">
        <f>SUM(D109:D111)</f>
        <v>1728526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1255000</v>
      </c>
      <c r="C114" s="7">
        <v>249713</v>
      </c>
      <c r="D114" s="7">
        <f>SUM(B114:C114)</f>
        <v>1504713</v>
      </c>
    </row>
    <row r="115" spans="1:4" ht="12.75">
      <c r="A115" s="3">
        <v>48061</v>
      </c>
      <c r="B115" s="7">
        <v>0</v>
      </c>
      <c r="C115" s="7">
        <v>223828</v>
      </c>
      <c r="D115" s="7">
        <f>SUM(B115:C115)</f>
        <v>223828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1255000</v>
      </c>
      <c r="C117" s="8">
        <f>SUM(C114:C116)</f>
        <v>473541</v>
      </c>
      <c r="D117" s="8">
        <f>SUM(D114:D116)</f>
        <v>1728541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1310000</v>
      </c>
      <c r="C119" s="7">
        <v>223828</v>
      </c>
      <c r="D119" s="7">
        <f>SUM(B119:C119)</f>
        <v>1533828</v>
      </c>
    </row>
    <row r="120" spans="1:4" ht="12.75">
      <c r="A120" s="3">
        <v>48427</v>
      </c>
      <c r="B120" s="7">
        <v>0</v>
      </c>
      <c r="C120" s="7">
        <v>194353</v>
      </c>
      <c r="D120" s="7">
        <f>SUM(B120:C120)</f>
        <v>194353</v>
      </c>
    </row>
    <row r="121" spans="2:4" ht="12.75">
      <c r="B121" s="7"/>
      <c r="C121" s="7"/>
      <c r="D121" s="7"/>
    </row>
    <row r="122" spans="1:4" ht="12.75">
      <c r="A122" s="2" t="s">
        <v>24</v>
      </c>
      <c r="B122" s="8">
        <f>SUM(B119:B121)</f>
        <v>1310000</v>
      </c>
      <c r="C122" s="8">
        <f>SUM(C119:C121)</f>
        <v>418181</v>
      </c>
      <c r="D122" s="8">
        <f>SUM(D119:D121)</f>
        <v>1728181</v>
      </c>
    </row>
    <row r="123" spans="1:4" ht="12.75">
      <c r="A123" s="2"/>
      <c r="B123" s="8"/>
      <c r="C123" s="8"/>
      <c r="D123" s="8"/>
    </row>
    <row r="124" spans="1:4" ht="12.75">
      <c r="A124" s="3">
        <v>48611</v>
      </c>
      <c r="B124" s="7">
        <v>1370000</v>
      </c>
      <c r="C124" s="7">
        <v>194353</v>
      </c>
      <c r="D124" s="7">
        <f>SUM(B124:C124)</f>
        <v>1564353</v>
      </c>
    </row>
    <row r="125" spans="1:4" ht="12.75">
      <c r="A125" s="3">
        <v>48792</v>
      </c>
      <c r="B125" s="7">
        <v>0</v>
      </c>
      <c r="C125" s="7">
        <v>163528</v>
      </c>
      <c r="D125" s="7">
        <f>SUM(B125:C125)</f>
        <v>163528</v>
      </c>
    </row>
    <row r="126" spans="2:4" ht="12.75">
      <c r="B126" s="7"/>
      <c r="C126" s="7"/>
      <c r="D126" s="7"/>
    </row>
    <row r="127" spans="1:4" ht="12.75">
      <c r="A127" s="2" t="s">
        <v>25</v>
      </c>
      <c r="B127" s="8">
        <f>SUM(B124:B126)</f>
        <v>1370000</v>
      </c>
      <c r="C127" s="8">
        <f>SUM(C124:C126)</f>
        <v>357881</v>
      </c>
      <c r="D127" s="8">
        <f>SUM(D124:D126)</f>
        <v>1727881</v>
      </c>
    </row>
    <row r="128" spans="1:4" ht="12.75">
      <c r="A128" s="2"/>
      <c r="B128" s="8"/>
      <c r="C128" s="8"/>
      <c r="D128" s="8"/>
    </row>
    <row r="129" spans="1:4" ht="12.75">
      <c r="A129" s="3">
        <v>48976</v>
      </c>
      <c r="B129" s="7">
        <v>1430000</v>
      </c>
      <c r="C129" s="7">
        <v>163528</v>
      </c>
      <c r="D129" s="7">
        <f>SUM(B129:C129)</f>
        <v>1593528</v>
      </c>
    </row>
    <row r="130" spans="1:4" ht="12.75">
      <c r="A130" s="3">
        <v>49157</v>
      </c>
      <c r="B130" s="7">
        <v>0</v>
      </c>
      <c r="C130" s="7">
        <v>133141</v>
      </c>
      <c r="D130" s="7">
        <f>SUM(B130:C130)</f>
        <v>133141</v>
      </c>
    </row>
    <row r="131" spans="2:4" ht="12.75">
      <c r="B131" s="7"/>
      <c r="C131" s="7"/>
      <c r="D131" s="7"/>
    </row>
    <row r="132" spans="1:4" ht="12.75">
      <c r="A132" s="2" t="s">
        <v>26</v>
      </c>
      <c r="B132" s="8">
        <f>SUM(B129:B131)</f>
        <v>1430000</v>
      </c>
      <c r="C132" s="8">
        <f>SUM(C129:C131)</f>
        <v>296669</v>
      </c>
      <c r="D132" s="8">
        <f>SUM(D129:D131)</f>
        <v>1726669</v>
      </c>
    </row>
    <row r="133" spans="1:4" ht="12.75">
      <c r="A133" s="2"/>
      <c r="B133" s="8"/>
      <c r="C133" s="8"/>
      <c r="D133" s="8"/>
    </row>
    <row r="134" spans="1:4" ht="12.75">
      <c r="A134" s="3">
        <v>49341</v>
      </c>
      <c r="B134" s="7">
        <v>1490000</v>
      </c>
      <c r="C134" s="7">
        <v>133141</v>
      </c>
      <c r="D134" s="7">
        <f>SUM(B134:C134)</f>
        <v>1623141</v>
      </c>
    </row>
    <row r="135" spans="1:4" ht="12.75">
      <c r="A135" s="3">
        <v>49522</v>
      </c>
      <c r="B135" s="7">
        <v>0</v>
      </c>
      <c r="C135" s="7">
        <v>102409</v>
      </c>
      <c r="D135" s="7">
        <f>SUM(B135:C135)</f>
        <v>102409</v>
      </c>
    </row>
    <row r="136" spans="2:4" ht="12.75">
      <c r="B136" s="7"/>
      <c r="C136" s="7"/>
      <c r="D136" s="7"/>
    </row>
    <row r="137" spans="1:4" ht="12.75">
      <c r="A137" s="2" t="s">
        <v>28</v>
      </c>
      <c r="B137" s="8">
        <f>SUM(B134:B136)</f>
        <v>1490000</v>
      </c>
      <c r="C137" s="8">
        <f>SUM(C134:C136)</f>
        <v>235550</v>
      </c>
      <c r="D137" s="8">
        <f>SUM(D134:D136)</f>
        <v>1725550</v>
      </c>
    </row>
    <row r="138" spans="1:4" ht="12.75">
      <c r="A138" s="2"/>
      <c r="B138" s="8"/>
      <c r="C138" s="8"/>
      <c r="D138" s="8"/>
    </row>
    <row r="139" spans="1:4" ht="12.75">
      <c r="A139" s="3">
        <v>49706</v>
      </c>
      <c r="B139" s="7">
        <v>1555000</v>
      </c>
      <c r="C139" s="7">
        <v>102409</v>
      </c>
      <c r="D139" s="7">
        <f>SUM(B139:C139)</f>
        <v>1657409</v>
      </c>
    </row>
    <row r="140" spans="1:4" ht="12.75">
      <c r="A140" s="3">
        <v>49888</v>
      </c>
      <c r="B140" s="7">
        <v>0</v>
      </c>
      <c r="C140" s="7">
        <v>70338</v>
      </c>
      <c r="D140" s="7">
        <f>SUM(B140:C140)</f>
        <v>70338</v>
      </c>
    </row>
    <row r="141" spans="2:4" ht="12.75">
      <c r="B141" s="7"/>
      <c r="C141" s="7"/>
      <c r="D141" s="7"/>
    </row>
    <row r="142" spans="1:4" ht="12.75">
      <c r="A142" s="2" t="s">
        <v>29</v>
      </c>
      <c r="B142" s="8">
        <f>SUM(B139:B141)</f>
        <v>1555000</v>
      </c>
      <c r="C142" s="8">
        <f>SUM(C139:C141)</f>
        <v>172747</v>
      </c>
      <c r="D142" s="8">
        <f>SUM(D139:D141)</f>
        <v>1727747</v>
      </c>
    </row>
    <row r="143" spans="1:4" ht="12.75">
      <c r="A143" s="2"/>
      <c r="B143" s="8"/>
      <c r="C143" s="8"/>
      <c r="D143" s="8"/>
    </row>
    <row r="144" spans="1:4" ht="12.75">
      <c r="A144" s="3">
        <v>50072</v>
      </c>
      <c r="B144" s="7">
        <v>1620000</v>
      </c>
      <c r="C144" s="7">
        <v>70338</v>
      </c>
      <c r="D144" s="7">
        <f>SUM(B144:C144)</f>
        <v>1690338</v>
      </c>
    </row>
    <row r="145" spans="1:4" ht="12.75">
      <c r="A145" s="3">
        <v>50253</v>
      </c>
      <c r="B145" s="7">
        <v>0</v>
      </c>
      <c r="C145" s="7">
        <v>35913</v>
      </c>
      <c r="D145" s="7">
        <f>SUM(B145:C145)</f>
        <v>35913</v>
      </c>
    </row>
    <row r="146" spans="2:4" ht="12.75">
      <c r="B146" s="7"/>
      <c r="C146" s="7"/>
      <c r="D146" s="7"/>
    </row>
    <row r="147" spans="1:4" ht="12.75">
      <c r="A147" s="2" t="s">
        <v>30</v>
      </c>
      <c r="B147" s="8">
        <f>SUM(B144:B146)</f>
        <v>1620000</v>
      </c>
      <c r="C147" s="8">
        <f>SUM(C144:C146)</f>
        <v>106251</v>
      </c>
      <c r="D147" s="8">
        <f>SUM(D144:D146)</f>
        <v>1726251</v>
      </c>
    </row>
    <row r="148" spans="1:4" ht="12.75">
      <c r="A148" s="2"/>
      <c r="B148" s="8"/>
      <c r="C148" s="8"/>
      <c r="D148" s="8"/>
    </row>
    <row r="149" spans="1:4" ht="12.75">
      <c r="A149" s="3">
        <v>50437</v>
      </c>
      <c r="B149" s="7">
        <v>1690000</v>
      </c>
      <c r="C149" s="7">
        <v>35913</v>
      </c>
      <c r="D149" s="7">
        <f>SUM(B149:C149)</f>
        <v>1725913</v>
      </c>
    </row>
    <row r="150" spans="1:4" ht="12.75">
      <c r="A150" s="3">
        <v>50618</v>
      </c>
      <c r="B150" s="7">
        <v>0</v>
      </c>
      <c r="C150" s="7">
        <v>0</v>
      </c>
      <c r="D150" s="7">
        <f>SUM(B150:C150)</f>
        <v>0</v>
      </c>
    </row>
    <row r="151" spans="2:4" ht="12.75">
      <c r="B151" s="7"/>
      <c r="C151" s="7"/>
      <c r="D151" s="7"/>
    </row>
    <row r="152" spans="1:4" ht="12.75">
      <c r="A152" s="2" t="s">
        <v>31</v>
      </c>
      <c r="B152" s="8">
        <f>SUM(B149:B151)</f>
        <v>1690000</v>
      </c>
      <c r="C152" s="8">
        <f>SUM(C149:C151)</f>
        <v>35913</v>
      </c>
      <c r="D152" s="8">
        <f>SUM(D149:D151)</f>
        <v>1725913</v>
      </c>
    </row>
    <row r="153" spans="1:4" ht="12.75">
      <c r="A153" s="2"/>
      <c r="B153" s="8"/>
      <c r="C153" s="8"/>
      <c r="D153" s="8"/>
    </row>
    <row r="154" spans="1:4" ht="12.75">
      <c r="A154" s="2" t="s">
        <v>27</v>
      </c>
      <c r="B154" s="8">
        <f>SUMIF(A1:A152,"Total*",B1:B152)</f>
        <v>25155000</v>
      </c>
      <c r="C154" s="8">
        <f>SUMIF(A1:A152,"Total*",C1:C152)</f>
        <v>14571273</v>
      </c>
      <c r="D154" s="8">
        <f>B154+C154</f>
        <v>39726273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0.75" bottom="0.75" header="0.5" footer="0.5"/>
  <pageSetup horizontalDpi="600" verticalDpi="600" orientation="portrait" r:id="rId1"/>
  <rowBreaks count="2" manualBreakCount="2">
    <brk id="52" max="255" man="1"/>
    <brk id="10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78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2020000</v>
      </c>
      <c r="C25" s="7">
        <v>480475</v>
      </c>
      <c r="D25" s="7">
        <f>SUM(B25:C25)</f>
        <v>2500475</v>
      </c>
    </row>
    <row r="26" spans="1:4" ht="12.75">
      <c r="A26" s="3">
        <v>42583</v>
      </c>
      <c r="B26" s="7">
        <v>0</v>
      </c>
      <c r="C26" s="7">
        <v>429975</v>
      </c>
      <c r="D26" s="7">
        <f>SUM(B26:C26)</f>
        <v>429975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2020000</v>
      </c>
      <c r="C28" s="8">
        <f>SUM(C25:C27)</f>
        <v>910450</v>
      </c>
      <c r="D28" s="8">
        <f>SUM(D25:D27)</f>
        <v>2930450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1645000</v>
      </c>
      <c r="C30" s="7">
        <v>429975</v>
      </c>
      <c r="D30" s="7">
        <f>SUM(B30:C30)</f>
        <v>2074975</v>
      </c>
    </row>
    <row r="31" spans="1:4" ht="12.75">
      <c r="A31" s="3">
        <v>42948</v>
      </c>
      <c r="B31" s="7">
        <v>0</v>
      </c>
      <c r="C31" s="7">
        <v>388850</v>
      </c>
      <c r="D31" s="7">
        <f>SUM(B31:C31)</f>
        <v>388850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1645000</v>
      </c>
      <c r="C33" s="8">
        <f>SUM(C30:C32)</f>
        <v>818825</v>
      </c>
      <c r="D33" s="8">
        <f>SUM(D30:D32)</f>
        <v>2463825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1170000</v>
      </c>
      <c r="C35" s="7">
        <v>388850</v>
      </c>
      <c r="D35" s="7">
        <f>SUM(B35:C35)</f>
        <v>1558850</v>
      </c>
    </row>
    <row r="36" spans="1:4" ht="12.75">
      <c r="A36" s="3">
        <v>43313</v>
      </c>
      <c r="B36" s="7">
        <v>0</v>
      </c>
      <c r="C36" s="7">
        <v>359600</v>
      </c>
      <c r="D36" s="7">
        <f>SUM(B36:C36)</f>
        <v>359600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1170000</v>
      </c>
      <c r="C38" s="8">
        <f>SUM(C35:C37)</f>
        <v>748450</v>
      </c>
      <c r="D38" s="8">
        <f>SUM(D35:D37)</f>
        <v>1918450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1230000</v>
      </c>
      <c r="C40" s="7">
        <v>359600</v>
      </c>
      <c r="D40" s="7">
        <f>SUM(B40:C40)</f>
        <v>1589600</v>
      </c>
    </row>
    <row r="41" spans="1:4" ht="12.75">
      <c r="A41" s="3">
        <v>43678</v>
      </c>
      <c r="B41" s="7">
        <v>0</v>
      </c>
      <c r="C41" s="7">
        <v>328850</v>
      </c>
      <c r="D41" s="7">
        <f>SUM(B41:C41)</f>
        <v>328850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1230000</v>
      </c>
      <c r="C43" s="8">
        <f>SUM(C40:C42)</f>
        <v>688450</v>
      </c>
      <c r="D43" s="8">
        <f>SUM(D40:D42)</f>
        <v>1918450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1295000</v>
      </c>
      <c r="C45" s="7">
        <v>328850</v>
      </c>
      <c r="D45" s="7">
        <f>SUM(B45:C45)</f>
        <v>1623850</v>
      </c>
    </row>
    <row r="46" spans="1:4" ht="12.75">
      <c r="A46" s="3">
        <v>44044</v>
      </c>
      <c r="B46" s="7">
        <v>0</v>
      </c>
      <c r="C46" s="7">
        <v>296475</v>
      </c>
      <c r="D46" s="7">
        <f>SUM(B46:C46)</f>
        <v>296475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1295000</v>
      </c>
      <c r="C48" s="8">
        <f>SUM(C45:C47)</f>
        <v>625325</v>
      </c>
      <c r="D48" s="8">
        <f>SUM(D45:D47)</f>
        <v>1920325</v>
      </c>
    </row>
    <row r="53" spans="1:4" ht="12.75">
      <c r="A53" s="10" t="str">
        <f>A1</f>
        <v>Series 2013B Refunding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1355000</v>
      </c>
      <c r="C57" s="7">
        <v>296475</v>
      </c>
      <c r="D57" s="7">
        <f>SUM(B57:C57)</f>
        <v>1651475</v>
      </c>
    </row>
    <row r="58" spans="1:4" ht="12.75">
      <c r="A58" s="3">
        <v>44409</v>
      </c>
      <c r="B58" s="7">
        <v>0</v>
      </c>
      <c r="C58" s="7">
        <v>262600</v>
      </c>
      <c r="D58" s="7">
        <f>SUM(B58:C58)</f>
        <v>262600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1355000</v>
      </c>
      <c r="C60" s="8">
        <f>SUM(C57:C59)</f>
        <v>559075</v>
      </c>
      <c r="D60" s="8">
        <f>SUM(D57:D59)</f>
        <v>1914075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1430000</v>
      </c>
      <c r="C62" s="7">
        <v>262600</v>
      </c>
      <c r="D62" s="7">
        <f>SUM(B62:C62)</f>
        <v>1692600</v>
      </c>
    </row>
    <row r="63" spans="1:4" ht="12.75">
      <c r="A63" s="3">
        <v>44774</v>
      </c>
      <c r="B63" s="7">
        <v>0</v>
      </c>
      <c r="C63" s="7">
        <v>226850</v>
      </c>
      <c r="D63" s="7">
        <f>SUM(B63:C63)</f>
        <v>226850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1430000</v>
      </c>
      <c r="C65" s="8">
        <f>SUM(C62:C64)</f>
        <v>489450</v>
      </c>
      <c r="D65" s="8">
        <f>SUM(D62:D64)</f>
        <v>1919450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1500000</v>
      </c>
      <c r="C67" s="7">
        <v>226850</v>
      </c>
      <c r="D67" s="7">
        <f>SUM(B67:C67)</f>
        <v>1726850</v>
      </c>
    </row>
    <row r="68" spans="1:4" ht="12.75">
      <c r="A68" s="3">
        <v>45139</v>
      </c>
      <c r="B68" s="7">
        <v>0</v>
      </c>
      <c r="C68" s="7">
        <v>189350</v>
      </c>
      <c r="D68" s="7">
        <f>SUM(B68:C68)</f>
        <v>189350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1500000</v>
      </c>
      <c r="C70" s="8">
        <f>SUM(C67:C69)</f>
        <v>416200</v>
      </c>
      <c r="D70" s="8">
        <f>SUM(D67:D69)</f>
        <v>1916200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1570000</v>
      </c>
      <c r="C72" s="7">
        <v>189350</v>
      </c>
      <c r="D72" s="7">
        <f>SUM(B72:C72)</f>
        <v>1759350</v>
      </c>
    </row>
    <row r="73" spans="1:4" ht="12.75">
      <c r="A73" s="3">
        <v>45505</v>
      </c>
      <c r="B73" s="7">
        <v>0</v>
      </c>
      <c r="C73" s="7">
        <v>157950</v>
      </c>
      <c r="D73" s="7">
        <f>SUM(B73:C73)</f>
        <v>157950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1570000</v>
      </c>
      <c r="C75" s="8">
        <f>SUM(C72:C74)</f>
        <v>347300</v>
      </c>
      <c r="D75" s="8">
        <f>SUM(D72:D74)</f>
        <v>1917300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1635000</v>
      </c>
      <c r="C77" s="7">
        <v>157950</v>
      </c>
      <c r="D77" s="7">
        <f>SUM(B77:C77)</f>
        <v>1792950</v>
      </c>
    </row>
    <row r="78" spans="1:4" ht="12.75">
      <c r="A78" s="3">
        <v>45870</v>
      </c>
      <c r="B78" s="7">
        <v>0</v>
      </c>
      <c r="C78" s="7">
        <v>125250</v>
      </c>
      <c r="D78" s="7">
        <f>SUM(B78:C78)</f>
        <v>125250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1635000</v>
      </c>
      <c r="C80" s="8">
        <f>SUM(C77:C79)</f>
        <v>283200</v>
      </c>
      <c r="D80" s="8">
        <f>SUM(D77:D79)</f>
        <v>1918200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1700000</v>
      </c>
      <c r="C82" s="7">
        <v>125250</v>
      </c>
      <c r="D82" s="7">
        <f>SUM(B82:C82)</f>
        <v>1825250</v>
      </c>
    </row>
    <row r="83" spans="1:4" ht="12.75">
      <c r="A83" s="3">
        <v>46235</v>
      </c>
      <c r="B83" s="7">
        <v>0</v>
      </c>
      <c r="C83" s="7">
        <v>91250</v>
      </c>
      <c r="D83" s="7">
        <f>SUM(B83:C83)</f>
        <v>91250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1700000</v>
      </c>
      <c r="C85" s="8">
        <f>SUM(C82:C84)</f>
        <v>216500</v>
      </c>
      <c r="D85" s="8">
        <f>SUM(D82:D84)</f>
        <v>1916500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1780000</v>
      </c>
      <c r="C87" s="7">
        <v>91250</v>
      </c>
      <c r="D87" s="7">
        <f>SUM(B87:C87)</f>
        <v>1871250</v>
      </c>
    </row>
    <row r="88" spans="1:4" ht="12.75">
      <c r="A88" s="3">
        <v>46600</v>
      </c>
      <c r="B88" s="7">
        <v>0</v>
      </c>
      <c r="C88" s="7">
        <v>46750</v>
      </c>
      <c r="D88" s="7">
        <f>SUM(B88:C88)</f>
        <v>46750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1780000</v>
      </c>
      <c r="C90" s="8">
        <f>SUM(C87:C89)</f>
        <v>138000</v>
      </c>
      <c r="D90" s="8">
        <f>SUM(D87:D89)</f>
        <v>1918000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1870000</v>
      </c>
      <c r="C92" s="7">
        <v>46750</v>
      </c>
      <c r="D92" s="7">
        <f>SUM(B92:C92)</f>
        <v>1916750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1:4" ht="12.75">
      <c r="A94" s="3"/>
      <c r="B94" s="7"/>
      <c r="C94" s="7"/>
      <c r="D94" s="7"/>
    </row>
    <row r="95" spans="1:4" ht="12.75">
      <c r="A95" s="2" t="s">
        <v>19</v>
      </c>
      <c r="B95" s="8">
        <f>SUM(B92:B94)</f>
        <v>1870000</v>
      </c>
      <c r="C95" s="8">
        <f>SUM(C92:C94)</f>
        <v>46750</v>
      </c>
      <c r="D95" s="8">
        <f>SUM(D92:D94)</f>
        <v>1916750</v>
      </c>
    </row>
    <row r="96" spans="2:4" ht="12.75">
      <c r="B96" s="7"/>
      <c r="C96" s="7"/>
      <c r="D96" s="7"/>
    </row>
    <row r="97" spans="1:4" ht="12.75">
      <c r="A97" s="2"/>
      <c r="B97" s="8"/>
      <c r="C97" s="8"/>
      <c r="D97" s="8"/>
    </row>
    <row r="98" spans="1:4" ht="12.75">
      <c r="A98" s="2" t="s">
        <v>27</v>
      </c>
      <c r="B98" s="8">
        <f>SUMIF(A1:A96,"Total*",B1:B96)</f>
        <v>20200000</v>
      </c>
      <c r="C98" s="8">
        <f>SUMIF(A1:A96,"Total*",C1:C96)</f>
        <v>6287975</v>
      </c>
      <c r="D98" s="8">
        <f>B98+C98</f>
        <v>26487975</v>
      </c>
    </row>
  </sheetData>
  <sheetProtection/>
  <mergeCells count="2">
    <mergeCell ref="A1:D1"/>
    <mergeCell ref="A53:D53"/>
  </mergeCells>
  <printOptions gridLines="1" horizontalCentered="1"/>
  <pageMargins left="0.25" right="0.25" top="1" bottom="1" header="0.5" footer="0.5"/>
  <pageSetup horizontalDpi="600" verticalDpi="600" orientation="portrait" scale="98" r:id="rId1"/>
  <rowBreaks count="1" manualBreakCount="1">
    <brk id="5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79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1850000</v>
      </c>
      <c r="C25" s="7">
        <v>313319</v>
      </c>
      <c r="D25" s="7">
        <f>SUM(B25:C25)</f>
        <v>2163319</v>
      </c>
    </row>
    <row r="26" spans="1:4" ht="12.75">
      <c r="A26" s="3">
        <v>42583</v>
      </c>
      <c r="B26" s="7">
        <v>0</v>
      </c>
      <c r="C26" s="7">
        <v>267069</v>
      </c>
      <c r="D26" s="7">
        <f>SUM(B26:C26)</f>
        <v>267069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1850000</v>
      </c>
      <c r="C28" s="8">
        <f>SUM(C25:C27)</f>
        <v>580388</v>
      </c>
      <c r="D28" s="8">
        <f>SUM(D25:D27)</f>
        <v>2430388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1940000</v>
      </c>
      <c r="C30" s="7">
        <v>267069</v>
      </c>
      <c r="D30" s="7">
        <f>SUM(B30:C30)</f>
        <v>2207069</v>
      </c>
    </row>
    <row r="31" spans="1:4" ht="12.75">
      <c r="A31" s="3">
        <v>42948</v>
      </c>
      <c r="B31" s="7">
        <v>0</v>
      </c>
      <c r="C31" s="7">
        <v>218569</v>
      </c>
      <c r="D31" s="7">
        <f>SUM(B31:C31)</f>
        <v>218569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1940000</v>
      </c>
      <c r="C33" s="8">
        <f>SUM(C30:C32)</f>
        <v>485638</v>
      </c>
      <c r="D33" s="8">
        <f>SUM(D30:D32)</f>
        <v>2425638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1880000</v>
      </c>
      <c r="C35" s="7">
        <v>218569</v>
      </c>
      <c r="D35" s="7">
        <f>SUM(B35:C35)</f>
        <v>2098569</v>
      </c>
    </row>
    <row r="36" spans="1:4" ht="12.75">
      <c r="A36" s="3">
        <v>43313</v>
      </c>
      <c r="B36" s="7">
        <v>0</v>
      </c>
      <c r="C36" s="7">
        <v>171569</v>
      </c>
      <c r="D36" s="7">
        <f>SUM(B36:C36)</f>
        <v>171569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1880000</v>
      </c>
      <c r="C38" s="8">
        <f>SUM(C35:C37)</f>
        <v>390138</v>
      </c>
      <c r="D38" s="8">
        <f>SUM(D35:D37)</f>
        <v>2270138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1980000</v>
      </c>
      <c r="C40" s="7">
        <v>171569</v>
      </c>
      <c r="D40" s="7">
        <f>SUM(B40:C40)</f>
        <v>2151569</v>
      </c>
    </row>
    <row r="41" spans="1:4" ht="12.75">
      <c r="A41" s="3">
        <v>43678</v>
      </c>
      <c r="B41" s="7">
        <v>0</v>
      </c>
      <c r="C41" s="7">
        <v>122069</v>
      </c>
      <c r="D41" s="7">
        <f>SUM(B41:C41)</f>
        <v>122069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1980000</v>
      </c>
      <c r="C43" s="8">
        <f>SUM(C40:C42)</f>
        <v>293638</v>
      </c>
      <c r="D43" s="8">
        <f>SUM(D40:D42)</f>
        <v>2273638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1505000</v>
      </c>
      <c r="C45" s="7">
        <v>122069</v>
      </c>
      <c r="D45" s="7">
        <f>SUM(B45:C45)</f>
        <v>1627069</v>
      </c>
    </row>
    <row r="46" spans="1:4" ht="12.75">
      <c r="A46" s="3">
        <v>44044</v>
      </c>
      <c r="B46" s="7">
        <v>0</v>
      </c>
      <c r="C46" s="7">
        <v>84444</v>
      </c>
      <c r="D46" s="7">
        <f>SUM(B46:C46)</f>
        <v>84444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1505000</v>
      </c>
      <c r="C48" s="8">
        <f>SUM(C45:C47)</f>
        <v>206513</v>
      </c>
      <c r="D48" s="8">
        <f>SUM(D45:D47)</f>
        <v>1711513</v>
      </c>
    </row>
    <row r="53" spans="1:4" ht="12.75">
      <c r="A53" s="10" t="str">
        <f>A1</f>
        <v>Series 2014B Refunding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440000</v>
      </c>
      <c r="C57" s="7">
        <v>84444</v>
      </c>
      <c r="D57" s="7">
        <f>SUM(B57:C57)</f>
        <v>524444</v>
      </c>
    </row>
    <row r="58" spans="1:4" ht="12.75">
      <c r="A58" s="3">
        <v>44409</v>
      </c>
      <c r="B58" s="7">
        <v>0</v>
      </c>
      <c r="C58" s="7">
        <v>73444</v>
      </c>
      <c r="D58" s="7">
        <f>SUM(B58:C58)</f>
        <v>73444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440000</v>
      </c>
      <c r="C60" s="8">
        <f>SUM(C57:C59)</f>
        <v>157888</v>
      </c>
      <c r="D60" s="8">
        <f>SUM(D57:D59)</f>
        <v>597888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465000</v>
      </c>
      <c r="C62" s="7">
        <v>73444</v>
      </c>
      <c r="D62" s="7">
        <f>SUM(B62:C62)</f>
        <v>538444</v>
      </c>
    </row>
    <row r="63" spans="1:4" ht="12.75">
      <c r="A63" s="3">
        <v>44774</v>
      </c>
      <c r="B63" s="7">
        <v>0</v>
      </c>
      <c r="C63" s="7">
        <v>61819</v>
      </c>
      <c r="D63" s="7">
        <f>SUM(B63:C63)</f>
        <v>61819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465000</v>
      </c>
      <c r="C65" s="8">
        <f>SUM(C62:C64)</f>
        <v>135263</v>
      </c>
      <c r="D65" s="8">
        <f>SUM(D62:D64)</f>
        <v>600263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485000</v>
      </c>
      <c r="C67" s="7">
        <v>61819</v>
      </c>
      <c r="D67" s="7">
        <f>SUM(B67:C67)</f>
        <v>546819</v>
      </c>
    </row>
    <row r="68" spans="1:4" ht="12.75">
      <c r="A68" s="3">
        <v>45139</v>
      </c>
      <c r="B68" s="7">
        <v>0</v>
      </c>
      <c r="C68" s="7">
        <v>54544</v>
      </c>
      <c r="D68" s="7">
        <f>SUM(B68:C68)</f>
        <v>54544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485000</v>
      </c>
      <c r="C70" s="8">
        <f>SUM(C67:C69)</f>
        <v>116363</v>
      </c>
      <c r="D70" s="8">
        <f>SUM(D67:D69)</f>
        <v>601363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495000</v>
      </c>
      <c r="C72" s="7">
        <v>54544</v>
      </c>
      <c r="D72" s="7">
        <f>SUM(B72:C72)</f>
        <v>549544</v>
      </c>
    </row>
    <row r="73" spans="1:4" ht="12.75">
      <c r="A73" s="3">
        <v>45505</v>
      </c>
      <c r="B73" s="7">
        <v>0</v>
      </c>
      <c r="C73" s="7">
        <v>47119</v>
      </c>
      <c r="D73" s="7">
        <f>SUM(B73:C73)</f>
        <v>47119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495000</v>
      </c>
      <c r="C75" s="8">
        <f>SUM(C72:C74)</f>
        <v>101663</v>
      </c>
      <c r="D75" s="8">
        <f>SUM(D72:D74)</f>
        <v>596663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515000</v>
      </c>
      <c r="C77" s="7">
        <v>47119</v>
      </c>
      <c r="D77" s="7">
        <f>SUM(B77:C77)</f>
        <v>562119</v>
      </c>
    </row>
    <row r="78" spans="1:4" ht="12.75">
      <c r="A78" s="3">
        <v>45870</v>
      </c>
      <c r="B78" s="7">
        <v>0</v>
      </c>
      <c r="C78" s="7">
        <v>36819</v>
      </c>
      <c r="D78" s="7">
        <f>SUM(B78:C78)</f>
        <v>36819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515000</v>
      </c>
      <c r="C80" s="8">
        <f>SUM(C77:C79)</f>
        <v>83938</v>
      </c>
      <c r="D80" s="8">
        <f>SUM(D77:D79)</f>
        <v>598938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540000</v>
      </c>
      <c r="C82" s="7">
        <v>36819</v>
      </c>
      <c r="D82" s="7">
        <f>SUM(B82:C82)</f>
        <v>576819</v>
      </c>
    </row>
    <row r="83" spans="1:4" ht="12.75">
      <c r="A83" s="3">
        <v>46235</v>
      </c>
      <c r="B83" s="7">
        <v>0</v>
      </c>
      <c r="C83" s="7">
        <v>26019</v>
      </c>
      <c r="D83" s="7">
        <f>SUM(B83:C83)</f>
        <v>26019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540000</v>
      </c>
      <c r="C85" s="8">
        <f>SUM(C82:C84)</f>
        <v>62838</v>
      </c>
      <c r="D85" s="8">
        <f>SUM(D82:D84)</f>
        <v>602838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550000</v>
      </c>
      <c r="C87" s="7">
        <v>26019</v>
      </c>
      <c r="D87" s="7">
        <f>SUM(B87:C87)</f>
        <v>576019</v>
      </c>
    </row>
    <row r="88" spans="1:4" ht="12.75">
      <c r="A88" s="3">
        <v>46600</v>
      </c>
      <c r="B88" s="7">
        <v>0</v>
      </c>
      <c r="C88" s="7">
        <v>17769</v>
      </c>
      <c r="D88" s="7">
        <f>SUM(B88:C88)</f>
        <v>17769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550000</v>
      </c>
      <c r="C90" s="8">
        <f>SUM(C87:C89)</f>
        <v>43788</v>
      </c>
      <c r="D90" s="8">
        <f>SUM(D87:D89)</f>
        <v>593788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570000</v>
      </c>
      <c r="C92" s="7">
        <v>17769</v>
      </c>
      <c r="D92" s="7">
        <f>SUM(B92:C92)</f>
        <v>587769</v>
      </c>
    </row>
    <row r="93" spans="1:4" ht="12.75">
      <c r="A93" s="3">
        <v>46966</v>
      </c>
      <c r="B93" s="7">
        <v>0</v>
      </c>
      <c r="C93" s="7">
        <v>9219</v>
      </c>
      <c r="D93" s="7">
        <f>SUM(B93:C93)</f>
        <v>9219</v>
      </c>
    </row>
    <row r="94" spans="1:4" ht="12.75">
      <c r="A94" s="3"/>
      <c r="B94" s="7"/>
      <c r="C94" s="7"/>
      <c r="D94" s="7"/>
    </row>
    <row r="95" spans="1:4" ht="12.75">
      <c r="A95" s="2" t="s">
        <v>19</v>
      </c>
      <c r="B95" s="8">
        <f>SUM(B92:B94)</f>
        <v>570000</v>
      </c>
      <c r="C95" s="8">
        <f>SUM(C92:C94)</f>
        <v>26988</v>
      </c>
      <c r="D95" s="8">
        <f>SUM(D92:D94)</f>
        <v>596988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590000</v>
      </c>
      <c r="C97" s="7">
        <v>9219</v>
      </c>
      <c r="D97" s="7">
        <f>SUM(B97:C97)</f>
        <v>599219</v>
      </c>
    </row>
    <row r="98" spans="1:4" ht="12.75">
      <c r="A98" s="3">
        <v>47331</v>
      </c>
      <c r="B98" s="7">
        <v>0</v>
      </c>
      <c r="C98" s="7">
        <v>0</v>
      </c>
      <c r="D98" s="7">
        <f>SUM(B98:C98)</f>
        <v>0</v>
      </c>
    </row>
    <row r="99" spans="1:4" ht="12.75">
      <c r="A99" s="3"/>
      <c r="B99" s="7"/>
      <c r="C99" s="7"/>
      <c r="D99" s="7"/>
    </row>
    <row r="100" spans="1:4" ht="12.75">
      <c r="A100" s="2" t="s">
        <v>21</v>
      </c>
      <c r="B100" s="8">
        <f>SUM(B97:B99)</f>
        <v>590000</v>
      </c>
      <c r="C100" s="8">
        <f>SUM(C97:C99)</f>
        <v>9219</v>
      </c>
      <c r="D100" s="8">
        <f>SUM(D97:D99)</f>
        <v>599219</v>
      </c>
    </row>
    <row r="101" spans="1:4" ht="12.75">
      <c r="A101" s="2"/>
      <c r="B101" s="8"/>
      <c r="C101" s="8"/>
      <c r="D101" s="8"/>
    </row>
    <row r="102" spans="1:4" ht="12.75">
      <c r="A102" s="2" t="s">
        <v>27</v>
      </c>
      <c r="B102" s="8">
        <f>SUMIF(A1:A100,"Total*",B1:B100)</f>
        <v>13805000</v>
      </c>
      <c r="C102" s="8">
        <f>SUMIF(A1:A100,"Total*",C1:C100)</f>
        <v>2694263</v>
      </c>
      <c r="D102" s="8">
        <f>B102+C102</f>
        <v>16499263</v>
      </c>
    </row>
  </sheetData>
  <sheetProtection/>
  <mergeCells count="2">
    <mergeCell ref="A1:D1"/>
    <mergeCell ref="A53:D53"/>
  </mergeCells>
  <printOptions gridLines="1" horizontalCentered="1"/>
  <pageMargins left="0" right="0" top="0.75" bottom="0.75" header="0.3" footer="0.3"/>
  <pageSetup horizontalDpi="600" verticalDpi="600" orientation="portrait" r:id="rId1"/>
  <rowBreaks count="1" manualBreakCount="1"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80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41061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41244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41426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41609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41791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41974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42156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42339</v>
      </c>
      <c r="B21" s="7">
        <v>91042</v>
      </c>
      <c r="C21" s="7">
        <f>43036+3586</f>
        <v>46622</v>
      </c>
      <c r="D21" s="7">
        <f>SUM(B21:C21)</f>
        <v>137664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91042</v>
      </c>
      <c r="C23" s="8">
        <f>SUM(C20:C22)</f>
        <v>46622</v>
      </c>
      <c r="D23" s="8">
        <f>SUM(D20:D22)</f>
        <v>137664</v>
      </c>
    </row>
    <row r="24" spans="2:4" ht="12.75">
      <c r="B24" s="7"/>
      <c r="C24" s="7"/>
      <c r="D24" s="7"/>
    </row>
    <row r="25" spans="1:4" ht="12.75">
      <c r="A25" s="3">
        <v>42522</v>
      </c>
      <c r="B25" s="7">
        <v>92407</v>
      </c>
      <c r="C25" s="7">
        <f>41671+3473</f>
        <v>45144</v>
      </c>
      <c r="D25" s="7">
        <f>SUM(B25:C25)</f>
        <v>137551</v>
      </c>
    </row>
    <row r="26" spans="1:4" ht="12.75">
      <c r="A26" s="3">
        <v>42705</v>
      </c>
      <c r="B26" s="7">
        <v>93794</v>
      </c>
      <c r="C26" s="7">
        <f>40285+3357</f>
        <v>43642</v>
      </c>
      <c r="D26" s="7">
        <f>SUM(B26:C26)</f>
        <v>137436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186201</v>
      </c>
      <c r="C28" s="8">
        <f>SUM(C25:C27)</f>
        <v>88786</v>
      </c>
      <c r="D28" s="8">
        <f>SUM(D25:D27)</f>
        <v>274987</v>
      </c>
    </row>
    <row r="29" spans="2:4" ht="12.75">
      <c r="B29" s="7"/>
      <c r="C29" s="7"/>
      <c r="D29" s="7"/>
    </row>
    <row r="30" spans="1:4" ht="12.75">
      <c r="A30" s="3">
        <v>42887</v>
      </c>
      <c r="B30" s="7">
        <v>95200</v>
      </c>
      <c r="C30" s="7">
        <f>38878+3240</f>
        <v>42118</v>
      </c>
      <c r="D30" s="7">
        <f>SUM(B30:C30)</f>
        <v>137318</v>
      </c>
    </row>
    <row r="31" spans="1:4" ht="12.75">
      <c r="A31" s="3">
        <v>43070</v>
      </c>
      <c r="B31" s="7">
        <v>96628</v>
      </c>
      <c r="C31" s="7">
        <f>37450+3121</f>
        <v>40571</v>
      </c>
      <c r="D31" s="7">
        <f>SUM(B31:C31)</f>
        <v>137199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191828</v>
      </c>
      <c r="C33" s="8">
        <f>SUM(C30:C32)</f>
        <v>82689</v>
      </c>
      <c r="D33" s="8">
        <f>SUM(D30:D32)</f>
        <v>274517</v>
      </c>
    </row>
    <row r="34" spans="2:4" ht="12.75">
      <c r="B34" s="7"/>
      <c r="C34" s="7"/>
      <c r="D34" s="7"/>
    </row>
    <row r="35" spans="1:4" ht="12.75">
      <c r="A35" s="3">
        <v>43252</v>
      </c>
      <c r="B35" s="7">
        <v>98078</v>
      </c>
      <c r="C35" s="7">
        <f>36000+3000</f>
        <v>39000</v>
      </c>
      <c r="D35" s="7">
        <f>SUM(B35:C35)</f>
        <v>137078</v>
      </c>
    </row>
    <row r="36" spans="1:4" ht="12.75">
      <c r="A36" s="3">
        <v>43435</v>
      </c>
      <c r="B36" s="7">
        <v>99549</v>
      </c>
      <c r="C36" s="7">
        <f>34529+2877</f>
        <v>37406</v>
      </c>
      <c r="D36" s="7">
        <f>SUM(B36:C36)</f>
        <v>136955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197627</v>
      </c>
      <c r="C38" s="8">
        <f>SUM(C35:C37)</f>
        <v>76406</v>
      </c>
      <c r="D38" s="8">
        <f>SUM(D35:D37)</f>
        <v>274033</v>
      </c>
    </row>
    <row r="39" spans="2:4" ht="12.75">
      <c r="B39" s="7"/>
      <c r="C39" s="7"/>
      <c r="D39" s="7"/>
    </row>
    <row r="40" spans="1:4" ht="12.75">
      <c r="A40" s="3">
        <v>43617</v>
      </c>
      <c r="B40" s="7">
        <v>101042</v>
      </c>
      <c r="C40" s="7">
        <f>33056+2753</f>
        <v>35809</v>
      </c>
      <c r="D40" s="7">
        <f>SUM(B40:C40)</f>
        <v>136851</v>
      </c>
    </row>
    <row r="41" spans="1:4" ht="12.75">
      <c r="A41" s="3">
        <v>43800</v>
      </c>
      <c r="B41" s="7">
        <v>102558</v>
      </c>
      <c r="C41" s="7">
        <f>31520+2627</f>
        <v>34147</v>
      </c>
      <c r="D41" s="7">
        <f>SUM(B41:C41)</f>
        <v>136705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203600</v>
      </c>
      <c r="C43" s="8">
        <f>SUM(C40:C42)</f>
        <v>69956</v>
      </c>
      <c r="D43" s="8">
        <f>SUM(D40:D42)</f>
        <v>273556</v>
      </c>
    </row>
    <row r="44" spans="2:4" ht="12.75">
      <c r="B44" s="7"/>
      <c r="C44" s="7"/>
      <c r="D44" s="7"/>
    </row>
    <row r="45" spans="1:4" ht="12.75">
      <c r="A45" s="3">
        <v>43983</v>
      </c>
      <c r="B45" s="7">
        <v>104096</v>
      </c>
      <c r="C45" s="7">
        <f>29982+2498</f>
        <v>32480</v>
      </c>
      <c r="D45" s="7">
        <f>SUM(B45:C45)</f>
        <v>136576</v>
      </c>
    </row>
    <row r="46" spans="1:4" ht="12.75">
      <c r="A46" s="3">
        <v>44166</v>
      </c>
      <c r="B46" s="7">
        <v>105658</v>
      </c>
      <c r="C46" s="7">
        <f>28420+2368</f>
        <v>30788</v>
      </c>
      <c r="D46" s="7">
        <f>SUM(B46:C46)</f>
        <v>136446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209754</v>
      </c>
      <c r="C48" s="8">
        <f>SUM(C45:C47)</f>
        <v>63268</v>
      </c>
      <c r="D48" s="8">
        <f>SUM(D45:D47)</f>
        <v>273022</v>
      </c>
    </row>
    <row r="53" spans="1:4" ht="12.75">
      <c r="A53" s="10" t="str">
        <f>A1</f>
        <v>KIA  F-06 Memorial Chemical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44348</v>
      </c>
      <c r="B57" s="7">
        <v>107243</v>
      </c>
      <c r="C57" s="7">
        <f>26836+2236</f>
        <v>29072</v>
      </c>
      <c r="D57" s="7">
        <f>SUM(B57:C57)</f>
        <v>136315</v>
      </c>
    </row>
    <row r="58" spans="1:4" ht="12.75">
      <c r="A58" s="3">
        <v>44531</v>
      </c>
      <c r="B58" s="7">
        <v>108851</v>
      </c>
      <c r="C58" s="7">
        <f>25227+2102</f>
        <v>27329</v>
      </c>
      <c r="D58" s="7">
        <f>SUM(B58:C58)</f>
        <v>136180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216094</v>
      </c>
      <c r="C60" s="8">
        <f>SUM(C57:C59)</f>
        <v>56401</v>
      </c>
      <c r="D60" s="8">
        <f>SUM(D57:D59)</f>
        <v>272495</v>
      </c>
    </row>
    <row r="61" spans="2:4" ht="12.75">
      <c r="B61" s="7"/>
      <c r="C61" s="7"/>
      <c r="D61" s="7"/>
    </row>
    <row r="62" spans="1:4" ht="12.75">
      <c r="A62" s="3">
        <v>44713</v>
      </c>
      <c r="B62" s="7">
        <v>110484</v>
      </c>
      <c r="C62" s="7">
        <f>23594+1966</f>
        <v>25560</v>
      </c>
      <c r="D62" s="7">
        <f>SUM(B62:C62)</f>
        <v>136044</v>
      </c>
    </row>
    <row r="63" spans="1:4" ht="12.75">
      <c r="A63" s="3">
        <v>44896</v>
      </c>
      <c r="B63" s="7">
        <v>112141</v>
      </c>
      <c r="C63" s="7">
        <f>21937+1828</f>
        <v>23765</v>
      </c>
      <c r="D63" s="7">
        <f>SUM(B63:C63)</f>
        <v>135906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222625</v>
      </c>
      <c r="C65" s="8">
        <f>SUM(C62:C64)</f>
        <v>49325</v>
      </c>
      <c r="D65" s="8">
        <f>SUM(D62:D64)</f>
        <v>271950</v>
      </c>
    </row>
    <row r="66" spans="2:4" ht="12.75">
      <c r="B66" s="7"/>
      <c r="C66" s="7"/>
      <c r="D66" s="7"/>
    </row>
    <row r="67" spans="1:4" ht="12.75">
      <c r="A67" s="3">
        <v>45078</v>
      </c>
      <c r="B67" s="7">
        <v>113823</v>
      </c>
      <c r="C67" s="7">
        <f>20255+1688</f>
        <v>21943</v>
      </c>
      <c r="D67" s="7">
        <f>SUM(B67:C67)</f>
        <v>135766</v>
      </c>
    </row>
    <row r="68" spans="1:4" ht="12.75">
      <c r="A68" s="3">
        <v>45261</v>
      </c>
      <c r="B68" s="7">
        <v>115531</v>
      </c>
      <c r="C68" s="7">
        <f>18547+1546</f>
        <v>20093</v>
      </c>
      <c r="D68" s="7">
        <f>SUM(B68:C68)</f>
        <v>135624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229354</v>
      </c>
      <c r="C70" s="8">
        <f>SUM(C67:C69)</f>
        <v>42036</v>
      </c>
      <c r="D70" s="8">
        <f>SUM(D67:D69)</f>
        <v>271390</v>
      </c>
    </row>
    <row r="71" spans="2:4" ht="12.75">
      <c r="B71" s="7"/>
      <c r="C71" s="7"/>
      <c r="D71" s="7"/>
    </row>
    <row r="72" spans="1:4" ht="12.75">
      <c r="A72" s="3">
        <v>45444</v>
      </c>
      <c r="B72" s="7">
        <v>117264</v>
      </c>
      <c r="C72" s="7">
        <f>16814+1401</f>
        <v>18215</v>
      </c>
      <c r="D72" s="7">
        <f>SUM(B72:C72)</f>
        <v>135479</v>
      </c>
    </row>
    <row r="73" spans="1:4" ht="12.75">
      <c r="A73" s="3">
        <v>45627</v>
      </c>
      <c r="B73" s="7">
        <v>119023</v>
      </c>
      <c r="C73" s="7">
        <f>15055+1255</f>
        <v>16310</v>
      </c>
      <c r="D73" s="7">
        <f>SUM(B73:C73)</f>
        <v>135333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236287</v>
      </c>
      <c r="C75" s="8">
        <f>SUM(C72:C74)</f>
        <v>34525</v>
      </c>
      <c r="D75" s="8">
        <f>SUM(D72:D74)</f>
        <v>270812</v>
      </c>
    </row>
    <row r="76" spans="2:4" ht="12.75">
      <c r="B76" s="7"/>
      <c r="C76" s="7"/>
      <c r="D76" s="7"/>
    </row>
    <row r="77" spans="1:4" ht="12.75">
      <c r="A77" s="3">
        <v>45809</v>
      </c>
      <c r="B77" s="7">
        <v>120808</v>
      </c>
      <c r="C77" s="7">
        <f>13270+1106</f>
        <v>14376</v>
      </c>
      <c r="D77" s="7">
        <f>SUM(B77:C77)</f>
        <v>135184</v>
      </c>
    </row>
    <row r="78" spans="1:4" ht="12.75">
      <c r="A78" s="3">
        <v>45992</v>
      </c>
      <c r="B78" s="7">
        <v>122620</v>
      </c>
      <c r="C78" s="7">
        <f>11458+955</f>
        <v>12413</v>
      </c>
      <c r="D78" s="7">
        <f>SUM(B78:C78)</f>
        <v>135033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243428</v>
      </c>
      <c r="C80" s="8">
        <f>SUM(C77:C79)</f>
        <v>26789</v>
      </c>
      <c r="D80" s="8">
        <f>SUM(D77:D79)</f>
        <v>270217</v>
      </c>
    </row>
    <row r="81" spans="2:4" ht="12.75">
      <c r="B81" s="7"/>
      <c r="C81" s="7"/>
      <c r="D81" s="7"/>
    </row>
    <row r="82" spans="1:4" ht="12.75">
      <c r="A82" s="3">
        <v>46174</v>
      </c>
      <c r="B82" s="7">
        <v>124459</v>
      </c>
      <c r="C82" s="7">
        <f>9619+802</f>
        <v>10421</v>
      </c>
      <c r="D82" s="7">
        <f>SUM(B82:C82)</f>
        <v>134880</v>
      </c>
    </row>
    <row r="83" spans="1:4" ht="12.75">
      <c r="A83" s="3">
        <v>46357</v>
      </c>
      <c r="B83" s="7">
        <v>126326</v>
      </c>
      <c r="C83" s="7">
        <f>7752+646</f>
        <v>8398</v>
      </c>
      <c r="D83" s="7">
        <f>SUM(B83:C83)</f>
        <v>134724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250785</v>
      </c>
      <c r="C85" s="8">
        <f>SUM(C82:C84)</f>
        <v>18819</v>
      </c>
      <c r="D85" s="8">
        <f>SUM(D82:D84)</f>
        <v>269604</v>
      </c>
    </row>
    <row r="86" spans="2:4" ht="12.75">
      <c r="B86" s="7"/>
      <c r="C86" s="7"/>
      <c r="D86" s="7"/>
    </row>
    <row r="87" spans="1:4" ht="12.75">
      <c r="A87" s="3">
        <v>46539</v>
      </c>
      <c r="B87" s="7">
        <v>128221</v>
      </c>
      <c r="C87" s="7">
        <f>5857+488</f>
        <v>6345</v>
      </c>
      <c r="D87" s="7">
        <f>SUM(B87:C87)</f>
        <v>134566</v>
      </c>
    </row>
    <row r="88" spans="1:4" ht="12.75">
      <c r="A88" s="3">
        <v>46722</v>
      </c>
      <c r="B88" s="7">
        <v>130144</v>
      </c>
      <c r="C88" s="7">
        <f>3934+328</f>
        <v>4262</v>
      </c>
      <c r="D88" s="7">
        <f>SUM(B88:C88)</f>
        <v>134406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258365</v>
      </c>
      <c r="C90" s="8">
        <f>SUM(C87:C89)</f>
        <v>10607</v>
      </c>
      <c r="D90" s="8">
        <f>SUM(D87:D89)</f>
        <v>268972</v>
      </c>
    </row>
    <row r="91" spans="1:4" ht="12.75">
      <c r="A91" s="2"/>
      <c r="B91" s="8"/>
      <c r="C91" s="8"/>
      <c r="D91" s="8"/>
    </row>
    <row r="92" spans="1:4" ht="12.75">
      <c r="A92" s="3">
        <v>46905</v>
      </c>
      <c r="B92" s="7">
        <v>132097</v>
      </c>
      <c r="C92" s="7">
        <f>1981+165</f>
        <v>2146</v>
      </c>
      <c r="D92" s="7">
        <f>SUM(B92:C92)</f>
        <v>134243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132097</v>
      </c>
      <c r="C95" s="8">
        <f>SUM(C92:C94)</f>
        <v>2146</v>
      </c>
      <c r="D95" s="8">
        <f>SUM(D92:D94)</f>
        <v>134243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0</v>
      </c>
      <c r="C97" s="7">
        <v>0</v>
      </c>
      <c r="D97" s="7">
        <f>SUM(B97:C97)</f>
        <v>0</v>
      </c>
    </row>
    <row r="98" spans="1:4" ht="12.75">
      <c r="A98" s="3">
        <v>47331</v>
      </c>
      <c r="B98" s="7">
        <v>0</v>
      </c>
      <c r="C98" s="7">
        <v>0</v>
      </c>
      <c r="D98" s="7">
        <f>SUM(B98:C98)</f>
        <v>0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0</v>
      </c>
      <c r="C100" s="8">
        <f>SUM(C97:C99)</f>
        <v>0</v>
      </c>
      <c r="D100" s="8">
        <f>SUM(D97:D99)</f>
        <v>0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KIA  F-06 Memorial Chemical After August 1, 2015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0</v>
      </c>
      <c r="C109" s="7">
        <v>0</v>
      </c>
      <c r="D109" s="7">
        <f>SUM(B109:C109)</f>
        <v>0</v>
      </c>
    </row>
    <row r="110" spans="1:4" ht="12.75">
      <c r="A110" s="3">
        <v>47696</v>
      </c>
      <c r="B110" s="7">
        <v>0</v>
      </c>
      <c r="C110" s="7">
        <v>0</v>
      </c>
      <c r="D110" s="7">
        <f>SUM(B110:C110)</f>
        <v>0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0</v>
      </c>
      <c r="C112" s="8">
        <f>SUM(C109:C111)</f>
        <v>0</v>
      </c>
      <c r="D112" s="8">
        <f>SUM(D109:D111)</f>
        <v>0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0</v>
      </c>
      <c r="C114" s="7">
        <v>0</v>
      </c>
      <c r="D114" s="7">
        <f>SUM(B114:C114)</f>
        <v>0</v>
      </c>
    </row>
    <row r="115" spans="1:4" ht="12.75">
      <c r="A115" s="3">
        <v>48061</v>
      </c>
      <c r="B115" s="7">
        <v>0</v>
      </c>
      <c r="C115" s="7">
        <v>0</v>
      </c>
      <c r="D115" s="7">
        <f>SUM(B115:C115)</f>
        <v>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0</v>
      </c>
      <c r="C117" s="8">
        <f>SUM(C114:C116)</f>
        <v>0</v>
      </c>
      <c r="D117" s="8">
        <f>SUM(D114:D116)</f>
        <v>0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0</v>
      </c>
      <c r="C119" s="7">
        <v>0</v>
      </c>
      <c r="D119" s="7">
        <f>SUM(B119:C119)</f>
        <v>0</v>
      </c>
    </row>
    <row r="120" spans="1:4" ht="12.75">
      <c r="A120" s="3">
        <v>48427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24</v>
      </c>
      <c r="B122" s="8">
        <f>SUM(B119:B121)</f>
        <v>0</v>
      </c>
      <c r="C122" s="8">
        <f>SUM(C119:C121)</f>
        <v>0</v>
      </c>
      <c r="D122" s="8">
        <f>SUM(D119:D121)</f>
        <v>0</v>
      </c>
    </row>
    <row r="123" spans="1:4" ht="12.75">
      <c r="A123" s="2"/>
      <c r="B123" s="8"/>
      <c r="C123" s="8"/>
      <c r="D123" s="8"/>
    </row>
    <row r="124" spans="1:4" ht="12.75">
      <c r="A124" s="3">
        <v>48611</v>
      </c>
      <c r="B124" s="7">
        <v>0</v>
      </c>
      <c r="C124" s="7">
        <v>0</v>
      </c>
      <c r="D124" s="7">
        <f>SUM(B124:C124)</f>
        <v>0</v>
      </c>
    </row>
    <row r="125" spans="1:4" ht="12.75">
      <c r="A125" s="3">
        <v>48792</v>
      </c>
      <c r="B125" s="7">
        <v>0</v>
      </c>
      <c r="C125" s="7">
        <v>0</v>
      </c>
      <c r="D125" s="7">
        <f>SUM(B125:C125)</f>
        <v>0</v>
      </c>
    </row>
    <row r="126" spans="2:4" ht="12.75">
      <c r="B126" s="7"/>
      <c r="C126" s="7"/>
      <c r="D126" s="7"/>
    </row>
    <row r="127" spans="1:4" ht="12.75">
      <c r="A127" s="2" t="s">
        <v>25</v>
      </c>
      <c r="B127" s="8">
        <f>SUM(B124:B126)</f>
        <v>0</v>
      </c>
      <c r="C127" s="8">
        <f>SUM(C124:C126)</f>
        <v>0</v>
      </c>
      <c r="D127" s="8">
        <f>SUM(D124:D126)</f>
        <v>0</v>
      </c>
    </row>
    <row r="128" spans="1:4" ht="12.75">
      <c r="A128" s="2"/>
      <c r="B128" s="8"/>
      <c r="C128" s="8"/>
      <c r="D128" s="8"/>
    </row>
    <row r="129" spans="1:4" ht="12.75">
      <c r="A129" s="3">
        <v>48976</v>
      </c>
      <c r="B129" s="7">
        <v>0</v>
      </c>
      <c r="C129" s="7">
        <v>0</v>
      </c>
      <c r="D129" s="7">
        <f>SUM(B129:C129)</f>
        <v>0</v>
      </c>
    </row>
    <row r="130" spans="1:4" ht="12.75">
      <c r="A130" s="3">
        <v>49157</v>
      </c>
      <c r="B130" s="7">
        <v>0</v>
      </c>
      <c r="C130" s="7">
        <v>0</v>
      </c>
      <c r="D130" s="7">
        <f>SUM(B130:C130)</f>
        <v>0</v>
      </c>
    </row>
    <row r="131" spans="2:4" ht="12.75">
      <c r="B131" s="7"/>
      <c r="C131" s="7"/>
      <c r="D131" s="7"/>
    </row>
    <row r="132" spans="1:4" ht="12.75">
      <c r="A132" s="2" t="s">
        <v>26</v>
      </c>
      <c r="B132" s="8">
        <f>SUM(B129:B131)</f>
        <v>0</v>
      </c>
      <c r="C132" s="8">
        <f>SUM(C129:C131)</f>
        <v>0</v>
      </c>
      <c r="D132" s="8">
        <f>SUM(D129:D131)</f>
        <v>0</v>
      </c>
    </row>
    <row r="133" spans="1:4" ht="12.75">
      <c r="A133" s="2"/>
      <c r="B133" s="8"/>
      <c r="C133" s="8"/>
      <c r="D133" s="8"/>
    </row>
    <row r="134" spans="1:4" ht="12.75">
      <c r="A134" s="3">
        <v>49341</v>
      </c>
      <c r="B134" s="7">
        <v>0</v>
      </c>
      <c r="C134" s="7">
        <v>0</v>
      </c>
      <c r="D134" s="7">
        <f>SUM(B134:C134)</f>
        <v>0</v>
      </c>
    </row>
    <row r="135" spans="1:4" ht="12.75">
      <c r="A135" s="3">
        <v>49522</v>
      </c>
      <c r="B135" s="7">
        <v>0</v>
      </c>
      <c r="C135" s="7">
        <v>0</v>
      </c>
      <c r="D135" s="7">
        <f>SUM(B135:C135)</f>
        <v>0</v>
      </c>
    </row>
    <row r="136" spans="2:4" ht="12.75">
      <c r="B136" s="7"/>
      <c r="C136" s="7"/>
      <c r="D136" s="7"/>
    </row>
    <row r="137" spans="1:4" ht="12.75">
      <c r="A137" s="2" t="s">
        <v>28</v>
      </c>
      <c r="B137" s="8">
        <f>SUM(B134:B136)</f>
        <v>0</v>
      </c>
      <c r="C137" s="8">
        <f>SUM(C134:C136)</f>
        <v>0</v>
      </c>
      <c r="D137" s="8">
        <f>SUM(D134:D136)</f>
        <v>0</v>
      </c>
    </row>
    <row r="138" spans="1:4" ht="12.75">
      <c r="A138" s="2"/>
      <c r="B138" s="8"/>
      <c r="C138" s="8"/>
      <c r="D138" s="8"/>
    </row>
    <row r="139" spans="1:4" ht="12.75">
      <c r="A139" s="2" t="s">
        <v>27</v>
      </c>
      <c r="B139" s="8">
        <f>SUMIF(A1:A137,"Total*",B1:B137)</f>
        <v>2869087</v>
      </c>
      <c r="C139" s="8">
        <f>SUMIF(A1:A137,"Total*",C1:C137)</f>
        <v>668375</v>
      </c>
      <c r="D139" s="8">
        <f>B139+C139</f>
        <v>3537462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6">
      <selection activeCell="A22" sqref="A22"/>
    </sheetView>
  </sheetViews>
  <sheetFormatPr defaultColWidth="9.140625" defaultRowHeight="12.75"/>
  <cols>
    <col min="1" max="1" width="13.7109375" style="4" customWidth="1"/>
    <col min="2" max="2" width="11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47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1997 Defeased 2012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6" ht="12.75">
      <c r="H56" s="1"/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12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2" t="s">
        <v>27</v>
      </c>
      <c r="B67" s="8">
        <f>SUMIF(A1:A65,"Total*",B1:B65)</f>
        <v>0</v>
      </c>
      <c r="C67" s="8">
        <f>SUMIF(A1:A65,"Total*",C1:C65)</f>
        <v>0</v>
      </c>
      <c r="D67" s="8">
        <f>B67+C67</f>
        <v>0</v>
      </c>
    </row>
  </sheetData>
  <sheetProtection/>
  <mergeCells count="2">
    <mergeCell ref="A1:D1"/>
    <mergeCell ref="A53:D53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81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41061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41244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41426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41609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41791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41974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42156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42339</v>
      </c>
      <c r="B21" s="7">
        <v>92869</v>
      </c>
      <c r="C21" s="7">
        <f>17713+4428</f>
        <v>22141</v>
      </c>
      <c r="D21" s="7">
        <f>SUM(B21:C21)</f>
        <v>115010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92869</v>
      </c>
      <c r="C23" s="8">
        <f>SUM(C20:C22)</f>
        <v>22141</v>
      </c>
      <c r="D23" s="8">
        <f>SUM(D20:D22)</f>
        <v>115010</v>
      </c>
    </row>
    <row r="24" spans="2:4" ht="12.75">
      <c r="B24" s="7"/>
      <c r="C24" s="7"/>
      <c r="D24" s="7"/>
    </row>
    <row r="25" spans="1:4" ht="12.75">
      <c r="A25" s="3">
        <v>42522</v>
      </c>
      <c r="B25" s="7">
        <v>93334</v>
      </c>
      <c r="C25" s="7">
        <f>17248+4312</f>
        <v>21560</v>
      </c>
      <c r="D25" s="7">
        <f>SUM(B25:C25)</f>
        <v>114894</v>
      </c>
    </row>
    <row r="26" spans="1:4" ht="12.75">
      <c r="A26" s="3">
        <v>42705</v>
      </c>
      <c r="B26" s="7">
        <v>93800</v>
      </c>
      <c r="C26" s="7">
        <f>16782+4195</f>
        <v>20977</v>
      </c>
      <c r="D26" s="7">
        <f>SUM(B26:C26)</f>
        <v>114777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187134</v>
      </c>
      <c r="C28" s="8">
        <f>SUM(C25:C27)</f>
        <v>42537</v>
      </c>
      <c r="D28" s="8">
        <f>SUM(D25:D27)</f>
        <v>229671</v>
      </c>
    </row>
    <row r="29" spans="2:4" ht="12.75">
      <c r="B29" s="7"/>
      <c r="C29" s="7"/>
      <c r="D29" s="7"/>
    </row>
    <row r="30" spans="1:4" ht="12.75">
      <c r="A30" s="3">
        <v>42887</v>
      </c>
      <c r="B30" s="7">
        <v>94269</v>
      </c>
      <c r="C30" s="7">
        <f>16313+4078</f>
        <v>20391</v>
      </c>
      <c r="D30" s="7">
        <f>SUM(B30:C30)</f>
        <v>114660</v>
      </c>
    </row>
    <row r="31" spans="1:4" ht="12.75">
      <c r="A31" s="3">
        <v>43070</v>
      </c>
      <c r="B31" s="7">
        <v>94741</v>
      </c>
      <c r="C31" s="7">
        <f>15841+3960</f>
        <v>19801</v>
      </c>
      <c r="D31" s="7">
        <f>SUM(B31:C31)</f>
        <v>114542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189010</v>
      </c>
      <c r="C33" s="8">
        <f>SUM(C30:C32)</f>
        <v>40192</v>
      </c>
      <c r="D33" s="8">
        <f>SUM(D30:D32)</f>
        <v>229202</v>
      </c>
    </row>
    <row r="34" spans="2:4" ht="12.75">
      <c r="B34" s="7"/>
      <c r="C34" s="7"/>
      <c r="D34" s="7"/>
    </row>
    <row r="35" spans="1:4" ht="12.75">
      <c r="A35" s="3">
        <v>43252</v>
      </c>
      <c r="B35" s="7">
        <v>95214</v>
      </c>
      <c r="C35" s="7">
        <f>15368+3842</f>
        <v>19210</v>
      </c>
      <c r="D35" s="7">
        <f>SUM(B35:C35)</f>
        <v>114424</v>
      </c>
    </row>
    <row r="36" spans="1:4" ht="12.75">
      <c r="A36" s="3">
        <v>43435</v>
      </c>
      <c r="B36" s="7">
        <v>95691</v>
      </c>
      <c r="C36" s="7">
        <f>14892+3723</f>
        <v>18615</v>
      </c>
      <c r="D36" s="7">
        <f>SUM(B36:C36)</f>
        <v>114306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190905</v>
      </c>
      <c r="C38" s="8">
        <f>SUM(C35:C37)</f>
        <v>37825</v>
      </c>
      <c r="D38" s="8">
        <f>SUM(D35:D37)</f>
        <v>228730</v>
      </c>
    </row>
    <row r="39" spans="2:4" ht="12.75">
      <c r="B39" s="7"/>
      <c r="C39" s="7"/>
      <c r="D39" s="7"/>
    </row>
    <row r="40" spans="1:4" ht="12.75">
      <c r="A40" s="3">
        <v>43617</v>
      </c>
      <c r="B40" s="7">
        <v>96169</v>
      </c>
      <c r="C40" s="7">
        <f>14413+3603</f>
        <v>18016</v>
      </c>
      <c r="D40" s="7">
        <f>SUM(B40:C40)</f>
        <v>114185</v>
      </c>
    </row>
    <row r="41" spans="1:4" ht="12.75">
      <c r="A41" s="3">
        <v>43800</v>
      </c>
      <c r="B41" s="7">
        <v>96650</v>
      </c>
      <c r="C41" s="7">
        <f>13932+3483</f>
        <v>17415</v>
      </c>
      <c r="D41" s="7">
        <f>SUM(B41:C41)</f>
        <v>114065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192819</v>
      </c>
      <c r="C43" s="8">
        <f>SUM(C40:C42)</f>
        <v>35431</v>
      </c>
      <c r="D43" s="8">
        <f>SUM(D40:D42)</f>
        <v>228250</v>
      </c>
    </row>
    <row r="44" spans="2:4" ht="12.75">
      <c r="B44" s="7"/>
      <c r="C44" s="7"/>
      <c r="D44" s="7"/>
    </row>
    <row r="45" spans="1:4" ht="12.75">
      <c r="A45" s="3">
        <v>43983</v>
      </c>
      <c r="B45" s="7">
        <v>97133</v>
      </c>
      <c r="C45" s="7">
        <f>13449+3362</f>
        <v>16811</v>
      </c>
      <c r="D45" s="7">
        <f>SUM(B45:C45)</f>
        <v>113944</v>
      </c>
    </row>
    <row r="46" spans="1:4" ht="12.75">
      <c r="A46" s="3">
        <v>44166</v>
      </c>
      <c r="B46" s="7">
        <v>97619</v>
      </c>
      <c r="C46" s="7">
        <f>12963+3241</f>
        <v>16204</v>
      </c>
      <c r="D46" s="7">
        <f>SUM(B46:C46)</f>
        <v>113823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194752</v>
      </c>
      <c r="C48" s="8">
        <f>SUM(C45:C47)</f>
        <v>33015</v>
      </c>
      <c r="D48" s="8">
        <f>SUM(D45:D47)</f>
        <v>227767</v>
      </c>
    </row>
    <row r="53" spans="1:4" ht="12.75">
      <c r="A53" s="10" t="str">
        <f>A1</f>
        <v>KIA  F-08-07 Various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44348</v>
      </c>
      <c r="B57" s="7">
        <v>98107</v>
      </c>
      <c r="C57" s="7">
        <f>12475+3119</f>
        <v>15594</v>
      </c>
      <c r="D57" s="7">
        <f>SUM(B57:C57)</f>
        <v>113701</v>
      </c>
    </row>
    <row r="58" spans="1:4" ht="12.75">
      <c r="A58" s="3">
        <v>44531</v>
      </c>
      <c r="B58" s="7">
        <v>98597</v>
      </c>
      <c r="C58" s="7">
        <f>11985+2996</f>
        <v>14981</v>
      </c>
      <c r="D58" s="7">
        <f>SUM(B58:C58)</f>
        <v>113578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196704</v>
      </c>
      <c r="C60" s="8">
        <f>SUM(C57:C59)</f>
        <v>30575</v>
      </c>
      <c r="D60" s="8">
        <f>SUM(D57:D59)</f>
        <v>227279</v>
      </c>
    </row>
    <row r="61" spans="2:4" ht="12.75">
      <c r="B61" s="7"/>
      <c r="C61" s="7"/>
      <c r="D61" s="7"/>
    </row>
    <row r="62" spans="1:4" ht="12.75">
      <c r="A62" s="3">
        <v>44713</v>
      </c>
      <c r="B62" s="7">
        <v>99090</v>
      </c>
      <c r="C62" s="7">
        <f>11492+2873</f>
        <v>14365</v>
      </c>
      <c r="D62" s="7">
        <f>SUM(B62:C62)</f>
        <v>113455</v>
      </c>
    </row>
    <row r="63" spans="1:4" ht="12.75">
      <c r="A63" s="3">
        <v>44896</v>
      </c>
      <c r="B63" s="7">
        <v>99586</v>
      </c>
      <c r="C63" s="7">
        <f>10996+2749</f>
        <v>13745</v>
      </c>
      <c r="D63" s="7">
        <f>SUM(B63:C63)</f>
        <v>113331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198676</v>
      </c>
      <c r="C65" s="8">
        <f>SUM(C62:C64)</f>
        <v>28110</v>
      </c>
      <c r="D65" s="8">
        <f>SUM(D62:D64)</f>
        <v>226786</v>
      </c>
    </row>
    <row r="66" spans="2:4" ht="12.75">
      <c r="B66" s="7"/>
      <c r="C66" s="7"/>
      <c r="D66" s="7"/>
    </row>
    <row r="67" spans="1:4" ht="12.75">
      <c r="A67" s="3">
        <v>45078</v>
      </c>
      <c r="B67" s="7">
        <v>100084</v>
      </c>
      <c r="C67" s="7">
        <f>10498+2625</f>
        <v>13123</v>
      </c>
      <c r="D67" s="7">
        <f>SUM(B67:C67)</f>
        <v>113207</v>
      </c>
    </row>
    <row r="68" spans="1:4" ht="12.75">
      <c r="A68" s="3">
        <v>45261</v>
      </c>
      <c r="B68" s="7">
        <v>100584</v>
      </c>
      <c r="C68" s="7">
        <f>9998+2499</f>
        <v>12497</v>
      </c>
      <c r="D68" s="7">
        <f>SUM(B68:C68)</f>
        <v>113081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200668</v>
      </c>
      <c r="C70" s="8">
        <f>SUM(C67:C69)</f>
        <v>25620</v>
      </c>
      <c r="D70" s="8">
        <f>SUM(D67:D69)</f>
        <v>226288</v>
      </c>
    </row>
    <row r="71" spans="2:4" ht="12.75">
      <c r="B71" s="7"/>
      <c r="C71" s="7"/>
      <c r="D71" s="7"/>
    </row>
    <row r="72" spans="1:4" ht="12.75">
      <c r="A72" s="3">
        <v>45444</v>
      </c>
      <c r="B72" s="7">
        <v>101087</v>
      </c>
      <c r="C72" s="7">
        <f>9495+2374</f>
        <v>11869</v>
      </c>
      <c r="D72" s="7">
        <f>SUM(B72:C72)</f>
        <v>112956</v>
      </c>
    </row>
    <row r="73" spans="1:4" ht="12.75">
      <c r="A73" s="3">
        <v>45627</v>
      </c>
      <c r="B73" s="7">
        <v>101593</v>
      </c>
      <c r="C73" s="7">
        <f>8990+2247</f>
        <v>11237</v>
      </c>
      <c r="D73" s="7">
        <f>SUM(B73:C73)</f>
        <v>112830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202680</v>
      </c>
      <c r="C75" s="8">
        <f>SUM(C72:C74)</f>
        <v>23106</v>
      </c>
      <c r="D75" s="8">
        <f>SUM(D72:D74)</f>
        <v>225786</v>
      </c>
    </row>
    <row r="76" spans="2:4" ht="12.75">
      <c r="B76" s="7"/>
      <c r="C76" s="7"/>
      <c r="D76" s="7"/>
    </row>
    <row r="77" spans="1:4" ht="12.75">
      <c r="A77" s="3">
        <v>45809</v>
      </c>
      <c r="B77" s="7">
        <v>102100</v>
      </c>
      <c r="C77" s="7">
        <f>8482+2120</f>
        <v>10602</v>
      </c>
      <c r="D77" s="7">
        <f>SUM(B77:C77)</f>
        <v>112702</v>
      </c>
    </row>
    <row r="78" spans="1:4" ht="12.75">
      <c r="A78" s="3">
        <v>45992</v>
      </c>
      <c r="B78" s="7">
        <v>102611</v>
      </c>
      <c r="C78" s="7">
        <f>7971+1993</f>
        <v>9964</v>
      </c>
      <c r="D78" s="7">
        <f>SUM(B78:C78)</f>
        <v>112575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204711</v>
      </c>
      <c r="C80" s="8">
        <f>SUM(C77:C79)</f>
        <v>20566</v>
      </c>
      <c r="D80" s="8">
        <f>SUM(D77:D79)</f>
        <v>225277</v>
      </c>
    </row>
    <row r="81" spans="2:4" ht="12.75">
      <c r="B81" s="7"/>
      <c r="C81" s="7"/>
      <c r="D81" s="7"/>
    </row>
    <row r="82" spans="1:4" ht="12.75">
      <c r="A82" s="3">
        <v>46174</v>
      </c>
      <c r="B82" s="7">
        <v>103124</v>
      </c>
      <c r="C82" s="7">
        <f>7458+1865</f>
        <v>9323</v>
      </c>
      <c r="D82" s="7">
        <f>SUM(B82:C82)</f>
        <v>112447</v>
      </c>
    </row>
    <row r="83" spans="1:4" ht="12.75">
      <c r="A83" s="3">
        <v>46357</v>
      </c>
      <c r="B83" s="7">
        <v>103640</v>
      </c>
      <c r="C83" s="7">
        <f>6942+1736</f>
        <v>8678</v>
      </c>
      <c r="D83" s="7">
        <f>SUM(B83:C83)</f>
        <v>112318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206764</v>
      </c>
      <c r="C85" s="8">
        <f>SUM(C82:C84)</f>
        <v>18001</v>
      </c>
      <c r="D85" s="8">
        <f>SUM(D82:D84)</f>
        <v>224765</v>
      </c>
    </row>
    <row r="86" spans="2:4" ht="12.75">
      <c r="B86" s="7"/>
      <c r="C86" s="7"/>
      <c r="D86" s="7"/>
    </row>
    <row r="87" spans="1:4" ht="12.75">
      <c r="A87" s="3">
        <v>46539</v>
      </c>
      <c r="B87" s="7">
        <v>104158</v>
      </c>
      <c r="C87" s="7">
        <f>6424+1606</f>
        <v>8030</v>
      </c>
      <c r="D87" s="7">
        <f>SUM(B87:C87)</f>
        <v>112188</v>
      </c>
    </row>
    <row r="88" spans="1:4" ht="12.75">
      <c r="A88" s="3">
        <v>46722</v>
      </c>
      <c r="B88" s="7">
        <v>104679</v>
      </c>
      <c r="C88" s="7">
        <f>5903+1476</f>
        <v>7379</v>
      </c>
      <c r="D88" s="7">
        <f>SUM(B88:C88)</f>
        <v>112058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208837</v>
      </c>
      <c r="C90" s="8">
        <f>SUM(C87:C89)</f>
        <v>15409</v>
      </c>
      <c r="D90" s="8">
        <f>SUM(D87:D89)</f>
        <v>224246</v>
      </c>
    </row>
    <row r="91" spans="1:4" ht="12.75">
      <c r="A91" s="2"/>
      <c r="B91" s="8"/>
      <c r="C91" s="8"/>
      <c r="D91" s="8"/>
    </row>
    <row r="92" spans="1:4" ht="12.75">
      <c r="A92" s="3">
        <v>46905</v>
      </c>
      <c r="B92" s="7">
        <v>105202</v>
      </c>
      <c r="C92" s="7">
        <f>5380+1345</f>
        <v>6725</v>
      </c>
      <c r="D92" s="7">
        <f>SUM(B92:C92)</f>
        <v>111927</v>
      </c>
    </row>
    <row r="93" spans="1:4" ht="12.75">
      <c r="A93" s="3">
        <v>47088</v>
      </c>
      <c r="B93" s="7">
        <v>105728</v>
      </c>
      <c r="C93" s="7">
        <f>4854+1214</f>
        <v>6068</v>
      </c>
      <c r="D93" s="7">
        <f>SUM(B93:C93)</f>
        <v>111796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210930</v>
      </c>
      <c r="C95" s="8">
        <f>SUM(C92:C94)</f>
        <v>12793</v>
      </c>
      <c r="D95" s="8">
        <f>SUM(D92:D94)</f>
        <v>223723</v>
      </c>
    </row>
    <row r="96" spans="1:4" ht="12.75">
      <c r="A96" s="2"/>
      <c r="B96" s="8"/>
      <c r="C96" s="8"/>
      <c r="D96" s="8"/>
    </row>
    <row r="97" spans="1:4" ht="12.75">
      <c r="A97" s="3">
        <v>47270</v>
      </c>
      <c r="B97" s="7">
        <v>106257</v>
      </c>
      <c r="C97" s="7">
        <f>4325+1081</f>
        <v>5406</v>
      </c>
      <c r="D97" s="7">
        <f>SUM(B97:C97)</f>
        <v>111663</v>
      </c>
    </row>
    <row r="98" spans="1:4" ht="12.75">
      <c r="A98" s="3">
        <v>47453</v>
      </c>
      <c r="B98" s="7">
        <v>106788</v>
      </c>
      <c r="C98" s="7">
        <f>3794+949</f>
        <v>4743</v>
      </c>
      <c r="D98" s="7">
        <f>SUM(B98:C98)</f>
        <v>111531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213045</v>
      </c>
      <c r="C100" s="8">
        <f>SUM(C97:C99)</f>
        <v>10149</v>
      </c>
      <c r="D100" s="8">
        <f>SUM(D97:D99)</f>
        <v>223194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KIA  F-08-07 Various After August 1, 2015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47635</v>
      </c>
      <c r="B109" s="7">
        <v>107322</v>
      </c>
      <c r="C109" s="7">
        <f>3260+815</f>
        <v>4075</v>
      </c>
      <c r="D109" s="7">
        <f>SUM(B109:C109)</f>
        <v>111397</v>
      </c>
    </row>
    <row r="110" spans="1:4" ht="12.75">
      <c r="A110" s="3">
        <v>47818</v>
      </c>
      <c r="B110" s="7">
        <v>107859</v>
      </c>
      <c r="C110" s="7">
        <f>2724+681</f>
        <v>3405</v>
      </c>
      <c r="D110" s="7">
        <f>SUM(B110:C110)</f>
        <v>111264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215181</v>
      </c>
      <c r="C112" s="8">
        <f>SUM(C109:C111)</f>
        <v>7480</v>
      </c>
      <c r="D112" s="8">
        <f>SUM(D109:D111)</f>
        <v>222661</v>
      </c>
    </row>
    <row r="113" spans="1:4" ht="12.75">
      <c r="A113" s="2"/>
      <c r="B113" s="8"/>
      <c r="C113" s="8"/>
      <c r="D113" s="8"/>
    </row>
    <row r="114" spans="1:4" ht="12.75">
      <c r="A114" s="3">
        <v>48000</v>
      </c>
      <c r="B114" s="7">
        <v>108398</v>
      </c>
      <c r="C114" s="7">
        <f>2184+546</f>
        <v>2730</v>
      </c>
      <c r="D114" s="7">
        <f>SUM(B114:C114)</f>
        <v>111128</v>
      </c>
    </row>
    <row r="115" spans="1:4" ht="12.75">
      <c r="A115" s="3">
        <v>48183</v>
      </c>
      <c r="B115" s="7">
        <v>108940</v>
      </c>
      <c r="C115" s="7">
        <f>1642+411</f>
        <v>2053</v>
      </c>
      <c r="D115" s="7">
        <f>SUM(B115:C115)</f>
        <v>110993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217338</v>
      </c>
      <c r="C117" s="8">
        <f>SUM(C114:C116)</f>
        <v>4783</v>
      </c>
      <c r="D117" s="8">
        <f>SUM(D114:D116)</f>
        <v>222121</v>
      </c>
    </row>
    <row r="118" spans="1:4" ht="12.75">
      <c r="A118" s="2"/>
      <c r="B118" s="8"/>
      <c r="C118" s="8"/>
      <c r="D118" s="8"/>
    </row>
    <row r="119" spans="1:4" ht="12.75">
      <c r="A119" s="3">
        <v>48366</v>
      </c>
      <c r="B119" s="7">
        <v>109484</v>
      </c>
      <c r="C119" s="7">
        <f>1098+274</f>
        <v>1372</v>
      </c>
      <c r="D119" s="7">
        <f>SUM(B119:C119)</f>
        <v>110856</v>
      </c>
    </row>
    <row r="120" spans="1:4" ht="12.75">
      <c r="A120" s="3">
        <v>48549</v>
      </c>
      <c r="B120" s="7">
        <v>110032</v>
      </c>
      <c r="C120" s="7">
        <f>550+138</f>
        <v>688</v>
      </c>
      <c r="D120" s="7">
        <f>SUM(B120:C120)</f>
        <v>110720</v>
      </c>
    </row>
    <row r="121" spans="2:4" ht="12.75">
      <c r="B121" s="7"/>
      <c r="C121" s="7"/>
      <c r="D121" s="7"/>
    </row>
    <row r="122" spans="1:4" ht="12.75">
      <c r="A122" s="2" t="s">
        <v>24</v>
      </c>
      <c r="B122" s="8">
        <f>SUM(B119:B121)</f>
        <v>219516</v>
      </c>
      <c r="C122" s="8">
        <f>SUM(C119:C121)</f>
        <v>2060</v>
      </c>
      <c r="D122" s="8">
        <f>SUM(D119:D121)</f>
        <v>221576</v>
      </c>
    </row>
    <row r="123" spans="1:4" ht="12.75">
      <c r="A123" s="2"/>
      <c r="B123" s="8"/>
      <c r="C123" s="8"/>
      <c r="D123" s="8"/>
    </row>
    <row r="124" spans="1:4" ht="12.75">
      <c r="A124" s="3">
        <v>48731</v>
      </c>
      <c r="B124" s="7">
        <v>0</v>
      </c>
      <c r="C124" s="7">
        <v>0</v>
      </c>
      <c r="D124" s="7">
        <f>SUM(B124:C124)</f>
        <v>0</v>
      </c>
    </row>
    <row r="125" spans="1:4" ht="12.75">
      <c r="A125" s="3">
        <v>48914</v>
      </c>
      <c r="B125" s="7">
        <v>0</v>
      </c>
      <c r="C125" s="7">
        <v>0</v>
      </c>
      <c r="D125" s="7">
        <f>SUM(B125:C125)</f>
        <v>0</v>
      </c>
    </row>
    <row r="126" spans="2:4" ht="12.75">
      <c r="B126" s="7"/>
      <c r="C126" s="7"/>
      <c r="D126" s="7"/>
    </row>
    <row r="127" spans="1:4" ht="12.75">
      <c r="A127" s="2" t="s">
        <v>25</v>
      </c>
      <c r="B127" s="8">
        <f>SUM(B124:B126)</f>
        <v>0</v>
      </c>
      <c r="C127" s="8">
        <f>SUM(C124:C126)</f>
        <v>0</v>
      </c>
      <c r="D127" s="8">
        <f>SUM(D124:D126)</f>
        <v>0</v>
      </c>
    </row>
    <row r="128" spans="1:4" ht="12.75">
      <c r="A128" s="2"/>
      <c r="B128" s="8"/>
      <c r="C128" s="8"/>
      <c r="D128" s="8"/>
    </row>
    <row r="129" spans="1:4" ht="12.75">
      <c r="A129" s="3">
        <v>49096</v>
      </c>
      <c r="B129" s="7">
        <v>0</v>
      </c>
      <c r="C129" s="7">
        <v>0</v>
      </c>
      <c r="D129" s="7">
        <f>SUM(B129:C129)</f>
        <v>0</v>
      </c>
    </row>
    <row r="130" spans="1:4" ht="12.75">
      <c r="A130" s="3">
        <v>49279</v>
      </c>
      <c r="B130" s="7">
        <v>0</v>
      </c>
      <c r="C130" s="7">
        <v>0</v>
      </c>
      <c r="D130" s="7">
        <f>SUM(B130:C130)</f>
        <v>0</v>
      </c>
    </row>
    <row r="131" spans="2:4" ht="12.75">
      <c r="B131" s="7"/>
      <c r="C131" s="7"/>
      <c r="D131" s="7"/>
    </row>
    <row r="132" spans="1:4" ht="12.75">
      <c r="A132" s="2" t="s">
        <v>26</v>
      </c>
      <c r="B132" s="8">
        <f>SUM(B129:B131)</f>
        <v>0</v>
      </c>
      <c r="C132" s="8">
        <f>SUM(C129:C131)</f>
        <v>0</v>
      </c>
      <c r="D132" s="8">
        <f>SUM(D129:D131)</f>
        <v>0</v>
      </c>
    </row>
    <row r="133" spans="1:4" ht="12.75">
      <c r="A133" s="2"/>
      <c r="B133" s="8"/>
      <c r="C133" s="8"/>
      <c r="D133" s="8"/>
    </row>
    <row r="134" spans="1:4" ht="12.75">
      <c r="A134" s="3">
        <v>49461</v>
      </c>
      <c r="B134" s="7">
        <v>0</v>
      </c>
      <c r="C134" s="7">
        <v>0</v>
      </c>
      <c r="D134" s="7">
        <f>SUM(B134:C134)</f>
        <v>0</v>
      </c>
    </row>
    <row r="135" spans="1:4" ht="12.75">
      <c r="A135" s="3">
        <v>49644</v>
      </c>
      <c r="B135" s="7">
        <v>0</v>
      </c>
      <c r="C135" s="7">
        <v>0</v>
      </c>
      <c r="D135" s="7">
        <f>SUM(B135:C135)</f>
        <v>0</v>
      </c>
    </row>
    <row r="136" spans="2:4" ht="12.75">
      <c r="B136" s="7"/>
      <c r="C136" s="7"/>
      <c r="D136" s="7"/>
    </row>
    <row r="137" spans="1:4" ht="12.75">
      <c r="A137" s="2" t="s">
        <v>28</v>
      </c>
      <c r="B137" s="8">
        <f>SUM(B134:B136)</f>
        <v>0</v>
      </c>
      <c r="C137" s="8">
        <f>SUM(C134:C136)</f>
        <v>0</v>
      </c>
      <c r="D137" s="8">
        <f>SUM(D134:D136)</f>
        <v>0</v>
      </c>
    </row>
    <row r="138" spans="1:4" ht="12.75">
      <c r="A138" s="2"/>
      <c r="B138" s="8"/>
      <c r="C138" s="8"/>
      <c r="D138" s="8"/>
    </row>
    <row r="139" spans="1:4" ht="12.75">
      <c r="A139" s="2" t="s">
        <v>27</v>
      </c>
      <c r="B139" s="8">
        <f>SUMIF(A1:A137,"Total*",B1:B137)</f>
        <v>3542539</v>
      </c>
      <c r="C139" s="8">
        <f>SUMIF(A1:A137,"Total*",C1:C137)</f>
        <v>409793</v>
      </c>
      <c r="D139" s="8">
        <f>B139+C139</f>
        <v>3952332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82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41426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41609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5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41791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41974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6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42156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42339</v>
      </c>
      <c r="B16" s="7">
        <v>510868</v>
      </c>
      <c r="C16" s="7">
        <v>247574</v>
      </c>
      <c r="D16" s="7">
        <f>SUM(B16:C16)</f>
        <v>758442</v>
      </c>
    </row>
    <row r="17" spans="2:4" ht="12.75">
      <c r="B17" s="7"/>
      <c r="C17" s="7"/>
      <c r="D17" s="7"/>
    </row>
    <row r="18" spans="1:4" ht="12.75">
      <c r="A18" s="2" t="s">
        <v>7</v>
      </c>
      <c r="B18" s="8">
        <f>SUM(B15:B17)</f>
        <v>510868</v>
      </c>
      <c r="C18" s="8">
        <f>SUM(C15:C17)</f>
        <v>247574</v>
      </c>
      <c r="D18" s="8">
        <f>SUM(D15:D17)</f>
        <v>758442</v>
      </c>
    </row>
    <row r="19" spans="2:4" ht="12.75">
      <c r="B19" s="7"/>
      <c r="C19" s="7"/>
      <c r="D19" s="7"/>
    </row>
    <row r="20" spans="1:4" ht="12.75">
      <c r="A20" s="3">
        <v>42522</v>
      </c>
      <c r="B20" s="7">
        <v>515977</v>
      </c>
      <c r="C20" s="7">
        <v>241827</v>
      </c>
      <c r="D20" s="7">
        <f>SUM(B20:C20)</f>
        <v>757804</v>
      </c>
    </row>
    <row r="21" spans="1:4" ht="12.75">
      <c r="A21" s="3">
        <v>42705</v>
      </c>
      <c r="B21" s="7">
        <v>521137</v>
      </c>
      <c r="C21" s="7">
        <v>236022</v>
      </c>
      <c r="D21" s="7">
        <f>SUM(B21:C21)</f>
        <v>757159</v>
      </c>
    </row>
    <row r="22" spans="2:4" ht="12.75">
      <c r="B22" s="7"/>
      <c r="C22" s="7"/>
      <c r="D22" s="7"/>
    </row>
    <row r="23" spans="1:4" ht="12.75">
      <c r="A23" s="2" t="s">
        <v>8</v>
      </c>
      <c r="B23" s="8">
        <f>SUM(B20:B22)</f>
        <v>1037114</v>
      </c>
      <c r="C23" s="8">
        <f>SUM(C20:C22)</f>
        <v>477849</v>
      </c>
      <c r="D23" s="8">
        <f>SUM(D20:D22)</f>
        <v>1514963</v>
      </c>
    </row>
    <row r="24" spans="2:4" ht="12.75">
      <c r="B24" s="7"/>
      <c r="C24" s="7"/>
      <c r="D24" s="7"/>
    </row>
    <row r="25" spans="1:4" ht="12.75">
      <c r="A25" s="3">
        <v>42887</v>
      </c>
      <c r="B25" s="7">
        <v>526348</v>
      </c>
      <c r="C25" s="7">
        <v>230160</v>
      </c>
      <c r="D25" s="7">
        <f>SUM(B25:C25)</f>
        <v>756508</v>
      </c>
    </row>
    <row r="26" spans="1:4" ht="12.75">
      <c r="A26" s="3">
        <v>43070</v>
      </c>
      <c r="B26" s="7">
        <v>531612</v>
      </c>
      <c r="C26" s="7">
        <v>224238</v>
      </c>
      <c r="D26" s="7">
        <f>SUM(B26:C26)</f>
        <v>755850</v>
      </c>
    </row>
    <row r="27" spans="2:4" ht="12.75">
      <c r="B27" s="7"/>
      <c r="C27" s="7"/>
      <c r="D27" s="7"/>
    </row>
    <row r="28" spans="1:4" ht="12.75">
      <c r="A28" s="2" t="s">
        <v>9</v>
      </c>
      <c r="B28" s="8">
        <f>SUM(B25:B27)</f>
        <v>1057960</v>
      </c>
      <c r="C28" s="8">
        <f>SUM(C25:C27)</f>
        <v>454398</v>
      </c>
      <c r="D28" s="8">
        <f>SUM(D25:D27)</f>
        <v>1512358</v>
      </c>
    </row>
    <row r="29" spans="2:4" ht="12.75">
      <c r="B29" s="7"/>
      <c r="C29" s="7"/>
      <c r="D29" s="7"/>
    </row>
    <row r="30" spans="1:4" ht="12.75">
      <c r="A30" s="3">
        <v>43252</v>
      </c>
      <c r="B30" s="7">
        <v>536928</v>
      </c>
      <c r="C30" s="7">
        <v>218258</v>
      </c>
      <c r="D30" s="7">
        <f>SUM(B30:C30)</f>
        <v>755186</v>
      </c>
    </row>
    <row r="31" spans="1:4" ht="12.75">
      <c r="A31" s="3">
        <v>43435</v>
      </c>
      <c r="B31" s="7">
        <v>542297</v>
      </c>
      <c r="C31" s="7">
        <v>212217</v>
      </c>
      <c r="D31" s="7">
        <f>SUM(B31:C31)</f>
        <v>754514</v>
      </c>
    </row>
    <row r="32" spans="2:4" ht="12.75">
      <c r="B32" s="7"/>
      <c r="C32" s="7"/>
      <c r="D32" s="7"/>
    </row>
    <row r="33" spans="1:4" ht="12.75">
      <c r="A33" s="2" t="s">
        <v>10</v>
      </c>
      <c r="B33" s="8">
        <f>SUM(B30:B32)</f>
        <v>1079225</v>
      </c>
      <c r="C33" s="8">
        <f>SUM(C30:C32)</f>
        <v>430475</v>
      </c>
      <c r="D33" s="8">
        <f>SUM(D30:D32)</f>
        <v>1509700</v>
      </c>
    </row>
    <row r="34" spans="2:4" ht="12.75">
      <c r="B34" s="7"/>
      <c r="C34" s="7"/>
      <c r="D34" s="7"/>
    </row>
    <row r="35" spans="1:4" ht="12.75">
      <c r="A35" s="3">
        <v>43617</v>
      </c>
      <c r="B35" s="7">
        <v>547720</v>
      </c>
      <c r="C35" s="7">
        <v>206116.24</v>
      </c>
      <c r="D35" s="7">
        <f>SUM(B35:C35)</f>
        <v>753836.24</v>
      </c>
    </row>
    <row r="36" spans="1:4" ht="12.75">
      <c r="A36" s="3">
        <v>43800</v>
      </c>
      <c r="B36" s="7">
        <v>553197</v>
      </c>
      <c r="C36" s="7">
        <v>199954.39</v>
      </c>
      <c r="D36" s="7">
        <f>SUM(B36:C36)</f>
        <v>753151.39</v>
      </c>
    </row>
    <row r="37" spans="2:4" ht="12.75">
      <c r="B37" s="7"/>
      <c r="C37" s="7"/>
      <c r="D37" s="7"/>
    </row>
    <row r="38" spans="1:4" ht="12.75">
      <c r="A38" s="2" t="s">
        <v>11</v>
      </c>
      <c r="B38" s="8">
        <f>SUM(B35:B37)</f>
        <v>1100917</v>
      </c>
      <c r="C38" s="8">
        <f>SUM(C35:C37)</f>
        <v>406070.63</v>
      </c>
      <c r="D38" s="8">
        <f>SUM(D35:D37)</f>
        <v>1506987.63</v>
      </c>
    </row>
    <row r="39" spans="2:4" ht="12.75">
      <c r="B39" s="7"/>
      <c r="C39" s="7"/>
      <c r="D39" s="7"/>
    </row>
    <row r="40" spans="1:4" ht="12.75">
      <c r="A40" s="3">
        <v>43983</v>
      </c>
      <c r="B40" s="7">
        <v>558729</v>
      </c>
      <c r="C40" s="7">
        <v>193731</v>
      </c>
      <c r="D40" s="7">
        <f>SUM(B40:C40)</f>
        <v>752460</v>
      </c>
    </row>
    <row r="41" spans="1:4" ht="12.75">
      <c r="A41" s="3">
        <v>44166</v>
      </c>
      <c r="B41" s="7">
        <v>564316</v>
      </c>
      <c r="C41" s="7">
        <v>187445</v>
      </c>
      <c r="D41" s="7">
        <f>SUM(B41:C41)</f>
        <v>751761</v>
      </c>
    </row>
    <row r="42" spans="2:4" ht="12.75">
      <c r="B42" s="7"/>
      <c r="C42" s="7"/>
      <c r="D42" s="7"/>
    </row>
    <row r="43" spans="1:4" ht="12.75">
      <c r="A43" s="2" t="s">
        <v>12</v>
      </c>
      <c r="B43" s="8">
        <f>SUM(B40:B42)</f>
        <v>1123045</v>
      </c>
      <c r="C43" s="8">
        <f>SUM(C40:C42)</f>
        <v>381176</v>
      </c>
      <c r="D43" s="8">
        <f>SUM(D40:D42)</f>
        <v>1504221</v>
      </c>
    </row>
    <row r="48" spans="1:4" ht="12.75">
      <c r="A48" s="10" t="str">
        <f>A1</f>
        <v>KIA  F-09-02 GAC After August 1, 2015</v>
      </c>
      <c r="B48" s="10"/>
      <c r="C48" s="10"/>
      <c r="D48" s="10"/>
    </row>
    <row r="50" spans="1:4" ht="12.75">
      <c r="A50" s="2" t="s">
        <v>0</v>
      </c>
      <c r="B50" s="5" t="s">
        <v>1</v>
      </c>
      <c r="C50" s="5" t="s">
        <v>3</v>
      </c>
      <c r="D50" s="5" t="s">
        <v>4</v>
      </c>
    </row>
    <row r="52" spans="1:4" ht="12.75">
      <c r="A52" s="3">
        <v>44348</v>
      </c>
      <c r="B52" s="7">
        <v>569960</v>
      </c>
      <c r="C52" s="7">
        <v>181097</v>
      </c>
      <c r="D52" s="7">
        <f>SUM(B52:C52)</f>
        <v>751057</v>
      </c>
    </row>
    <row r="53" spans="1:4" ht="12.75">
      <c r="A53" s="3">
        <v>44531</v>
      </c>
      <c r="B53" s="7">
        <v>575659.13</v>
      </c>
      <c r="C53" s="7">
        <v>174685</v>
      </c>
      <c r="D53" s="7">
        <f>SUM(B53:C53)</f>
        <v>750344.13</v>
      </c>
    </row>
    <row r="54" spans="2:4" ht="12.75">
      <c r="B54" s="7"/>
      <c r="C54" s="7"/>
      <c r="D54" s="7"/>
    </row>
    <row r="55" spans="1:4" ht="12.75">
      <c r="A55" s="2" t="s">
        <v>33</v>
      </c>
      <c r="B55" s="8">
        <f>SUM(B52:B54)</f>
        <v>1145619.13</v>
      </c>
      <c r="C55" s="8">
        <f>SUM(C52:C54)</f>
        <v>355782</v>
      </c>
      <c r="D55" s="8">
        <f>SUM(D52:D54)</f>
        <v>1501401.13</v>
      </c>
    </row>
    <row r="56" spans="2:4" ht="12.75">
      <c r="B56" s="7"/>
      <c r="C56" s="7"/>
      <c r="D56" s="7"/>
    </row>
    <row r="57" spans="1:4" ht="12.75">
      <c r="A57" s="3">
        <v>44713</v>
      </c>
      <c r="B57" s="7">
        <v>581416</v>
      </c>
      <c r="C57" s="7">
        <v>168208</v>
      </c>
      <c r="D57" s="7">
        <f>SUM(B57:C57)</f>
        <v>749624</v>
      </c>
    </row>
    <row r="58" spans="1:4" ht="12.75">
      <c r="A58" s="3">
        <v>44896</v>
      </c>
      <c r="B58" s="7">
        <v>587230</v>
      </c>
      <c r="C58" s="7">
        <v>161668</v>
      </c>
      <c r="D58" s="7">
        <f>SUM(B58:C58)</f>
        <v>748898</v>
      </c>
    </row>
    <row r="59" spans="2:4" ht="12.75">
      <c r="B59" s="7"/>
      <c r="C59" s="7"/>
      <c r="D59" s="7"/>
    </row>
    <row r="60" spans="1:4" ht="12.75">
      <c r="A60" s="2" t="s">
        <v>13</v>
      </c>
      <c r="B60" s="8">
        <f>SUM(B57:B59)</f>
        <v>1168646</v>
      </c>
      <c r="C60" s="8">
        <f>SUM(C57:C59)</f>
        <v>329876</v>
      </c>
      <c r="D60" s="8">
        <f>SUM(D57:D59)</f>
        <v>1498522</v>
      </c>
    </row>
    <row r="61" spans="2:4" ht="12.75">
      <c r="B61" s="7"/>
      <c r="C61" s="7"/>
      <c r="D61" s="7"/>
    </row>
    <row r="62" spans="1:4" ht="12.75">
      <c r="A62" s="3">
        <v>45078</v>
      </c>
      <c r="B62" s="7">
        <v>593102</v>
      </c>
      <c r="C62" s="7">
        <v>155061</v>
      </c>
      <c r="D62" s="7">
        <f>SUM(B62:C62)</f>
        <v>748163</v>
      </c>
    </row>
    <row r="63" spans="1:4" ht="12.75">
      <c r="A63" s="3">
        <v>45261</v>
      </c>
      <c r="B63" s="7">
        <v>599033</v>
      </c>
      <c r="C63" s="7">
        <v>148389</v>
      </c>
      <c r="D63" s="7">
        <f>SUM(B63:C63)</f>
        <v>747422</v>
      </c>
    </row>
    <row r="64" spans="2:4" ht="12.75">
      <c r="B64" s="7"/>
      <c r="C64" s="7"/>
      <c r="D64" s="7"/>
    </row>
    <row r="65" spans="1:4" ht="12.75">
      <c r="A65" s="2" t="s">
        <v>14</v>
      </c>
      <c r="B65" s="8">
        <f>SUM(B62:B64)</f>
        <v>1192135</v>
      </c>
      <c r="C65" s="8">
        <f>SUM(C62:C64)</f>
        <v>303450</v>
      </c>
      <c r="D65" s="8">
        <f>SUM(D62:D64)</f>
        <v>1495585</v>
      </c>
    </row>
    <row r="66" spans="2:4" ht="12.75">
      <c r="B66" s="7"/>
      <c r="C66" s="7"/>
      <c r="D66" s="7"/>
    </row>
    <row r="67" spans="1:4" ht="12.75">
      <c r="A67" s="3">
        <v>45444</v>
      </c>
      <c r="B67" s="7">
        <v>605024</v>
      </c>
      <c r="C67" s="7">
        <v>141650</v>
      </c>
      <c r="D67" s="7">
        <f>SUM(B67:C67)</f>
        <v>746674</v>
      </c>
    </row>
    <row r="68" spans="1:4" ht="12.75">
      <c r="A68" s="3">
        <v>45627</v>
      </c>
      <c r="B68" s="7">
        <v>611074</v>
      </c>
      <c r="C68" s="7">
        <v>134843</v>
      </c>
      <c r="D68" s="7">
        <f>SUM(B68:C68)</f>
        <v>745917</v>
      </c>
    </row>
    <row r="69" spans="2:4" ht="12.75">
      <c r="B69" s="7"/>
      <c r="C69" s="7"/>
      <c r="D69" s="7"/>
    </row>
    <row r="70" spans="1:4" ht="12.75">
      <c r="A70" s="2" t="s">
        <v>15</v>
      </c>
      <c r="B70" s="8">
        <f>SUM(B67:B69)</f>
        <v>1216098</v>
      </c>
      <c r="C70" s="8">
        <f>SUM(C67:C69)</f>
        <v>276493</v>
      </c>
      <c r="D70" s="8">
        <f>SUM(D67:D69)</f>
        <v>1492591</v>
      </c>
    </row>
    <row r="71" spans="2:4" ht="12.75">
      <c r="B71" s="7"/>
      <c r="C71" s="7"/>
      <c r="D71" s="7"/>
    </row>
    <row r="72" spans="1:4" ht="12.75">
      <c r="A72" s="3">
        <v>45809</v>
      </c>
      <c r="B72" s="7">
        <v>617185</v>
      </c>
      <c r="C72" s="7">
        <v>127969</v>
      </c>
      <c r="D72" s="7">
        <f>SUM(B72:C72)</f>
        <v>745154</v>
      </c>
    </row>
    <row r="73" spans="1:4" ht="12.75">
      <c r="A73" s="3">
        <v>45992</v>
      </c>
      <c r="B73" s="7">
        <v>623356</v>
      </c>
      <c r="C73" s="7">
        <v>121025</v>
      </c>
      <c r="D73" s="7">
        <f>SUM(B73:C73)</f>
        <v>744381</v>
      </c>
    </row>
    <row r="74" spans="2:4" ht="12.75">
      <c r="B74" s="7"/>
      <c r="C74" s="7"/>
      <c r="D74" s="7"/>
    </row>
    <row r="75" spans="1:4" ht="12.75">
      <c r="A75" s="2" t="s">
        <v>16</v>
      </c>
      <c r="B75" s="8">
        <f>SUM(B72:B74)</f>
        <v>1240541</v>
      </c>
      <c r="C75" s="8">
        <f>SUM(C72:C74)</f>
        <v>248994</v>
      </c>
      <c r="D75" s="8">
        <f>SUM(D72:D74)</f>
        <v>1489535</v>
      </c>
    </row>
    <row r="76" spans="2:4" ht="12.75">
      <c r="B76" s="7"/>
      <c r="C76" s="7"/>
      <c r="D76" s="7"/>
    </row>
    <row r="77" spans="1:4" ht="12.75">
      <c r="A77" s="3">
        <v>46174</v>
      </c>
      <c r="B77" s="7">
        <v>629590</v>
      </c>
      <c r="C77" s="7">
        <v>114012</v>
      </c>
      <c r="D77" s="7">
        <f>SUM(B77:C77)</f>
        <v>743602</v>
      </c>
    </row>
    <row r="78" spans="1:4" ht="12.75">
      <c r="A78" s="3">
        <v>46357</v>
      </c>
      <c r="B78" s="7">
        <v>635886</v>
      </c>
      <c r="C78" s="7">
        <v>106930</v>
      </c>
      <c r="D78" s="7">
        <f>SUM(B78:C78)</f>
        <v>742816</v>
      </c>
    </row>
    <row r="79" spans="2:4" ht="12.75">
      <c r="B79" s="7"/>
      <c r="C79" s="7"/>
      <c r="D79" s="7"/>
    </row>
    <row r="80" spans="1:4" ht="12.75">
      <c r="A80" s="2" t="s">
        <v>17</v>
      </c>
      <c r="B80" s="8">
        <f>SUM(B77:B79)</f>
        <v>1265476</v>
      </c>
      <c r="C80" s="8">
        <f>SUM(C77:C79)</f>
        <v>220942</v>
      </c>
      <c r="D80" s="8">
        <f>SUM(D77:D79)</f>
        <v>1486418</v>
      </c>
    </row>
    <row r="81" spans="2:4" ht="12.75">
      <c r="B81" s="7"/>
      <c r="C81" s="7"/>
      <c r="D81" s="7"/>
    </row>
    <row r="82" spans="1:4" ht="12.75">
      <c r="A82" s="3">
        <v>46539</v>
      </c>
      <c r="B82" s="7">
        <v>642245</v>
      </c>
      <c r="C82" s="7">
        <v>99776</v>
      </c>
      <c r="D82" s="7">
        <f>SUM(B82:C82)</f>
        <v>742021</v>
      </c>
    </row>
    <row r="83" spans="1:4" ht="12.75">
      <c r="A83" s="3">
        <v>46722</v>
      </c>
      <c r="B83" s="7">
        <v>648667</v>
      </c>
      <c r="C83" s="7">
        <v>92551</v>
      </c>
      <c r="D83" s="7">
        <f>SUM(B83:C83)</f>
        <v>741218</v>
      </c>
    </row>
    <row r="84" spans="2:4" ht="12.75">
      <c r="B84" s="7"/>
      <c r="C84" s="7"/>
      <c r="D84" s="7"/>
    </row>
    <row r="85" spans="1:4" ht="12.75">
      <c r="A85" s="2" t="s">
        <v>18</v>
      </c>
      <c r="B85" s="8">
        <f>SUM(B82:B84)</f>
        <v>1290912</v>
      </c>
      <c r="C85" s="8">
        <f>SUM(C82:C84)</f>
        <v>192327</v>
      </c>
      <c r="D85" s="8">
        <f>SUM(D82:D84)</f>
        <v>1483239</v>
      </c>
    </row>
    <row r="86" spans="1:4" ht="12.75">
      <c r="A86" s="2"/>
      <c r="B86" s="8"/>
      <c r="C86" s="8"/>
      <c r="D86" s="8"/>
    </row>
    <row r="87" spans="1:4" ht="12.75">
      <c r="A87" s="3">
        <v>46905</v>
      </c>
      <c r="B87" s="7">
        <v>655154</v>
      </c>
      <c r="C87" s="7">
        <v>85253</v>
      </c>
      <c r="D87" s="7">
        <f>SUM(B87:C87)</f>
        <v>740407</v>
      </c>
    </row>
    <row r="88" spans="1:4" ht="12.75">
      <c r="A88" s="3">
        <v>47088</v>
      </c>
      <c r="B88" s="7">
        <v>661705</v>
      </c>
      <c r="C88" s="7">
        <v>77883</v>
      </c>
      <c r="D88" s="7">
        <f>SUM(B88:C88)</f>
        <v>739588</v>
      </c>
    </row>
    <row r="89" spans="2:4" ht="12.75">
      <c r="B89" s="7"/>
      <c r="C89" s="7"/>
      <c r="D89" s="7"/>
    </row>
    <row r="90" spans="1:4" ht="12.75">
      <c r="A90" s="2" t="s">
        <v>19</v>
      </c>
      <c r="B90" s="8">
        <f>SUM(B87:B89)</f>
        <v>1316859</v>
      </c>
      <c r="C90" s="8">
        <f>SUM(C87:C89)</f>
        <v>163136</v>
      </c>
      <c r="D90" s="8">
        <f>SUM(D87:D89)</f>
        <v>1479995</v>
      </c>
    </row>
    <row r="91" spans="1:4" ht="12.75">
      <c r="A91" s="2"/>
      <c r="B91" s="8"/>
      <c r="C91" s="8"/>
      <c r="D91" s="8"/>
    </row>
    <row r="92" spans="1:4" ht="12.75">
      <c r="A92" s="3">
        <v>47270</v>
      </c>
      <c r="B92" s="7">
        <v>668322</v>
      </c>
      <c r="C92" s="7">
        <v>70438</v>
      </c>
      <c r="D92" s="7">
        <f>SUM(B92:C92)</f>
        <v>738760</v>
      </c>
    </row>
    <row r="93" spans="1:4" ht="12.75">
      <c r="A93" s="3">
        <v>47453</v>
      </c>
      <c r="B93" s="7">
        <v>675006</v>
      </c>
      <c r="C93" s="7">
        <v>62920</v>
      </c>
      <c r="D93" s="7">
        <f>SUM(B93:C93)</f>
        <v>737926</v>
      </c>
    </row>
    <row r="94" spans="2:4" ht="12.75">
      <c r="B94" s="7"/>
      <c r="C94" s="7"/>
      <c r="D94" s="7"/>
    </row>
    <row r="95" spans="1:4" ht="12.75">
      <c r="A95" s="2" t="s">
        <v>21</v>
      </c>
      <c r="B95" s="8">
        <f>SUM(B92:B94)</f>
        <v>1343328</v>
      </c>
      <c r="C95" s="8">
        <f>SUM(C92:C94)</f>
        <v>133358</v>
      </c>
      <c r="D95" s="8">
        <f>SUM(D92:D94)</f>
        <v>1476686</v>
      </c>
    </row>
    <row r="96" spans="1:4" ht="12.75">
      <c r="A96" s="2"/>
      <c r="B96" s="8"/>
      <c r="C96" s="8"/>
      <c r="D96" s="8"/>
    </row>
    <row r="97" spans="1:4" ht="12.75">
      <c r="A97" s="2"/>
      <c r="B97" s="8"/>
      <c r="C97" s="8"/>
      <c r="D97" s="8"/>
    </row>
    <row r="98" spans="1:4" ht="12.75">
      <c r="A98" s="2"/>
      <c r="B98" s="8"/>
      <c r="C98" s="8"/>
      <c r="D98" s="8"/>
    </row>
    <row r="99" spans="1:4" ht="12.75">
      <c r="A99" s="2"/>
      <c r="B99" s="8"/>
      <c r="C99" s="8"/>
      <c r="D99" s="8"/>
    </row>
    <row r="100" spans="1:4" ht="12.75">
      <c r="A100" s="10" t="str">
        <f>A1</f>
        <v>KIA  F-09-02 GAC After August 1, 2015</v>
      </c>
      <c r="B100" s="10"/>
      <c r="C100" s="10"/>
      <c r="D100" s="10"/>
    </row>
    <row r="102" spans="1:4" ht="12.75">
      <c r="A102" s="2" t="s">
        <v>0</v>
      </c>
      <c r="B102" s="5" t="s">
        <v>1</v>
      </c>
      <c r="C102" s="5" t="s">
        <v>3</v>
      </c>
      <c r="D102" s="5" t="s">
        <v>4</v>
      </c>
    </row>
    <row r="103" spans="1:4" ht="12.75">
      <c r="A103" s="2"/>
      <c r="B103" s="8"/>
      <c r="C103" s="8"/>
      <c r="D103" s="8"/>
    </row>
    <row r="104" spans="1:4" ht="12.75">
      <c r="A104" s="3">
        <v>47635</v>
      </c>
      <c r="B104" s="7">
        <v>681756</v>
      </c>
      <c r="C104" s="7">
        <v>55326</v>
      </c>
      <c r="D104" s="7">
        <f>SUM(B104:C104)</f>
        <v>737082</v>
      </c>
    </row>
    <row r="105" spans="1:4" ht="12.75">
      <c r="A105" s="3">
        <v>47818</v>
      </c>
      <c r="B105" s="7">
        <v>688573</v>
      </c>
      <c r="C105" s="7">
        <v>47656.24</v>
      </c>
      <c r="D105" s="7">
        <f>SUM(B105:C105)</f>
        <v>736229.24</v>
      </c>
    </row>
    <row r="106" spans="2:4" ht="12.75">
      <c r="B106" s="7"/>
      <c r="C106" s="7"/>
      <c r="D106" s="7"/>
    </row>
    <row r="107" spans="1:4" ht="12.75">
      <c r="A107" s="2" t="s">
        <v>22</v>
      </c>
      <c r="B107" s="8">
        <f>SUM(B104:B106)</f>
        <v>1370329</v>
      </c>
      <c r="C107" s="8">
        <f>SUM(C104:C106)</f>
        <v>102982.23999999999</v>
      </c>
      <c r="D107" s="8">
        <f>SUM(D104:D106)</f>
        <v>1473311.24</v>
      </c>
    </row>
    <row r="108" spans="1:4" ht="12.75">
      <c r="A108" s="2"/>
      <c r="B108" s="8"/>
      <c r="C108" s="8"/>
      <c r="D108" s="8"/>
    </row>
    <row r="109" spans="1:4" ht="12.75">
      <c r="A109" s="3">
        <v>48000</v>
      </c>
      <c r="B109" s="7">
        <v>695459</v>
      </c>
      <c r="C109" s="7">
        <v>39910</v>
      </c>
      <c r="D109" s="7">
        <f>SUM(B109:C109)</f>
        <v>735369</v>
      </c>
    </row>
    <row r="110" spans="1:4" ht="12.75">
      <c r="A110" s="3">
        <v>48183</v>
      </c>
      <c r="B110" s="7">
        <v>702414</v>
      </c>
      <c r="C110" s="7">
        <v>32086</v>
      </c>
      <c r="D110" s="7">
        <f>SUM(B110:C110)</f>
        <v>734500</v>
      </c>
    </row>
    <row r="111" spans="2:4" ht="12.75">
      <c r="B111" s="7"/>
      <c r="C111" s="7"/>
      <c r="D111" s="7"/>
    </row>
    <row r="112" spans="1:4" ht="12.75">
      <c r="A112" s="2" t="s">
        <v>23</v>
      </c>
      <c r="B112" s="8">
        <f>SUM(B109:B111)</f>
        <v>1397873</v>
      </c>
      <c r="C112" s="8">
        <f>SUM(C109:C111)</f>
        <v>71996</v>
      </c>
      <c r="D112" s="8">
        <f>SUM(D109:D111)</f>
        <v>1469869</v>
      </c>
    </row>
    <row r="113" spans="1:4" ht="12.75">
      <c r="A113" s="2"/>
      <c r="B113" s="8"/>
      <c r="C113" s="8"/>
      <c r="D113" s="8"/>
    </row>
    <row r="114" spans="1:4" ht="12.75">
      <c r="A114" s="3">
        <v>48366</v>
      </c>
      <c r="B114" s="7">
        <v>709438</v>
      </c>
      <c r="C114" s="7">
        <v>24184</v>
      </c>
      <c r="D114" s="7">
        <f>SUM(B114:C114)</f>
        <v>733622</v>
      </c>
    </row>
    <row r="115" spans="1:4" ht="12.75">
      <c r="A115" s="3">
        <v>48549</v>
      </c>
      <c r="B115" s="7">
        <v>716532</v>
      </c>
      <c r="C115" s="7">
        <v>16203</v>
      </c>
      <c r="D115" s="7">
        <f>SUM(B115:C115)</f>
        <v>732735</v>
      </c>
    </row>
    <row r="116" spans="2:4" ht="12.75">
      <c r="B116" s="7"/>
      <c r="C116" s="7"/>
      <c r="D116" s="7"/>
    </row>
    <row r="117" spans="1:4" ht="12.75">
      <c r="A117" s="2" t="s">
        <v>24</v>
      </c>
      <c r="B117" s="8">
        <f>SUM(B114:B116)</f>
        <v>1425970</v>
      </c>
      <c r="C117" s="8">
        <f>SUM(C114:C116)</f>
        <v>40387</v>
      </c>
      <c r="D117" s="8">
        <f>SUM(D114:D116)</f>
        <v>1466357</v>
      </c>
    </row>
    <row r="118" spans="1:4" ht="12.75">
      <c r="A118" s="2"/>
      <c r="B118" s="8"/>
      <c r="C118" s="8"/>
      <c r="D118" s="8"/>
    </row>
    <row r="119" spans="1:4" ht="12.75">
      <c r="A119" s="3">
        <v>48731</v>
      </c>
      <c r="B119" s="7">
        <v>723695</v>
      </c>
      <c r="C119" s="7">
        <v>8141</v>
      </c>
      <c r="D119" s="7">
        <f>SUM(B119:C119)</f>
        <v>731836</v>
      </c>
    </row>
    <row r="120" spans="1:4" ht="12.75">
      <c r="A120" s="3">
        <v>48914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25</v>
      </c>
      <c r="B122" s="8">
        <f>SUM(B119:B121)</f>
        <v>723695</v>
      </c>
      <c r="C122" s="8">
        <f>SUM(C119:C121)</f>
        <v>8141</v>
      </c>
      <c r="D122" s="8">
        <f>SUM(D119:D121)</f>
        <v>731836</v>
      </c>
    </row>
    <row r="123" spans="1:4" ht="12.75">
      <c r="A123" s="2"/>
      <c r="B123" s="8"/>
      <c r="C123" s="8"/>
      <c r="D123" s="8"/>
    </row>
    <row r="124" spans="1:4" ht="12.75">
      <c r="A124" s="3">
        <v>49096</v>
      </c>
      <c r="B124" s="7">
        <v>0</v>
      </c>
      <c r="C124" s="7">
        <v>0</v>
      </c>
      <c r="D124" s="7">
        <f>SUM(B124:C124)</f>
        <v>0</v>
      </c>
    </row>
    <row r="125" spans="1:4" ht="12.75">
      <c r="A125" s="3">
        <v>49279</v>
      </c>
      <c r="B125" s="7">
        <v>0</v>
      </c>
      <c r="C125" s="7">
        <v>0</v>
      </c>
      <c r="D125" s="7">
        <f>SUM(B125:C125)</f>
        <v>0</v>
      </c>
    </row>
    <row r="126" spans="2:4" ht="12.75">
      <c r="B126" s="7"/>
      <c r="C126" s="7"/>
      <c r="D126" s="7"/>
    </row>
    <row r="127" spans="1:4" ht="12.75">
      <c r="A127" s="2" t="s">
        <v>26</v>
      </c>
      <c r="B127" s="8">
        <f>SUM(B124:B126)</f>
        <v>0</v>
      </c>
      <c r="C127" s="8">
        <f>SUM(C124:C126)</f>
        <v>0</v>
      </c>
      <c r="D127" s="8">
        <f>SUM(D124:D126)</f>
        <v>0</v>
      </c>
    </row>
    <row r="128" spans="1:4" ht="12.75">
      <c r="A128" s="2"/>
      <c r="B128" s="8"/>
      <c r="C128" s="8"/>
      <c r="D128" s="8"/>
    </row>
    <row r="129" spans="1:4" ht="12.75">
      <c r="A129" s="3">
        <v>49461</v>
      </c>
      <c r="B129" s="7">
        <v>0</v>
      </c>
      <c r="C129" s="7">
        <v>0</v>
      </c>
      <c r="D129" s="7">
        <f>SUM(B129:C129)</f>
        <v>0</v>
      </c>
    </row>
    <row r="130" spans="1:4" ht="12.75">
      <c r="A130" s="3">
        <v>49644</v>
      </c>
      <c r="B130" s="7">
        <v>0</v>
      </c>
      <c r="C130" s="7">
        <v>0</v>
      </c>
      <c r="D130" s="7">
        <f>SUM(B130:C130)</f>
        <v>0</v>
      </c>
    </row>
    <row r="131" spans="2:4" ht="12.75">
      <c r="B131" s="7"/>
      <c r="C131" s="7"/>
      <c r="D131" s="7"/>
    </row>
    <row r="132" spans="1:4" ht="12.75">
      <c r="A132" s="2" t="s">
        <v>28</v>
      </c>
      <c r="B132" s="8">
        <f>SUM(B129:B131)</f>
        <v>0</v>
      </c>
      <c r="C132" s="8">
        <f>SUM(C129:C131)</f>
        <v>0</v>
      </c>
      <c r="D132" s="8">
        <f>SUM(D129:D131)</f>
        <v>0</v>
      </c>
    </row>
    <row r="133" spans="1:4" ht="12.75">
      <c r="A133" s="2"/>
      <c r="B133" s="8"/>
      <c r="C133" s="8"/>
      <c r="D133" s="8"/>
    </row>
    <row r="134" spans="1:4" ht="12.75">
      <c r="A134" s="2" t="s">
        <v>27</v>
      </c>
      <c r="B134" s="8">
        <f>SUMIF(A1:A132,"Total*",B1:B132)</f>
        <v>22006610.13</v>
      </c>
      <c r="C134" s="8">
        <f>SUMIF(A1:A132,"Total*",C1:C132)</f>
        <v>4845406.87</v>
      </c>
      <c r="D134" s="8">
        <f>B134+C134</f>
        <v>26852017</v>
      </c>
    </row>
  </sheetData>
  <sheetProtection/>
  <mergeCells count="3">
    <mergeCell ref="A1:D1"/>
    <mergeCell ref="A48:D48"/>
    <mergeCell ref="A100:D100"/>
  </mergeCells>
  <printOptions gridLines="1" horizontalCentered="1"/>
  <pageMargins left="0.25" right="0.25" top="0.5" bottom="0.5" header="0.5" footer="0.5"/>
  <pageSetup horizontalDpi="600" verticalDpi="600" orientation="portrait" r:id="rId1"/>
  <rowBreaks count="2" manualBreakCount="2">
    <brk id="47" max="255" man="1"/>
    <brk id="9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43">
      <selection activeCell="C62" sqref="C62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83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40909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40940</v>
      </c>
      <c r="B6" s="7">
        <v>0</v>
      </c>
      <c r="C6" s="7">
        <v>0</v>
      </c>
      <c r="D6" s="7">
        <f>SUM(B6:C6)</f>
        <v>0</v>
      </c>
    </row>
    <row r="7" spans="1:4" ht="12.75">
      <c r="A7" s="3">
        <v>40969</v>
      </c>
      <c r="B7" s="7">
        <v>0</v>
      </c>
      <c r="C7" s="7">
        <v>0</v>
      </c>
      <c r="D7" s="7">
        <f aca="true" t="shared" si="0" ref="D7:D16">SUM(B7:C7)</f>
        <v>0</v>
      </c>
    </row>
    <row r="8" spans="1:4" ht="12.75">
      <c r="A8" s="3">
        <v>41000</v>
      </c>
      <c r="B8" s="7">
        <v>0</v>
      </c>
      <c r="C8" s="7">
        <v>0</v>
      </c>
      <c r="D8" s="7">
        <f t="shared" si="0"/>
        <v>0</v>
      </c>
    </row>
    <row r="9" spans="1:4" ht="12.75">
      <c r="A9" s="3">
        <v>41030</v>
      </c>
      <c r="B9" s="7">
        <v>0</v>
      </c>
      <c r="C9" s="7">
        <v>0</v>
      </c>
      <c r="D9" s="7">
        <f t="shared" si="0"/>
        <v>0</v>
      </c>
    </row>
    <row r="10" spans="1:4" ht="12.75">
      <c r="A10" s="3">
        <v>41061</v>
      </c>
      <c r="B10" s="7">
        <v>0</v>
      </c>
      <c r="C10" s="7">
        <v>0</v>
      </c>
      <c r="D10" s="7">
        <f t="shared" si="0"/>
        <v>0</v>
      </c>
    </row>
    <row r="11" spans="1:4" ht="12.75">
      <c r="A11" s="3">
        <v>41091</v>
      </c>
      <c r="B11" s="7">
        <v>0</v>
      </c>
      <c r="C11" s="7">
        <v>0</v>
      </c>
      <c r="D11" s="7">
        <f t="shared" si="0"/>
        <v>0</v>
      </c>
    </row>
    <row r="12" spans="1:4" ht="12.75">
      <c r="A12" s="3">
        <v>41122</v>
      </c>
      <c r="B12" s="7">
        <v>0</v>
      </c>
      <c r="C12" s="7">
        <v>0</v>
      </c>
      <c r="D12" s="7">
        <f t="shared" si="0"/>
        <v>0</v>
      </c>
    </row>
    <row r="13" spans="1:4" ht="12.75">
      <c r="A13" s="3">
        <v>41153</v>
      </c>
      <c r="B13" s="7">
        <v>0</v>
      </c>
      <c r="C13" s="7">
        <v>0</v>
      </c>
      <c r="D13" s="7">
        <f t="shared" si="0"/>
        <v>0</v>
      </c>
    </row>
    <row r="14" spans="1:4" ht="12.75">
      <c r="A14" s="3">
        <v>41183</v>
      </c>
      <c r="B14" s="7">
        <v>0</v>
      </c>
      <c r="C14" s="7">
        <v>0</v>
      </c>
      <c r="D14" s="7">
        <f t="shared" si="0"/>
        <v>0</v>
      </c>
    </row>
    <row r="15" spans="1:4" ht="12.75">
      <c r="A15" s="3">
        <v>41214</v>
      </c>
      <c r="B15" s="7">
        <v>0</v>
      </c>
      <c r="C15" s="7">
        <v>0</v>
      </c>
      <c r="D15" s="7">
        <f t="shared" si="0"/>
        <v>0</v>
      </c>
    </row>
    <row r="16" spans="1:4" ht="12.75">
      <c r="A16" s="3">
        <v>41244</v>
      </c>
      <c r="B16" s="7">
        <v>0</v>
      </c>
      <c r="C16" s="7">
        <v>0</v>
      </c>
      <c r="D16" s="7">
        <f t="shared" si="0"/>
        <v>0</v>
      </c>
    </row>
    <row r="17" spans="1:4" ht="12.75">
      <c r="A17" s="3"/>
      <c r="B17" s="7"/>
      <c r="C17" s="7"/>
      <c r="D17" s="7"/>
    </row>
    <row r="18" spans="1:4" ht="12.75">
      <c r="A18" s="2" t="s">
        <v>2</v>
      </c>
      <c r="B18" s="8">
        <f>SUM(B5:B17)</f>
        <v>0</v>
      </c>
      <c r="C18" s="8">
        <f>SUM(C5:C17)</f>
        <v>0</v>
      </c>
      <c r="D18" s="8">
        <f>SUM(D5:D17)</f>
        <v>0</v>
      </c>
    </row>
    <row r="19" spans="2:4" ht="12.75">
      <c r="B19" s="7"/>
      <c r="C19" s="7"/>
      <c r="D19" s="7"/>
    </row>
    <row r="20" spans="1:4" ht="12.75">
      <c r="A20" s="3">
        <v>41275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41306</v>
      </c>
      <c r="B21" s="7">
        <v>0</v>
      </c>
      <c r="C21" s="7">
        <v>0</v>
      </c>
      <c r="D21" s="7">
        <f>SUM(B21:C21)</f>
        <v>0</v>
      </c>
    </row>
    <row r="22" spans="1:4" ht="12.75">
      <c r="A22" s="3">
        <v>41334</v>
      </c>
      <c r="B22" s="7">
        <v>0</v>
      </c>
      <c r="C22" s="7">
        <v>0</v>
      </c>
      <c r="D22" s="7">
        <f aca="true" t="shared" si="1" ref="D22:D31">SUM(B22:C22)</f>
        <v>0</v>
      </c>
    </row>
    <row r="23" spans="1:4" ht="12.75">
      <c r="A23" s="3">
        <v>41365</v>
      </c>
      <c r="B23" s="7">
        <v>0</v>
      </c>
      <c r="C23" s="7">
        <v>0</v>
      </c>
      <c r="D23" s="7">
        <f t="shared" si="1"/>
        <v>0</v>
      </c>
    </row>
    <row r="24" spans="1:4" ht="12.75">
      <c r="A24" s="3">
        <v>41395</v>
      </c>
      <c r="B24" s="7">
        <v>0</v>
      </c>
      <c r="C24" s="7">
        <v>0</v>
      </c>
      <c r="D24" s="7">
        <f t="shared" si="1"/>
        <v>0</v>
      </c>
    </row>
    <row r="25" spans="1:4" ht="12.75">
      <c r="A25" s="3">
        <v>41426</v>
      </c>
      <c r="B25" s="7">
        <v>0</v>
      </c>
      <c r="C25" s="7">
        <v>0</v>
      </c>
      <c r="D25" s="7">
        <f t="shared" si="1"/>
        <v>0</v>
      </c>
    </row>
    <row r="26" spans="1:4" ht="12.75">
      <c r="A26" s="3">
        <v>41456</v>
      </c>
      <c r="B26" s="7">
        <v>0</v>
      </c>
      <c r="C26" s="7">
        <v>0</v>
      </c>
      <c r="D26" s="7">
        <f t="shared" si="1"/>
        <v>0</v>
      </c>
    </row>
    <row r="27" spans="1:4" ht="12.75">
      <c r="A27" s="3">
        <v>41487</v>
      </c>
      <c r="B27" s="7">
        <v>0</v>
      </c>
      <c r="C27" s="7">
        <v>0</v>
      </c>
      <c r="D27" s="7">
        <f t="shared" si="1"/>
        <v>0</v>
      </c>
    </row>
    <row r="28" spans="1:4" ht="12.75">
      <c r="A28" s="3">
        <v>41518</v>
      </c>
      <c r="B28" s="7">
        <v>0</v>
      </c>
      <c r="C28" s="7">
        <v>0</v>
      </c>
      <c r="D28" s="7">
        <f t="shared" si="1"/>
        <v>0</v>
      </c>
    </row>
    <row r="29" spans="1:4" ht="12.75">
      <c r="A29" s="3">
        <v>41548</v>
      </c>
      <c r="B29" s="7">
        <v>0</v>
      </c>
      <c r="C29" s="7">
        <v>0</v>
      </c>
      <c r="D29" s="7">
        <f t="shared" si="1"/>
        <v>0</v>
      </c>
    </row>
    <row r="30" spans="1:4" ht="12.75">
      <c r="A30" s="3">
        <v>41579</v>
      </c>
      <c r="B30" s="7">
        <v>0</v>
      </c>
      <c r="C30" s="7">
        <v>0</v>
      </c>
      <c r="D30" s="7">
        <f t="shared" si="1"/>
        <v>0</v>
      </c>
    </row>
    <row r="31" spans="1:4" ht="12.75">
      <c r="A31" s="3">
        <v>41609</v>
      </c>
      <c r="B31" s="7">
        <v>0</v>
      </c>
      <c r="C31" s="7">
        <v>0</v>
      </c>
      <c r="D31" s="7">
        <f t="shared" si="1"/>
        <v>0</v>
      </c>
    </row>
    <row r="32" spans="2:4" ht="12.75">
      <c r="B32" s="7"/>
      <c r="C32" s="7"/>
      <c r="D32" s="7"/>
    </row>
    <row r="33" spans="1:4" ht="12.75">
      <c r="A33" s="2" t="s">
        <v>5</v>
      </c>
      <c r="B33" s="8">
        <f>SUM(B20:B32)</f>
        <v>0</v>
      </c>
      <c r="C33" s="8">
        <f>SUM(C20:C32)</f>
        <v>0</v>
      </c>
      <c r="D33" s="8">
        <f>SUM(D20:D32)</f>
        <v>0</v>
      </c>
    </row>
    <row r="34" spans="2:4" ht="12.75">
      <c r="B34" s="7"/>
      <c r="C34" s="7"/>
      <c r="D34" s="7"/>
    </row>
    <row r="35" spans="1:4" ht="12.75">
      <c r="A35" s="3">
        <v>41640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41671</v>
      </c>
      <c r="B36" s="7">
        <v>0</v>
      </c>
      <c r="C36" s="7">
        <v>0</v>
      </c>
      <c r="D36" s="7">
        <f aca="true" t="shared" si="2" ref="D36:D45">SUM(B36:C36)</f>
        <v>0</v>
      </c>
    </row>
    <row r="37" spans="1:4" ht="12.75">
      <c r="A37" s="3">
        <v>41699</v>
      </c>
      <c r="B37" s="7">
        <v>0</v>
      </c>
      <c r="C37" s="7">
        <v>0</v>
      </c>
      <c r="D37" s="7">
        <f t="shared" si="2"/>
        <v>0</v>
      </c>
    </row>
    <row r="38" spans="1:4" ht="12.75">
      <c r="A38" s="3">
        <v>41730</v>
      </c>
      <c r="B38" s="7">
        <v>0</v>
      </c>
      <c r="C38" s="7">
        <v>0</v>
      </c>
      <c r="D38" s="7">
        <f t="shared" si="2"/>
        <v>0</v>
      </c>
    </row>
    <row r="39" spans="1:4" ht="12.75">
      <c r="A39" s="3">
        <v>41760</v>
      </c>
      <c r="B39" s="7">
        <v>0</v>
      </c>
      <c r="C39" s="7">
        <v>0</v>
      </c>
      <c r="D39" s="7">
        <f t="shared" si="2"/>
        <v>0</v>
      </c>
    </row>
    <row r="40" spans="1:4" ht="12.75">
      <c r="A40" s="3">
        <v>41791</v>
      </c>
      <c r="B40" s="7">
        <v>0</v>
      </c>
      <c r="C40" s="7">
        <v>0</v>
      </c>
      <c r="D40" s="7">
        <f t="shared" si="2"/>
        <v>0</v>
      </c>
    </row>
    <row r="41" spans="1:4" ht="12.75">
      <c r="A41" s="3">
        <v>41821</v>
      </c>
      <c r="B41" s="7">
        <v>0</v>
      </c>
      <c r="C41" s="7">
        <v>0</v>
      </c>
      <c r="D41" s="7">
        <f t="shared" si="2"/>
        <v>0</v>
      </c>
    </row>
    <row r="42" spans="1:4" ht="12.75">
      <c r="A42" s="3">
        <v>41852</v>
      </c>
      <c r="B42" s="7">
        <v>0</v>
      </c>
      <c r="C42" s="7">
        <v>0</v>
      </c>
      <c r="D42" s="7">
        <f t="shared" si="2"/>
        <v>0</v>
      </c>
    </row>
    <row r="43" spans="1:4" ht="12.75">
      <c r="A43" s="3">
        <v>41883</v>
      </c>
      <c r="B43" s="7">
        <v>0</v>
      </c>
      <c r="C43" s="7">
        <v>0</v>
      </c>
      <c r="D43" s="7">
        <f t="shared" si="2"/>
        <v>0</v>
      </c>
    </row>
    <row r="44" spans="1:4" ht="12.75">
      <c r="A44" s="3">
        <v>41913</v>
      </c>
      <c r="B44" s="7">
        <v>0</v>
      </c>
      <c r="C44" s="7">
        <v>0</v>
      </c>
      <c r="D44" s="7">
        <f t="shared" si="2"/>
        <v>0</v>
      </c>
    </row>
    <row r="45" spans="1:4" ht="12.75">
      <c r="A45" s="3">
        <v>41944</v>
      </c>
      <c r="B45" s="7">
        <v>0</v>
      </c>
      <c r="C45" s="7">
        <v>0</v>
      </c>
      <c r="D45" s="7">
        <f t="shared" si="2"/>
        <v>0</v>
      </c>
    </row>
    <row r="46" spans="1:4" ht="12.75">
      <c r="A46" s="3">
        <v>41974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6</v>
      </c>
      <c r="B48" s="8">
        <f>SUM(B35:B47)</f>
        <v>0</v>
      </c>
      <c r="C48" s="8">
        <f>SUM(C35:C47)</f>
        <v>0</v>
      </c>
      <c r="D48" s="8">
        <f>SUM(D35:D47)</f>
        <v>0</v>
      </c>
    </row>
    <row r="49" spans="2:4" ht="12.75">
      <c r="B49" s="7"/>
      <c r="C49" s="7"/>
      <c r="D49" s="7"/>
    </row>
    <row r="50" spans="2:4" ht="12.75">
      <c r="B50" s="7"/>
      <c r="C50" s="7"/>
      <c r="D50" s="7"/>
    </row>
    <row r="51" spans="2:4" ht="12.75">
      <c r="B51" s="7"/>
      <c r="C51" s="7"/>
      <c r="D51" s="7"/>
    </row>
    <row r="52" spans="2:4" ht="12.75">
      <c r="B52" s="7"/>
      <c r="C52" s="7"/>
      <c r="D52" s="7"/>
    </row>
    <row r="53" spans="1:4" ht="12.75">
      <c r="A53" s="10" t="str">
        <f>A1</f>
        <v>KIA  C-08-01 AMR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6" spans="2:4" ht="12.75">
      <c r="B56" s="7"/>
      <c r="C56" s="7"/>
      <c r="D56" s="7"/>
    </row>
    <row r="57" spans="1:4" ht="12.75">
      <c r="A57" s="3">
        <v>42005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42036</v>
      </c>
      <c r="B58" s="7">
        <v>0</v>
      </c>
      <c r="C58" s="7">
        <v>0</v>
      </c>
      <c r="D58" s="7">
        <f aca="true" t="shared" si="3" ref="D58:D67">SUM(B58:C58)</f>
        <v>0</v>
      </c>
    </row>
    <row r="59" spans="1:4" ht="12.75">
      <c r="A59" s="3">
        <v>42064</v>
      </c>
      <c r="B59" s="7">
        <v>0</v>
      </c>
      <c r="C59" s="7">
        <v>0</v>
      </c>
      <c r="D59" s="7">
        <f t="shared" si="3"/>
        <v>0</v>
      </c>
    </row>
    <row r="60" spans="1:4" ht="12.75">
      <c r="A60" s="3">
        <v>42095</v>
      </c>
      <c r="B60" s="7">
        <v>0</v>
      </c>
      <c r="C60" s="7">
        <v>0</v>
      </c>
      <c r="D60" s="7">
        <f t="shared" si="3"/>
        <v>0</v>
      </c>
    </row>
    <row r="61" spans="1:4" ht="12.75">
      <c r="A61" s="3">
        <v>42125</v>
      </c>
      <c r="B61" s="7">
        <v>0</v>
      </c>
      <c r="C61" s="7">
        <v>0</v>
      </c>
      <c r="D61" s="7">
        <f t="shared" si="3"/>
        <v>0</v>
      </c>
    </row>
    <row r="62" spans="1:4" ht="12.75">
      <c r="A62" s="3">
        <v>42156</v>
      </c>
      <c r="B62" s="7">
        <v>0</v>
      </c>
      <c r="C62" s="7">
        <v>0</v>
      </c>
      <c r="D62" s="7">
        <f t="shared" si="3"/>
        <v>0</v>
      </c>
    </row>
    <row r="63" spans="1:4" ht="12.75">
      <c r="A63" s="3">
        <v>42186</v>
      </c>
      <c r="B63" s="7">
        <v>0</v>
      </c>
      <c r="C63" s="7">
        <v>0</v>
      </c>
      <c r="D63" s="7">
        <f t="shared" si="3"/>
        <v>0</v>
      </c>
    </row>
    <row r="64" spans="1:4" ht="12.75">
      <c r="A64" s="3">
        <v>42217</v>
      </c>
      <c r="B64" s="7">
        <v>0</v>
      </c>
      <c r="C64" s="7">
        <v>0</v>
      </c>
      <c r="D64" s="7">
        <f t="shared" si="3"/>
        <v>0</v>
      </c>
    </row>
    <row r="65" spans="1:4" ht="12.75">
      <c r="A65" s="3">
        <v>42248</v>
      </c>
      <c r="B65" s="7">
        <v>0</v>
      </c>
      <c r="C65" s="7">
        <v>0</v>
      </c>
      <c r="D65" s="7">
        <f t="shared" si="3"/>
        <v>0</v>
      </c>
    </row>
    <row r="66" spans="1:4" ht="12.75">
      <c r="A66" s="3">
        <v>42278</v>
      </c>
      <c r="B66" s="7">
        <v>49504</v>
      </c>
      <c r="C66" s="7">
        <f>8433+562</f>
        <v>8995</v>
      </c>
      <c r="D66" s="7">
        <f t="shared" si="3"/>
        <v>58499</v>
      </c>
    </row>
    <row r="67" spans="1:4" ht="12.75">
      <c r="A67" s="3">
        <v>42309</v>
      </c>
      <c r="B67" s="7">
        <v>49627</v>
      </c>
      <c r="C67" s="7">
        <f>8309+554</f>
        <v>8863</v>
      </c>
      <c r="D67" s="7">
        <f t="shared" si="3"/>
        <v>58490</v>
      </c>
    </row>
    <row r="68" spans="1:4" ht="12.75">
      <c r="A68" s="3">
        <v>42339</v>
      </c>
      <c r="B68" s="7">
        <v>49751</v>
      </c>
      <c r="C68" s="7">
        <f>8185+546</f>
        <v>8731</v>
      </c>
      <c r="D68" s="7">
        <f>SUM(B68:C68)</f>
        <v>58482</v>
      </c>
    </row>
    <row r="69" spans="2:4" ht="12.75">
      <c r="B69" s="7"/>
      <c r="C69" s="7"/>
      <c r="D69" s="7"/>
    </row>
    <row r="70" spans="1:4" ht="12.75">
      <c r="A70" s="2" t="s">
        <v>7</v>
      </c>
      <c r="B70" s="8">
        <f>SUM(B57:B69)</f>
        <v>148882</v>
      </c>
      <c r="C70" s="8">
        <f>SUM(C57:C69)</f>
        <v>26589</v>
      </c>
      <c r="D70" s="8">
        <f>SUM(D57:D69)</f>
        <v>175471</v>
      </c>
    </row>
    <row r="71" spans="2:4" ht="12.75">
      <c r="B71" s="7"/>
      <c r="C71" s="7"/>
      <c r="D71" s="7"/>
    </row>
    <row r="72" spans="1:4" ht="12.75">
      <c r="A72" s="3">
        <v>42370</v>
      </c>
      <c r="B72" s="7">
        <v>49876</v>
      </c>
      <c r="C72" s="7">
        <f>8061+537</f>
        <v>8598</v>
      </c>
      <c r="D72" s="7">
        <f>SUM(B72:C72)</f>
        <v>58474</v>
      </c>
    </row>
    <row r="73" spans="1:4" ht="12.75">
      <c r="A73" s="3">
        <v>42401</v>
      </c>
      <c r="B73" s="7">
        <v>50000</v>
      </c>
      <c r="C73" s="7">
        <f>7936+529</f>
        <v>8465</v>
      </c>
      <c r="D73" s="7">
        <f aca="true" t="shared" si="4" ref="D73:D81">SUM(B73:C73)</f>
        <v>58465</v>
      </c>
    </row>
    <row r="74" spans="1:4" ht="12.75">
      <c r="A74" s="3">
        <v>42430</v>
      </c>
      <c r="B74" s="7">
        <v>50125</v>
      </c>
      <c r="C74" s="7">
        <f>7811+521</f>
        <v>8332</v>
      </c>
      <c r="D74" s="7">
        <f t="shared" si="4"/>
        <v>58457</v>
      </c>
    </row>
    <row r="75" spans="1:4" ht="12.75">
      <c r="A75" s="3">
        <v>42461</v>
      </c>
      <c r="B75" s="7">
        <v>50251</v>
      </c>
      <c r="C75" s="7">
        <f>7686+512</f>
        <v>8198</v>
      </c>
      <c r="D75" s="7">
        <f t="shared" si="4"/>
        <v>58449</v>
      </c>
    </row>
    <row r="76" spans="1:4" ht="12.75">
      <c r="A76" s="3">
        <v>42491</v>
      </c>
      <c r="B76" s="7">
        <v>50376</v>
      </c>
      <c r="C76" s="7">
        <f>7560+504</f>
        <v>8064</v>
      </c>
      <c r="D76" s="7">
        <f t="shared" si="4"/>
        <v>58440</v>
      </c>
    </row>
    <row r="77" spans="1:4" ht="12.75">
      <c r="A77" s="3">
        <v>42522</v>
      </c>
      <c r="B77" s="7">
        <v>50502</v>
      </c>
      <c r="C77" s="7">
        <f>7434+496</f>
        <v>7930</v>
      </c>
      <c r="D77" s="7">
        <f t="shared" si="4"/>
        <v>58432</v>
      </c>
    </row>
    <row r="78" spans="1:4" ht="12.75">
      <c r="A78" s="3">
        <v>42552</v>
      </c>
      <c r="B78" s="7">
        <v>50629</v>
      </c>
      <c r="C78" s="7">
        <f>7308+487</f>
        <v>7795</v>
      </c>
      <c r="D78" s="7">
        <f t="shared" si="4"/>
        <v>58424</v>
      </c>
    </row>
    <row r="79" spans="1:4" ht="12.75">
      <c r="A79" s="3">
        <v>42583</v>
      </c>
      <c r="B79" s="7">
        <v>50755</v>
      </c>
      <c r="C79" s="7">
        <f>7181+479</f>
        <v>7660</v>
      </c>
      <c r="D79" s="7">
        <f t="shared" si="4"/>
        <v>58415</v>
      </c>
    </row>
    <row r="80" spans="1:4" ht="12.75">
      <c r="A80" s="3">
        <v>42614</v>
      </c>
      <c r="B80" s="7">
        <v>50882</v>
      </c>
      <c r="C80" s="7">
        <f>7054+470</f>
        <v>7524</v>
      </c>
      <c r="D80" s="7">
        <f t="shared" si="4"/>
        <v>58406</v>
      </c>
    </row>
    <row r="81" spans="1:4" ht="12.75">
      <c r="A81" s="3">
        <v>42644</v>
      </c>
      <c r="B81" s="7">
        <v>51009</v>
      </c>
      <c r="C81" s="7">
        <f>6927+462</f>
        <v>7389</v>
      </c>
      <c r="D81" s="7">
        <f t="shared" si="4"/>
        <v>58398</v>
      </c>
    </row>
    <row r="82" spans="1:4" ht="12.75">
      <c r="A82" s="3">
        <v>42675</v>
      </c>
      <c r="B82" s="7">
        <v>51137</v>
      </c>
      <c r="C82" s="7">
        <f>6800+453</f>
        <v>7253</v>
      </c>
      <c r="D82" s="7">
        <f>SUM(B82:C82)</f>
        <v>58390</v>
      </c>
    </row>
    <row r="83" spans="1:4" ht="12.75">
      <c r="A83" s="3">
        <v>42705</v>
      </c>
      <c r="B83" s="7">
        <v>51265</v>
      </c>
      <c r="C83" s="7">
        <f>6672+445</f>
        <v>7117</v>
      </c>
      <c r="D83" s="7">
        <f>SUM(B83:C83)</f>
        <v>58382</v>
      </c>
    </row>
    <row r="84" spans="2:4" ht="12.75">
      <c r="B84" s="7"/>
      <c r="C84" s="7"/>
      <c r="D84" s="7"/>
    </row>
    <row r="85" spans="1:4" ht="12.75">
      <c r="A85" s="2" t="s">
        <v>8</v>
      </c>
      <c r="B85" s="8">
        <f>SUM(B72:B84)</f>
        <v>606807</v>
      </c>
      <c r="C85" s="8">
        <f>SUM(C72:C84)</f>
        <v>94325</v>
      </c>
      <c r="D85" s="8">
        <f>SUM(D72:D84)</f>
        <v>701132</v>
      </c>
    </row>
    <row r="86" spans="2:4" ht="12.75">
      <c r="B86" s="7"/>
      <c r="C86" s="7"/>
      <c r="D86" s="7"/>
    </row>
    <row r="87" spans="1:4" ht="12.75">
      <c r="A87" s="3">
        <v>42736</v>
      </c>
      <c r="B87" s="7">
        <v>51393</v>
      </c>
      <c r="C87" s="7">
        <f>6544+436</f>
        <v>6980</v>
      </c>
      <c r="D87" s="7">
        <f>SUM(B87:C87)</f>
        <v>58373</v>
      </c>
    </row>
    <row r="88" spans="1:4" ht="12.75">
      <c r="A88" s="3">
        <v>42767</v>
      </c>
      <c r="B88" s="7">
        <v>51521</v>
      </c>
      <c r="C88" s="7">
        <f>6415+428</f>
        <v>6843</v>
      </c>
      <c r="D88" s="7">
        <f aca="true" t="shared" si="5" ref="D88:D97">SUM(B88:C88)</f>
        <v>58364</v>
      </c>
    </row>
    <row r="89" spans="1:4" ht="12.75">
      <c r="A89" s="3">
        <v>42795</v>
      </c>
      <c r="B89" s="7">
        <v>51650</v>
      </c>
      <c r="C89" s="7">
        <f>6286+419</f>
        <v>6705</v>
      </c>
      <c r="D89" s="7">
        <f t="shared" si="5"/>
        <v>58355</v>
      </c>
    </row>
    <row r="90" spans="1:4" ht="12.75">
      <c r="A90" s="3">
        <v>42826</v>
      </c>
      <c r="B90" s="7">
        <v>51779</v>
      </c>
      <c r="C90" s="7">
        <f>6157+410</f>
        <v>6567</v>
      </c>
      <c r="D90" s="7">
        <f t="shared" si="5"/>
        <v>58346</v>
      </c>
    </row>
    <row r="91" spans="1:4" ht="12.75">
      <c r="A91" s="3">
        <v>42856</v>
      </c>
      <c r="B91" s="7">
        <v>51909</v>
      </c>
      <c r="C91" s="7">
        <f>6028+402</f>
        <v>6430</v>
      </c>
      <c r="D91" s="7">
        <f t="shared" si="5"/>
        <v>58339</v>
      </c>
    </row>
    <row r="92" spans="1:4" ht="12.75">
      <c r="A92" s="3">
        <v>42887</v>
      </c>
      <c r="B92" s="7">
        <v>52038</v>
      </c>
      <c r="C92" s="7">
        <f>5898+393</f>
        <v>6291</v>
      </c>
      <c r="D92" s="7">
        <f t="shared" si="5"/>
        <v>58329</v>
      </c>
    </row>
    <row r="93" spans="1:4" ht="12.75">
      <c r="A93" s="3">
        <v>42917</v>
      </c>
      <c r="B93" s="7">
        <v>52168</v>
      </c>
      <c r="C93" s="7">
        <f>5768+385</f>
        <v>6153</v>
      </c>
      <c r="D93" s="7">
        <f t="shared" si="5"/>
        <v>58321</v>
      </c>
    </row>
    <row r="94" spans="1:4" ht="12.75">
      <c r="A94" s="3">
        <v>42948</v>
      </c>
      <c r="B94" s="7">
        <v>52299</v>
      </c>
      <c r="C94" s="7">
        <f>5638+376</f>
        <v>6014</v>
      </c>
      <c r="D94" s="7">
        <f t="shared" si="5"/>
        <v>58313</v>
      </c>
    </row>
    <row r="95" spans="1:4" ht="12.75">
      <c r="A95" s="3">
        <v>42979</v>
      </c>
      <c r="B95" s="7">
        <v>52430</v>
      </c>
      <c r="C95" s="7">
        <f>5507+367</f>
        <v>5874</v>
      </c>
      <c r="D95" s="7">
        <f t="shared" si="5"/>
        <v>58304</v>
      </c>
    </row>
    <row r="96" spans="1:4" ht="12.75">
      <c r="A96" s="3">
        <v>43009</v>
      </c>
      <c r="B96" s="7">
        <v>52561</v>
      </c>
      <c r="C96" s="7">
        <f>5376+358</f>
        <v>5734</v>
      </c>
      <c r="D96" s="7">
        <f t="shared" si="5"/>
        <v>58295</v>
      </c>
    </row>
    <row r="97" spans="1:4" ht="12.75">
      <c r="A97" s="3">
        <v>43040</v>
      </c>
      <c r="B97" s="7">
        <v>52692</v>
      </c>
      <c r="C97" s="7">
        <f>5244+350</f>
        <v>5594</v>
      </c>
      <c r="D97" s="7">
        <f t="shared" si="5"/>
        <v>58286</v>
      </c>
    </row>
    <row r="98" spans="1:4" ht="12.75">
      <c r="A98" s="3">
        <v>43070</v>
      </c>
      <c r="B98" s="7">
        <v>52824</v>
      </c>
      <c r="C98" s="7">
        <f>5113+341</f>
        <v>5454</v>
      </c>
      <c r="D98" s="7">
        <f>SUM(B98:C98)</f>
        <v>58278</v>
      </c>
    </row>
    <row r="99" spans="2:4" ht="12.75">
      <c r="B99" s="7"/>
      <c r="C99" s="7"/>
      <c r="D99" s="7"/>
    </row>
    <row r="100" spans="1:4" ht="12.75">
      <c r="A100" s="2" t="s">
        <v>9</v>
      </c>
      <c r="B100" s="8">
        <f>SUM(B87:B99)</f>
        <v>625264</v>
      </c>
      <c r="C100" s="8">
        <f>SUM(C87:C99)</f>
        <v>74639</v>
      </c>
      <c r="D100" s="8">
        <f>SUM(D87:D99)</f>
        <v>699903</v>
      </c>
    </row>
    <row r="101" spans="2:4" ht="12.75">
      <c r="B101" s="7"/>
      <c r="C101" s="7"/>
      <c r="D101" s="7"/>
    </row>
    <row r="102" spans="2:4" ht="12.75">
      <c r="B102" s="7"/>
      <c r="C102" s="7"/>
      <c r="D102" s="7"/>
    </row>
    <row r="103" spans="2:4" ht="12.75">
      <c r="B103" s="7"/>
      <c r="C103" s="7"/>
      <c r="D103" s="7"/>
    </row>
    <row r="104" spans="1:4" ht="12.75">
      <c r="A104" s="10" t="str">
        <f>A1</f>
        <v>KIA  C-08-01 AMR After August 1, 2015</v>
      </c>
      <c r="B104" s="10"/>
      <c r="C104" s="10"/>
      <c r="D104" s="10"/>
    </row>
    <row r="106" spans="1:4" ht="12.75">
      <c r="A106" s="2" t="s">
        <v>0</v>
      </c>
      <c r="B106" s="5" t="s">
        <v>1</v>
      </c>
      <c r="C106" s="5" t="s">
        <v>3</v>
      </c>
      <c r="D106" s="5" t="s">
        <v>4</v>
      </c>
    </row>
    <row r="107" spans="2:4" ht="12.75">
      <c r="B107" s="7"/>
      <c r="C107" s="7"/>
      <c r="D107" s="7"/>
    </row>
    <row r="108" spans="1:4" ht="12.75">
      <c r="A108" s="3">
        <v>43101</v>
      </c>
      <c r="B108" s="7">
        <v>52956</v>
      </c>
      <c r="C108" s="7">
        <f>4981+332</f>
        <v>5313</v>
      </c>
      <c r="D108" s="7">
        <f>SUM(B108:C108)</f>
        <v>58269</v>
      </c>
    </row>
    <row r="109" spans="1:4" ht="12.75">
      <c r="A109" s="3">
        <v>43132</v>
      </c>
      <c r="B109" s="7">
        <v>53088</v>
      </c>
      <c r="C109" s="7">
        <f>4848+323</f>
        <v>5171</v>
      </c>
      <c r="D109" s="7">
        <f aca="true" t="shared" si="6" ref="D109:D118">SUM(B109:C109)</f>
        <v>58259</v>
      </c>
    </row>
    <row r="110" spans="1:4" ht="12.75">
      <c r="A110" s="3">
        <v>43160</v>
      </c>
      <c r="B110" s="7">
        <v>53221</v>
      </c>
      <c r="C110" s="7">
        <f>4715+314</f>
        <v>5029</v>
      </c>
      <c r="D110" s="7">
        <f t="shared" si="6"/>
        <v>58250</v>
      </c>
    </row>
    <row r="111" spans="1:4" ht="12.75">
      <c r="A111" s="3">
        <v>43191</v>
      </c>
      <c r="B111" s="7">
        <v>53354</v>
      </c>
      <c r="C111" s="7">
        <f>4582+305</f>
        <v>4887</v>
      </c>
      <c r="D111" s="7">
        <f t="shared" si="6"/>
        <v>58241</v>
      </c>
    </row>
    <row r="112" spans="1:4" ht="12.75">
      <c r="A112" s="3">
        <v>43221</v>
      </c>
      <c r="B112" s="7">
        <v>53487</v>
      </c>
      <c r="C112" s="7">
        <f>4449+267</f>
        <v>4716</v>
      </c>
      <c r="D112" s="7">
        <f t="shared" si="6"/>
        <v>58203</v>
      </c>
    </row>
    <row r="113" spans="1:4" ht="12.75">
      <c r="A113" s="3">
        <v>43252</v>
      </c>
      <c r="B113" s="7">
        <v>53621</v>
      </c>
      <c r="C113" s="7">
        <f>4315+288</f>
        <v>4603</v>
      </c>
      <c r="D113" s="7">
        <f t="shared" si="6"/>
        <v>58224</v>
      </c>
    </row>
    <row r="114" spans="1:4" ht="12.75">
      <c r="A114" s="3">
        <v>43282</v>
      </c>
      <c r="B114" s="7">
        <v>53755</v>
      </c>
      <c r="C114" s="7">
        <f>4181+279</f>
        <v>4460</v>
      </c>
      <c r="D114" s="7">
        <f t="shared" si="6"/>
        <v>58215</v>
      </c>
    </row>
    <row r="115" spans="1:4" ht="12.75">
      <c r="A115" s="3">
        <v>43313</v>
      </c>
      <c r="B115" s="7">
        <v>53890</v>
      </c>
      <c r="C115" s="7">
        <f>4047+270</f>
        <v>4317</v>
      </c>
      <c r="D115" s="7">
        <f t="shared" si="6"/>
        <v>58207</v>
      </c>
    </row>
    <row r="116" spans="1:4" ht="12.75">
      <c r="A116" s="3">
        <v>43344</v>
      </c>
      <c r="B116" s="7">
        <v>54024</v>
      </c>
      <c r="C116" s="7">
        <f>3912+261</f>
        <v>4173</v>
      </c>
      <c r="D116" s="7">
        <f t="shared" si="6"/>
        <v>58197</v>
      </c>
    </row>
    <row r="117" spans="1:4" ht="12.75">
      <c r="A117" s="3">
        <v>43374</v>
      </c>
      <c r="B117" s="7">
        <v>54159</v>
      </c>
      <c r="C117" s="7">
        <f>3777+252</f>
        <v>4029</v>
      </c>
      <c r="D117" s="7">
        <f t="shared" si="6"/>
        <v>58188</v>
      </c>
    </row>
    <row r="118" spans="1:4" ht="12.75">
      <c r="A118" s="3">
        <v>43405</v>
      </c>
      <c r="B118" s="7">
        <v>54295</v>
      </c>
      <c r="C118" s="7">
        <f>3642+243</f>
        <v>3885</v>
      </c>
      <c r="D118" s="7">
        <f t="shared" si="6"/>
        <v>58180</v>
      </c>
    </row>
    <row r="119" spans="1:4" ht="12.75">
      <c r="A119" s="3">
        <v>43435</v>
      </c>
      <c r="B119" s="7">
        <v>54431</v>
      </c>
      <c r="C119" s="7">
        <f>3506+234</f>
        <v>3740</v>
      </c>
      <c r="D119" s="7">
        <f>SUM(B119:C119)</f>
        <v>58171</v>
      </c>
    </row>
    <row r="120" spans="2:4" ht="12.75">
      <c r="B120" s="7"/>
      <c r="C120" s="7"/>
      <c r="D120" s="7"/>
    </row>
    <row r="121" spans="1:4" ht="12.75">
      <c r="A121" s="2" t="s">
        <v>10</v>
      </c>
      <c r="B121" s="8">
        <f>SUM(B108:B120)</f>
        <v>644281</v>
      </c>
      <c r="C121" s="8">
        <f>SUM(C108:C120)</f>
        <v>54323</v>
      </c>
      <c r="D121" s="8">
        <f>SUM(D108:D120)</f>
        <v>698604</v>
      </c>
    </row>
    <row r="122" spans="2:4" ht="12.75">
      <c r="B122" s="7"/>
      <c r="C122" s="7"/>
      <c r="D122" s="7"/>
    </row>
    <row r="123" spans="1:4" ht="12.75">
      <c r="A123" s="3">
        <v>43466</v>
      </c>
      <c r="B123" s="7">
        <v>54567</v>
      </c>
      <c r="C123" s="7">
        <f>3370+225</f>
        <v>3595</v>
      </c>
      <c r="D123" s="7">
        <f>SUM(B123:C123)</f>
        <v>58162</v>
      </c>
    </row>
    <row r="124" spans="1:4" ht="12.75">
      <c r="A124" s="3">
        <v>43497</v>
      </c>
      <c r="B124" s="7">
        <v>54703</v>
      </c>
      <c r="C124" s="7">
        <f>3233+216</f>
        <v>3449</v>
      </c>
      <c r="D124" s="7">
        <f aca="true" t="shared" si="7" ref="D124:D133">SUM(B124:C124)</f>
        <v>58152</v>
      </c>
    </row>
    <row r="125" spans="1:4" ht="12.75">
      <c r="A125" s="3">
        <v>43525</v>
      </c>
      <c r="B125" s="7">
        <v>54840</v>
      </c>
      <c r="C125" s="7">
        <f>3097+206</f>
        <v>3303</v>
      </c>
      <c r="D125" s="7">
        <f t="shared" si="7"/>
        <v>58143</v>
      </c>
    </row>
    <row r="126" spans="1:4" ht="12.75">
      <c r="A126" s="3">
        <v>43556</v>
      </c>
      <c r="B126" s="7">
        <v>54977</v>
      </c>
      <c r="C126" s="7">
        <f>2960+197</f>
        <v>3157</v>
      </c>
      <c r="D126" s="7">
        <f t="shared" si="7"/>
        <v>58134</v>
      </c>
    </row>
    <row r="127" spans="1:4" ht="12.75">
      <c r="A127" s="3">
        <v>43586</v>
      </c>
      <c r="B127" s="7">
        <v>55114</v>
      </c>
      <c r="C127" s="7">
        <f>2822+188</f>
        <v>3010</v>
      </c>
      <c r="D127" s="7">
        <f t="shared" si="7"/>
        <v>58124</v>
      </c>
    </row>
    <row r="128" spans="1:4" ht="12.75">
      <c r="A128" s="3">
        <v>43617</v>
      </c>
      <c r="B128" s="7">
        <v>55252</v>
      </c>
      <c r="C128" s="7">
        <f>2684+179</f>
        <v>2863</v>
      </c>
      <c r="D128" s="7">
        <f t="shared" si="7"/>
        <v>58115</v>
      </c>
    </row>
    <row r="129" spans="1:4" ht="12.75">
      <c r="A129" s="3">
        <v>43647</v>
      </c>
      <c r="B129" s="7">
        <v>55390</v>
      </c>
      <c r="C129" s="7">
        <f>2546+170</f>
        <v>2716</v>
      </c>
      <c r="D129" s="7">
        <f t="shared" si="7"/>
        <v>58106</v>
      </c>
    </row>
    <row r="130" spans="1:4" ht="12.75">
      <c r="A130" s="3">
        <v>43678</v>
      </c>
      <c r="B130" s="7">
        <v>55529</v>
      </c>
      <c r="C130" s="7">
        <f>2408+161</f>
        <v>2569</v>
      </c>
      <c r="D130" s="7">
        <f t="shared" si="7"/>
        <v>58098</v>
      </c>
    </row>
    <row r="131" spans="1:4" ht="12.75">
      <c r="A131" s="3">
        <v>43709</v>
      </c>
      <c r="B131" s="7">
        <v>55668</v>
      </c>
      <c r="C131" s="7">
        <f>2269+151</f>
        <v>2420</v>
      </c>
      <c r="D131" s="7">
        <f t="shared" si="7"/>
        <v>58088</v>
      </c>
    </row>
    <row r="132" spans="1:4" ht="12.75">
      <c r="A132" s="3">
        <v>43739</v>
      </c>
      <c r="B132" s="7">
        <v>55807</v>
      </c>
      <c r="C132" s="7">
        <f>2130+142</f>
        <v>2272</v>
      </c>
      <c r="D132" s="7">
        <f t="shared" si="7"/>
        <v>58079</v>
      </c>
    </row>
    <row r="133" spans="1:4" ht="12.75">
      <c r="A133" s="3">
        <v>43770</v>
      </c>
      <c r="B133" s="7">
        <v>55946</v>
      </c>
      <c r="C133" s="7">
        <f>1990+133</f>
        <v>2123</v>
      </c>
      <c r="D133" s="7">
        <f t="shared" si="7"/>
        <v>58069</v>
      </c>
    </row>
    <row r="134" spans="1:4" ht="12.75">
      <c r="A134" s="3">
        <v>43800</v>
      </c>
      <c r="B134" s="7">
        <v>56086</v>
      </c>
      <c r="C134" s="7">
        <f>1850+123</f>
        <v>1973</v>
      </c>
      <c r="D134" s="7">
        <f>SUM(B134:C134)</f>
        <v>58059</v>
      </c>
    </row>
    <row r="135" spans="2:4" ht="12.75">
      <c r="B135" s="7"/>
      <c r="C135" s="7"/>
      <c r="D135" s="7"/>
    </row>
    <row r="136" spans="1:4" ht="12.75">
      <c r="A136" s="2" t="s">
        <v>11</v>
      </c>
      <c r="B136" s="8">
        <f>SUM(B123:B135)</f>
        <v>663879</v>
      </c>
      <c r="C136" s="8">
        <f>SUM(C123:C135)</f>
        <v>33450</v>
      </c>
      <c r="D136" s="8">
        <f>SUM(D123:D135)</f>
        <v>697329</v>
      </c>
    </row>
    <row r="137" spans="2:4" ht="12.75">
      <c r="B137" s="7"/>
      <c r="C137" s="7"/>
      <c r="D137" s="7"/>
    </row>
    <row r="138" spans="1:4" ht="12.75">
      <c r="A138" s="3">
        <v>43831</v>
      </c>
      <c r="B138" s="7">
        <v>56226</v>
      </c>
      <c r="C138" s="7">
        <f>1710+114</f>
        <v>1824</v>
      </c>
      <c r="D138" s="7">
        <f>SUM(B138:C138)</f>
        <v>58050</v>
      </c>
    </row>
    <row r="139" spans="1:4" ht="12.75">
      <c r="A139" s="3">
        <v>43862</v>
      </c>
      <c r="B139" s="7">
        <v>56367</v>
      </c>
      <c r="C139" s="7">
        <f>1570+105</f>
        <v>1675</v>
      </c>
      <c r="D139" s="7">
        <f aca="true" t="shared" si="8" ref="D139:D148">SUM(B139:C139)</f>
        <v>58042</v>
      </c>
    </row>
    <row r="140" spans="1:4" ht="12.75">
      <c r="A140" s="3">
        <v>43891</v>
      </c>
      <c r="B140" s="7">
        <v>56508</v>
      </c>
      <c r="C140" s="7">
        <f>1429+95</f>
        <v>1524</v>
      </c>
      <c r="D140" s="7">
        <f t="shared" si="8"/>
        <v>58032</v>
      </c>
    </row>
    <row r="141" spans="1:4" ht="12.75">
      <c r="A141" s="3">
        <v>43922</v>
      </c>
      <c r="B141" s="7">
        <v>56649</v>
      </c>
      <c r="C141" s="7">
        <f>1287+86</f>
        <v>1373</v>
      </c>
      <c r="D141" s="7">
        <f t="shared" si="8"/>
        <v>58022</v>
      </c>
    </row>
    <row r="142" spans="1:4" ht="12.75">
      <c r="A142" s="3">
        <v>43952</v>
      </c>
      <c r="B142" s="7">
        <v>56791</v>
      </c>
      <c r="C142" s="7">
        <f>1146+76</f>
        <v>1222</v>
      </c>
      <c r="D142" s="7">
        <f t="shared" si="8"/>
        <v>58013</v>
      </c>
    </row>
    <row r="143" spans="1:4" ht="12.75">
      <c r="A143" s="3">
        <v>43983</v>
      </c>
      <c r="B143" s="7">
        <v>56933</v>
      </c>
      <c r="C143" s="7">
        <f>1004+67</f>
        <v>1071</v>
      </c>
      <c r="D143" s="7">
        <f t="shared" si="8"/>
        <v>58004</v>
      </c>
    </row>
    <row r="144" spans="1:4" ht="12.75">
      <c r="A144" s="3">
        <v>44013</v>
      </c>
      <c r="B144" s="7">
        <v>57075</v>
      </c>
      <c r="C144" s="7">
        <f>862+57</f>
        <v>919</v>
      </c>
      <c r="D144" s="7">
        <f t="shared" si="8"/>
        <v>57994</v>
      </c>
    </row>
    <row r="145" spans="1:4" ht="12.75">
      <c r="A145" s="3">
        <v>44044</v>
      </c>
      <c r="B145" s="7">
        <v>57218</v>
      </c>
      <c r="C145" s="7">
        <f>719+48</f>
        <v>767</v>
      </c>
      <c r="D145" s="7">
        <f t="shared" si="8"/>
        <v>57985</v>
      </c>
    </row>
    <row r="146" spans="1:4" ht="12.75">
      <c r="A146" s="3">
        <v>44075</v>
      </c>
      <c r="B146" s="7">
        <v>57361</v>
      </c>
      <c r="C146" s="7">
        <f>576+38</f>
        <v>614</v>
      </c>
      <c r="D146" s="7">
        <f t="shared" si="8"/>
        <v>57975</v>
      </c>
    </row>
    <row r="147" spans="1:4" ht="12.75">
      <c r="A147" s="3">
        <v>44105</v>
      </c>
      <c r="B147" s="7">
        <v>57504</v>
      </c>
      <c r="C147" s="7">
        <f>432+29</f>
        <v>461</v>
      </c>
      <c r="D147" s="7">
        <f t="shared" si="8"/>
        <v>57965</v>
      </c>
    </row>
    <row r="148" spans="1:4" ht="12.75">
      <c r="A148" s="3">
        <v>44136</v>
      </c>
      <c r="B148" s="7">
        <v>57648</v>
      </c>
      <c r="C148" s="7">
        <f>289+19</f>
        <v>308</v>
      </c>
      <c r="D148" s="7">
        <f t="shared" si="8"/>
        <v>57956</v>
      </c>
    </row>
    <row r="149" spans="1:4" ht="12.75">
      <c r="A149" s="3">
        <v>44166</v>
      </c>
      <c r="B149" s="7">
        <v>57792</v>
      </c>
      <c r="C149" s="7">
        <f>144+10</f>
        <v>154</v>
      </c>
      <c r="D149" s="7">
        <f>SUM(B149:C149)</f>
        <v>57946</v>
      </c>
    </row>
    <row r="150" spans="2:4" ht="12.75">
      <c r="B150" s="7"/>
      <c r="C150" s="7"/>
      <c r="D150" s="7"/>
    </row>
    <row r="151" spans="1:4" ht="12.75">
      <c r="A151" s="2" t="s">
        <v>12</v>
      </c>
      <c r="B151" s="8">
        <f>SUM(B138:B150)</f>
        <v>684072</v>
      </c>
      <c r="C151" s="8">
        <f>SUM(C138:C150)</f>
        <v>11912</v>
      </c>
      <c r="D151" s="8">
        <f>SUM(D138:D150)</f>
        <v>695984</v>
      </c>
    </row>
    <row r="152" spans="1:4" ht="12.75">
      <c r="A152" s="2"/>
      <c r="B152" s="8"/>
      <c r="C152" s="8"/>
      <c r="D152" s="8"/>
    </row>
    <row r="153" spans="1:4" ht="12.75">
      <c r="A153" s="2" t="s">
        <v>27</v>
      </c>
      <c r="B153" s="8">
        <f>SUMIF(A1:A151,"Total*",B1:B151)</f>
        <v>3373185</v>
      </c>
      <c r="C153" s="8">
        <f>SUMIF(A1:A151,"Total*",C1:C151)</f>
        <v>295238</v>
      </c>
      <c r="D153" s="8">
        <f>B153+C153</f>
        <v>3668423</v>
      </c>
    </row>
  </sheetData>
  <sheetProtection/>
  <mergeCells count="3">
    <mergeCell ref="A1:D1"/>
    <mergeCell ref="A53:D53"/>
    <mergeCell ref="A104:D104"/>
  </mergeCells>
  <printOptions gridLines="1" horizontalCentered="1"/>
  <pageMargins left="0.25" right="0.25" top="1" bottom="1" header="0.5" footer="0.5"/>
  <pageSetup horizontalDpi="600" verticalDpi="600" orientation="portrait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1">
      <selection activeCell="C27" sqref="C27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49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1998 Defeased 2012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0</v>
      </c>
      <c r="C87" s="7">
        <v>0</v>
      </c>
      <c r="D87" s="7">
        <f>SUM(B87:C87)</f>
        <v>0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0</v>
      </c>
      <c r="C90" s="8">
        <f>SUM(C87:C89)</f>
        <v>0</v>
      </c>
      <c r="D90" s="8">
        <f>SUM(D87:D89)</f>
        <v>0</v>
      </c>
    </row>
    <row r="91" spans="2:4" ht="12.75">
      <c r="B91" s="7"/>
      <c r="C91" s="7"/>
      <c r="D91" s="7"/>
    </row>
    <row r="92" spans="1:4" ht="12.75">
      <c r="A92" s="3">
        <v>46784</v>
      </c>
      <c r="B92" s="7">
        <v>0</v>
      </c>
      <c r="C92" s="7">
        <v>0</v>
      </c>
      <c r="D92" s="7">
        <f>SUM(B92:C92)</f>
        <v>0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0</v>
      </c>
      <c r="C95" s="8">
        <f>SUM(C92:C94)</f>
        <v>0</v>
      </c>
      <c r="D95" s="8">
        <f>SUM(D92:D94)</f>
        <v>0</v>
      </c>
    </row>
    <row r="96" spans="2:4" ht="12.75">
      <c r="B96" s="7"/>
      <c r="C96" s="7"/>
      <c r="D96" s="7"/>
    </row>
    <row r="97" spans="1:4" ht="12.75">
      <c r="A97" s="2" t="s">
        <v>27</v>
      </c>
      <c r="B97" s="8">
        <f>SUMIF(A1:A95,"Total*",B1:B95)</f>
        <v>0</v>
      </c>
      <c r="C97" s="8">
        <f>SUMIF(A1:A95,"Total*",C1:C95)</f>
        <v>0</v>
      </c>
      <c r="D97" s="8">
        <f>B97+C97</f>
        <v>0</v>
      </c>
    </row>
  </sheetData>
  <sheetProtection/>
  <mergeCells count="2">
    <mergeCell ref="A1:D1"/>
    <mergeCell ref="A53:D53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40">
      <selection activeCell="C63" sqref="C63"/>
    </sheetView>
  </sheetViews>
  <sheetFormatPr defaultColWidth="9.140625" defaultRowHeight="12.75"/>
  <cols>
    <col min="1" max="1" width="13.7109375" style="4" customWidth="1"/>
    <col min="2" max="2" width="13.421875" style="6" customWidth="1"/>
    <col min="3" max="3" width="12.7109375" style="6" customWidth="1"/>
    <col min="4" max="4" width="13.8515625" style="6" customWidth="1"/>
  </cols>
  <sheetData>
    <row r="1" spans="1:4" ht="12.75">
      <c r="A1" s="10" t="s">
        <v>72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41030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41214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41395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41579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41760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41944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42125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42309</v>
      </c>
      <c r="B21" s="7">
        <v>0</v>
      </c>
      <c r="C21" s="7">
        <v>46825</v>
      </c>
      <c r="D21" s="7">
        <f>SUM(B21:C21)</f>
        <v>46825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46825</v>
      </c>
      <c r="D23" s="8">
        <f>SUM(D20:D22)</f>
        <v>46825</v>
      </c>
    </row>
    <row r="24" spans="2:4" ht="12.75">
      <c r="B24" s="7"/>
      <c r="C24" s="7"/>
      <c r="D24" s="7"/>
    </row>
    <row r="25" spans="1:4" ht="12.75">
      <c r="A25" s="3">
        <v>42491</v>
      </c>
      <c r="B25" s="7">
        <v>42000</v>
      </c>
      <c r="C25" s="7">
        <v>46825</v>
      </c>
      <c r="D25" s="7">
        <f>SUM(B25:C25)</f>
        <v>88825</v>
      </c>
    </row>
    <row r="26" spans="1:4" ht="12.75">
      <c r="A26" s="3">
        <v>42675</v>
      </c>
      <c r="B26" s="7">
        <v>0</v>
      </c>
      <c r="C26" s="7">
        <v>45775</v>
      </c>
      <c r="D26" s="7">
        <f>SUM(B26:C26)</f>
        <v>45775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42000</v>
      </c>
      <c r="C28" s="8">
        <f>SUM(C25:C27)</f>
        <v>92600</v>
      </c>
      <c r="D28" s="8">
        <f>SUM(D25:D27)</f>
        <v>134600</v>
      </c>
    </row>
    <row r="29" spans="2:4" ht="12.75">
      <c r="B29" s="7"/>
      <c r="C29" s="7"/>
      <c r="D29" s="7"/>
    </row>
    <row r="30" spans="1:4" ht="12.75">
      <c r="A30" s="3">
        <v>42856</v>
      </c>
      <c r="B30" s="7">
        <v>44000</v>
      </c>
      <c r="C30" s="7">
        <v>45775</v>
      </c>
      <c r="D30" s="7">
        <f>SUM(B30:C30)</f>
        <v>89775</v>
      </c>
    </row>
    <row r="31" spans="1:4" ht="12.75">
      <c r="A31" s="3">
        <v>43040</v>
      </c>
      <c r="B31" s="7">
        <v>0</v>
      </c>
      <c r="C31" s="7">
        <v>44675</v>
      </c>
      <c r="D31" s="7">
        <f>SUM(B31:C31)</f>
        <v>44675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44000</v>
      </c>
      <c r="C33" s="8">
        <f>SUM(C30:C32)</f>
        <v>90450</v>
      </c>
      <c r="D33" s="8">
        <f>SUM(D30:D32)</f>
        <v>134450</v>
      </c>
    </row>
    <row r="34" spans="2:4" ht="12.75">
      <c r="B34" s="7"/>
      <c r="C34" s="7"/>
      <c r="D34" s="7"/>
    </row>
    <row r="35" spans="1:4" ht="12.75">
      <c r="A35" s="3">
        <v>43221</v>
      </c>
      <c r="B35" s="7">
        <v>46000</v>
      </c>
      <c r="C35" s="7">
        <v>44675</v>
      </c>
      <c r="D35" s="7">
        <f>SUM(B35:C35)</f>
        <v>90675</v>
      </c>
    </row>
    <row r="36" spans="1:4" ht="12.75">
      <c r="A36" s="3">
        <v>43405</v>
      </c>
      <c r="B36" s="7">
        <v>0</v>
      </c>
      <c r="C36" s="7">
        <v>43525</v>
      </c>
      <c r="D36" s="7">
        <f>SUM(B36:C36)</f>
        <v>43525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46000</v>
      </c>
      <c r="C38" s="8">
        <f>SUM(C35:C37)</f>
        <v>88200</v>
      </c>
      <c r="D38" s="8">
        <f>SUM(D35:D37)</f>
        <v>134200</v>
      </c>
    </row>
    <row r="39" spans="2:4" ht="12.75">
      <c r="B39" s="7"/>
      <c r="C39" s="7"/>
      <c r="D39" s="7"/>
    </row>
    <row r="40" spans="1:4" ht="12.75">
      <c r="A40" s="3">
        <v>43586</v>
      </c>
      <c r="B40" s="7">
        <v>49000</v>
      </c>
      <c r="C40" s="7">
        <v>43525</v>
      </c>
      <c r="D40" s="7">
        <f>SUM(B40:C40)</f>
        <v>92525</v>
      </c>
    </row>
    <row r="41" spans="1:4" ht="12.75">
      <c r="A41" s="3">
        <v>43678</v>
      </c>
      <c r="B41" s="7">
        <v>0</v>
      </c>
      <c r="C41" s="7">
        <v>42300</v>
      </c>
      <c r="D41" s="7">
        <f>SUM(B41:C41)</f>
        <v>42300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49000</v>
      </c>
      <c r="C43" s="8">
        <f>SUM(C40:C42)</f>
        <v>85825</v>
      </c>
      <c r="D43" s="8">
        <f>SUM(D40:D42)</f>
        <v>134825</v>
      </c>
    </row>
    <row r="44" spans="2:4" ht="12.75">
      <c r="B44" s="7"/>
      <c r="C44" s="7"/>
      <c r="D44" s="7"/>
    </row>
    <row r="45" spans="1:4" ht="12.75">
      <c r="A45" s="3">
        <v>43952</v>
      </c>
      <c r="B45" s="7">
        <v>51000</v>
      </c>
      <c r="C45" s="7">
        <v>42300</v>
      </c>
      <c r="D45" s="7">
        <f>SUM(B45:C45)</f>
        <v>93300</v>
      </c>
    </row>
    <row r="46" spans="1:4" ht="12.75">
      <c r="A46" s="3">
        <v>44136</v>
      </c>
      <c r="B46" s="7">
        <v>0</v>
      </c>
      <c r="C46" s="7">
        <v>41025</v>
      </c>
      <c r="D46" s="7">
        <f>SUM(B46:C46)</f>
        <v>41025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51000</v>
      </c>
      <c r="C48" s="8">
        <f>SUM(C45:C47)</f>
        <v>83325</v>
      </c>
      <c r="D48" s="8">
        <f>SUM(D45:D47)</f>
        <v>134325</v>
      </c>
    </row>
    <row r="53" spans="1:4" ht="12.75">
      <c r="A53" s="10" t="str">
        <f>A1</f>
        <v>USDA 2000 after August 1, 2015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44317</v>
      </c>
      <c r="B57" s="7">
        <v>54000</v>
      </c>
      <c r="C57" s="7">
        <v>41025</v>
      </c>
      <c r="D57" s="7">
        <f>SUM(B57:C57)</f>
        <v>95025</v>
      </c>
    </row>
    <row r="58" spans="1:4" ht="12.75">
      <c r="A58" s="3">
        <v>44501</v>
      </c>
      <c r="B58" s="7">
        <v>0</v>
      </c>
      <c r="C58" s="7">
        <v>39675</v>
      </c>
      <c r="D58" s="7">
        <f>SUM(B58:C58)</f>
        <v>39675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54000</v>
      </c>
      <c r="C60" s="8">
        <f>SUM(C57:C59)</f>
        <v>80700</v>
      </c>
      <c r="D60" s="8">
        <f>SUM(D57:D59)</f>
        <v>134700</v>
      </c>
    </row>
    <row r="61" spans="2:4" ht="12.75">
      <c r="B61" s="7"/>
      <c r="C61" s="7"/>
      <c r="D61" s="7"/>
    </row>
    <row r="62" spans="1:4" ht="12.75">
      <c r="A62" s="3">
        <v>44682</v>
      </c>
      <c r="B62" s="7">
        <v>56000</v>
      </c>
      <c r="C62" s="7">
        <v>39675</v>
      </c>
      <c r="D62" s="7">
        <f>SUM(B62:C62)</f>
        <v>95675</v>
      </c>
    </row>
    <row r="63" spans="1:4" ht="12.75">
      <c r="A63" s="3">
        <v>44866</v>
      </c>
      <c r="B63" s="7">
        <v>0</v>
      </c>
      <c r="C63" s="7">
        <v>38275</v>
      </c>
      <c r="D63" s="7">
        <f>SUM(B63:C63)</f>
        <v>38275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56000</v>
      </c>
      <c r="C65" s="8">
        <f>SUM(C62:C64)</f>
        <v>77950</v>
      </c>
      <c r="D65" s="8">
        <f>SUM(D62:D64)</f>
        <v>133950</v>
      </c>
    </row>
    <row r="66" spans="2:4" ht="12.75">
      <c r="B66" s="7"/>
      <c r="C66" s="7"/>
      <c r="D66" s="7"/>
    </row>
    <row r="67" spans="1:4" ht="12.75">
      <c r="A67" s="3">
        <v>45047</v>
      </c>
      <c r="B67" s="7">
        <v>59000</v>
      </c>
      <c r="C67" s="7">
        <v>38275</v>
      </c>
      <c r="D67" s="7">
        <f>SUM(B67:C67)</f>
        <v>97275</v>
      </c>
    </row>
    <row r="68" spans="1:4" ht="12.75">
      <c r="A68" s="3">
        <v>45231</v>
      </c>
      <c r="B68" s="7">
        <v>0</v>
      </c>
      <c r="C68" s="7">
        <v>36800</v>
      </c>
      <c r="D68" s="7">
        <f>SUM(B68:C68)</f>
        <v>36800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59000</v>
      </c>
      <c r="C70" s="8">
        <f>SUM(C67:C69)</f>
        <v>75075</v>
      </c>
      <c r="D70" s="8">
        <f>SUM(D67:D69)</f>
        <v>134075</v>
      </c>
    </row>
    <row r="71" spans="2:4" ht="12.75">
      <c r="B71" s="7"/>
      <c r="C71" s="7"/>
      <c r="D71" s="7"/>
    </row>
    <row r="72" spans="1:4" ht="12.75">
      <c r="A72" s="3">
        <v>45413</v>
      </c>
      <c r="B72" s="7">
        <v>62000</v>
      </c>
      <c r="C72" s="7">
        <v>36800</v>
      </c>
      <c r="D72" s="7">
        <f>SUM(B72:C72)</f>
        <v>98800</v>
      </c>
    </row>
    <row r="73" spans="1:4" ht="12.75">
      <c r="A73" s="3">
        <v>45597</v>
      </c>
      <c r="B73" s="7">
        <v>0</v>
      </c>
      <c r="C73" s="7">
        <v>35250</v>
      </c>
      <c r="D73" s="7">
        <f>SUM(B73:C73)</f>
        <v>35250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62000</v>
      </c>
      <c r="C75" s="8">
        <f>SUM(C72:C74)</f>
        <v>72050</v>
      </c>
      <c r="D75" s="8">
        <f>SUM(D72:D74)</f>
        <v>134050</v>
      </c>
    </row>
    <row r="76" spans="2:4" ht="12.75">
      <c r="B76" s="7"/>
      <c r="C76" s="7"/>
      <c r="D76" s="7"/>
    </row>
    <row r="77" spans="1:4" ht="12.75">
      <c r="A77" s="3">
        <v>45778</v>
      </c>
      <c r="B77" s="7">
        <v>65000</v>
      </c>
      <c r="C77" s="7">
        <v>35250</v>
      </c>
      <c r="D77" s="7">
        <f>SUM(B77:C77)</f>
        <v>100250</v>
      </c>
    </row>
    <row r="78" spans="1:4" ht="12.75">
      <c r="A78" s="3">
        <v>45962</v>
      </c>
      <c r="B78" s="7">
        <v>0</v>
      </c>
      <c r="C78" s="7">
        <v>33625</v>
      </c>
      <c r="D78" s="7">
        <f>SUM(B78:C78)</f>
        <v>33625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65000</v>
      </c>
      <c r="C80" s="8">
        <f>SUM(C77:C79)</f>
        <v>68875</v>
      </c>
      <c r="D80" s="8">
        <f>SUM(D77:D79)</f>
        <v>133875</v>
      </c>
    </row>
    <row r="81" spans="2:4" ht="12.75">
      <c r="B81" s="7"/>
      <c r="C81" s="7"/>
      <c r="D81" s="7"/>
    </row>
    <row r="82" spans="1:4" ht="12.75">
      <c r="A82" s="3">
        <v>46143</v>
      </c>
      <c r="B82" s="7">
        <v>68000</v>
      </c>
      <c r="C82" s="7">
        <v>33625</v>
      </c>
      <c r="D82" s="7">
        <f>SUM(B82:C82)</f>
        <v>101625</v>
      </c>
    </row>
    <row r="83" spans="1:4" ht="12.75">
      <c r="A83" s="3">
        <v>46327</v>
      </c>
      <c r="B83" s="7">
        <v>0</v>
      </c>
      <c r="C83" s="7">
        <v>31925</v>
      </c>
      <c r="D83" s="7">
        <f>SUM(B83:C83)</f>
        <v>31925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68000</v>
      </c>
      <c r="C85" s="8">
        <f>SUM(C82:C84)</f>
        <v>65550</v>
      </c>
      <c r="D85" s="8">
        <f>SUM(D82:D84)</f>
        <v>133550</v>
      </c>
    </row>
    <row r="86" spans="2:4" ht="12.75">
      <c r="B86" s="7"/>
      <c r="C86" s="7"/>
      <c r="D86" s="7"/>
    </row>
    <row r="87" spans="1:4" ht="12.75">
      <c r="A87" s="3">
        <v>46508</v>
      </c>
      <c r="B87" s="7">
        <v>72000</v>
      </c>
      <c r="C87" s="7">
        <v>31925</v>
      </c>
      <c r="D87" s="7">
        <f>SUM(B87:C87)</f>
        <v>103925</v>
      </c>
    </row>
    <row r="88" spans="1:4" ht="12.75">
      <c r="A88" s="3">
        <v>46692</v>
      </c>
      <c r="B88" s="7">
        <v>0</v>
      </c>
      <c r="C88" s="7">
        <v>30125</v>
      </c>
      <c r="D88" s="7">
        <f>SUM(B88:C88)</f>
        <v>30125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72000</v>
      </c>
      <c r="C90" s="8">
        <f>SUM(C87:C89)</f>
        <v>62050</v>
      </c>
      <c r="D90" s="8">
        <f>SUM(D87:D89)</f>
        <v>134050</v>
      </c>
    </row>
    <row r="91" spans="2:4" ht="12.75">
      <c r="B91" s="7"/>
      <c r="C91" s="7"/>
      <c r="D91" s="7"/>
    </row>
    <row r="92" spans="1:4" ht="12.75">
      <c r="A92" s="3">
        <v>46874</v>
      </c>
      <c r="B92" s="7">
        <v>75000</v>
      </c>
      <c r="C92" s="7">
        <v>30125</v>
      </c>
      <c r="D92" s="7">
        <f>SUM(B92:C92)</f>
        <v>105125</v>
      </c>
    </row>
    <row r="93" spans="1:4" ht="12.75">
      <c r="A93" s="3">
        <v>47058</v>
      </c>
      <c r="B93" s="7">
        <v>0</v>
      </c>
      <c r="C93" s="7">
        <v>28250</v>
      </c>
      <c r="D93" s="7">
        <f>SUM(B93:C93)</f>
        <v>28250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75000</v>
      </c>
      <c r="C95" s="8">
        <f>SUM(C92:C94)</f>
        <v>58375</v>
      </c>
      <c r="D95" s="8">
        <f>SUM(D92:D94)</f>
        <v>133375</v>
      </c>
    </row>
    <row r="96" spans="2:4" ht="12.75">
      <c r="B96" s="7"/>
      <c r="C96" s="7"/>
      <c r="D96" s="7"/>
    </row>
    <row r="97" spans="1:4" ht="12.75">
      <c r="A97" s="3">
        <v>47239</v>
      </c>
      <c r="B97" s="7">
        <v>79000</v>
      </c>
      <c r="C97" s="7">
        <v>28250</v>
      </c>
      <c r="D97" s="7">
        <f>SUM(B97:C97)</f>
        <v>107250</v>
      </c>
    </row>
    <row r="98" spans="1:4" ht="12.75">
      <c r="A98" s="3">
        <v>47423</v>
      </c>
      <c r="B98" s="7">
        <v>0</v>
      </c>
      <c r="C98" s="7">
        <v>26275</v>
      </c>
      <c r="D98" s="7">
        <f>SUM(B98:C98)</f>
        <v>26275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79000</v>
      </c>
      <c r="C100" s="8">
        <f>SUM(C97:C99)</f>
        <v>54525</v>
      </c>
      <c r="D100" s="8">
        <f>SUM(D97:D99)</f>
        <v>133525</v>
      </c>
    </row>
    <row r="104" spans="1:4" ht="12.75">
      <c r="A104" s="10" t="s">
        <v>20</v>
      </c>
      <c r="B104" s="10"/>
      <c r="C104" s="10"/>
      <c r="D104" s="10"/>
    </row>
    <row r="106" spans="1:4" ht="12.75">
      <c r="A106" s="2" t="s">
        <v>0</v>
      </c>
      <c r="B106" s="5" t="s">
        <v>1</v>
      </c>
      <c r="C106" s="5" t="s">
        <v>3</v>
      </c>
      <c r="D106" s="5" t="s">
        <v>4</v>
      </c>
    </row>
    <row r="108" spans="1:4" ht="12.75">
      <c r="A108" s="3">
        <v>47604</v>
      </c>
      <c r="B108" s="7">
        <v>83000</v>
      </c>
      <c r="C108" s="7">
        <v>26275</v>
      </c>
      <c r="D108" s="7">
        <f>SUM(B108:C108)</f>
        <v>109275</v>
      </c>
    </row>
    <row r="109" spans="1:4" ht="12.75">
      <c r="A109" s="3">
        <v>47788</v>
      </c>
      <c r="B109" s="7">
        <v>0</v>
      </c>
      <c r="C109" s="7">
        <v>24200</v>
      </c>
      <c r="D109" s="7">
        <f>SUM(B109:C109)</f>
        <v>24200</v>
      </c>
    </row>
    <row r="110" spans="2:4" ht="12.75">
      <c r="B110" s="7"/>
      <c r="C110" s="7"/>
      <c r="D110" s="7"/>
    </row>
    <row r="111" spans="1:4" ht="12.75">
      <c r="A111" s="2" t="s">
        <v>22</v>
      </c>
      <c r="B111" s="8">
        <f>SUM(B108:B110)</f>
        <v>83000</v>
      </c>
      <c r="C111" s="8">
        <f>SUM(C108:C110)</f>
        <v>50475</v>
      </c>
      <c r="D111" s="8">
        <f>SUM(D108:D110)</f>
        <v>133475</v>
      </c>
    </row>
    <row r="112" spans="2:4" ht="12.75">
      <c r="B112" s="7"/>
      <c r="C112" s="7"/>
      <c r="D112" s="7"/>
    </row>
    <row r="113" spans="1:4" ht="12.75">
      <c r="A113" s="3">
        <v>47969</v>
      </c>
      <c r="B113" s="7">
        <v>87000</v>
      </c>
      <c r="C113" s="7">
        <v>24200</v>
      </c>
      <c r="D113" s="7">
        <f>SUM(B113:C113)</f>
        <v>111200</v>
      </c>
    </row>
    <row r="114" spans="1:4" ht="12.75">
      <c r="A114" s="3">
        <v>48153</v>
      </c>
      <c r="B114" s="7">
        <v>0</v>
      </c>
      <c r="C114" s="7">
        <v>22025</v>
      </c>
      <c r="D114" s="7">
        <f>SUM(B114:C114)</f>
        <v>22025</v>
      </c>
    </row>
    <row r="115" spans="2:4" ht="12.75">
      <c r="B115" s="7"/>
      <c r="C115" s="7"/>
      <c r="D115" s="7"/>
    </row>
    <row r="116" spans="1:4" ht="12.75">
      <c r="A116" s="2" t="s">
        <v>23</v>
      </c>
      <c r="B116" s="8">
        <f>SUM(B113:B115)</f>
        <v>87000</v>
      </c>
      <c r="C116" s="8">
        <f>SUM(C113:C115)</f>
        <v>46225</v>
      </c>
      <c r="D116" s="8">
        <f>SUM(D113:D115)</f>
        <v>133225</v>
      </c>
    </row>
    <row r="117" spans="2:4" ht="12.75">
      <c r="B117" s="7"/>
      <c r="C117" s="7"/>
      <c r="D117" s="7"/>
    </row>
    <row r="118" spans="1:4" ht="12.75">
      <c r="A118" s="3">
        <v>48335</v>
      </c>
      <c r="B118" s="7">
        <v>92000</v>
      </c>
      <c r="C118" s="7">
        <v>22025</v>
      </c>
      <c r="D118" s="7">
        <f>SUM(B118:C118)</f>
        <v>114025</v>
      </c>
    </row>
    <row r="119" spans="1:4" ht="12.75">
      <c r="A119" s="3">
        <v>48519</v>
      </c>
      <c r="B119" s="7">
        <v>0</v>
      </c>
      <c r="C119" s="7">
        <v>19725</v>
      </c>
      <c r="D119" s="7">
        <f>SUM(B119:C119)</f>
        <v>19725</v>
      </c>
    </row>
    <row r="120" spans="2:4" ht="12.75">
      <c r="B120" s="7"/>
      <c r="C120" s="7"/>
      <c r="D120" s="7"/>
    </row>
    <row r="121" spans="1:4" ht="12.75">
      <c r="A121" s="2" t="s">
        <v>24</v>
      </c>
      <c r="B121" s="8">
        <f>SUM(B118:B120)</f>
        <v>92000</v>
      </c>
      <c r="C121" s="8">
        <f>SUM(C118:C120)</f>
        <v>41750</v>
      </c>
      <c r="D121" s="8">
        <f>SUM(D118:D120)</f>
        <v>133750</v>
      </c>
    </row>
    <row r="122" spans="2:4" ht="12.75">
      <c r="B122" s="7"/>
      <c r="C122" s="7"/>
      <c r="D122" s="7"/>
    </row>
    <row r="123" spans="1:4" ht="12.75">
      <c r="A123" s="3">
        <v>48700</v>
      </c>
      <c r="B123" s="7">
        <v>96000</v>
      </c>
      <c r="C123" s="7">
        <v>19725</v>
      </c>
      <c r="D123" s="7">
        <f>SUM(B123:C123)</f>
        <v>115725</v>
      </c>
    </row>
    <row r="124" spans="1:4" ht="12.75">
      <c r="A124" s="3">
        <v>48884</v>
      </c>
      <c r="B124" s="7">
        <v>0</v>
      </c>
      <c r="C124" s="7">
        <v>17325</v>
      </c>
      <c r="D124" s="7">
        <f>SUM(B124:C124)</f>
        <v>17325</v>
      </c>
    </row>
    <row r="125" spans="2:4" ht="12.75">
      <c r="B125" s="7"/>
      <c r="C125" s="7"/>
      <c r="D125" s="7"/>
    </row>
    <row r="126" spans="1:4" ht="12.75">
      <c r="A126" s="2" t="s">
        <v>25</v>
      </c>
      <c r="B126" s="8">
        <f>SUM(B123:B125)</f>
        <v>96000</v>
      </c>
      <c r="C126" s="8">
        <f>SUM(C123:C125)</f>
        <v>37050</v>
      </c>
      <c r="D126" s="8">
        <f>SUM(D123:D125)</f>
        <v>133050</v>
      </c>
    </row>
    <row r="127" spans="2:4" ht="12.75">
      <c r="B127" s="7"/>
      <c r="C127" s="7"/>
      <c r="D127" s="7"/>
    </row>
    <row r="128" spans="1:4" ht="12.75">
      <c r="A128" s="3">
        <v>49065</v>
      </c>
      <c r="B128" s="7">
        <v>102000</v>
      </c>
      <c r="C128" s="7">
        <v>17325</v>
      </c>
      <c r="D128" s="7">
        <f>SUM(B128:C128)</f>
        <v>119325</v>
      </c>
    </row>
    <row r="129" spans="1:4" ht="12.75">
      <c r="A129" s="3">
        <v>49249</v>
      </c>
      <c r="B129" s="7">
        <v>0</v>
      </c>
      <c r="C129" s="7">
        <v>14775</v>
      </c>
      <c r="D129" s="7">
        <f>SUM(B129:C129)</f>
        <v>14775</v>
      </c>
    </row>
    <row r="130" spans="2:4" ht="12.75">
      <c r="B130" s="7"/>
      <c r="C130" s="7"/>
      <c r="D130" s="7"/>
    </row>
    <row r="131" spans="1:4" ht="12.75">
      <c r="A131" s="2" t="s">
        <v>26</v>
      </c>
      <c r="B131" s="8">
        <f>SUM(B128:B130)</f>
        <v>102000</v>
      </c>
      <c r="C131" s="8">
        <f>SUM(C128:C130)</f>
        <v>32100</v>
      </c>
      <c r="D131" s="8">
        <f>SUM(D128:D130)</f>
        <v>134100</v>
      </c>
    </row>
    <row r="132" spans="1:4" ht="12.75">
      <c r="A132" s="2"/>
      <c r="B132" s="8"/>
      <c r="C132" s="8"/>
      <c r="D132" s="8"/>
    </row>
    <row r="133" spans="1:4" ht="12.75">
      <c r="A133" s="3">
        <v>49430</v>
      </c>
      <c r="B133" s="7">
        <v>107000</v>
      </c>
      <c r="C133" s="7">
        <v>14775</v>
      </c>
      <c r="D133" s="7">
        <f>SUM(B133:C133)</f>
        <v>121775</v>
      </c>
    </row>
    <row r="134" spans="1:4" ht="12.75">
      <c r="A134" s="3">
        <v>49614</v>
      </c>
      <c r="B134" s="7">
        <v>0</v>
      </c>
      <c r="C134" s="7">
        <v>12100</v>
      </c>
      <c r="D134" s="7">
        <f>SUM(B134:C134)</f>
        <v>12100</v>
      </c>
    </row>
    <row r="135" spans="2:4" ht="12.75">
      <c r="B135" s="7"/>
      <c r="C135" s="7"/>
      <c r="D135" s="7"/>
    </row>
    <row r="136" spans="1:4" ht="12.75">
      <c r="A136" s="2" t="s">
        <v>28</v>
      </c>
      <c r="B136" s="8">
        <f>SUM(B133:B135)</f>
        <v>107000</v>
      </c>
      <c r="C136" s="8">
        <f>SUM(C133:C135)</f>
        <v>26875</v>
      </c>
      <c r="D136" s="8">
        <f>SUM(D133:D135)</f>
        <v>133875</v>
      </c>
    </row>
    <row r="137" spans="1:4" ht="12.75">
      <c r="A137" s="2"/>
      <c r="B137" s="8"/>
      <c r="C137" s="8"/>
      <c r="D137" s="8"/>
    </row>
    <row r="138" spans="1:4" ht="12.75">
      <c r="A138" s="3">
        <v>49796</v>
      </c>
      <c r="B138" s="7">
        <v>112000</v>
      </c>
      <c r="C138" s="7">
        <v>12100</v>
      </c>
      <c r="D138" s="7">
        <f>SUM(B138:C138)</f>
        <v>124100</v>
      </c>
    </row>
    <row r="139" spans="1:4" ht="12.75">
      <c r="A139" s="3">
        <v>49980</v>
      </c>
      <c r="B139" s="7">
        <v>0</v>
      </c>
      <c r="C139" s="7">
        <v>9300</v>
      </c>
      <c r="D139" s="7">
        <f>SUM(B139:C139)</f>
        <v>9300</v>
      </c>
    </row>
    <row r="140" spans="2:4" ht="12.75">
      <c r="B140" s="7"/>
      <c r="C140" s="7"/>
      <c r="D140" s="7"/>
    </row>
    <row r="141" spans="1:4" ht="12.75">
      <c r="A141" s="2" t="s">
        <v>29</v>
      </c>
      <c r="B141" s="8">
        <f>SUM(B138:B140)</f>
        <v>112000</v>
      </c>
      <c r="C141" s="8">
        <f>SUM(C138:C140)</f>
        <v>21400</v>
      </c>
      <c r="D141" s="8">
        <f>SUM(D138:D140)</f>
        <v>133400</v>
      </c>
    </row>
    <row r="142" spans="1:4" ht="12.75">
      <c r="A142" s="2"/>
      <c r="B142" s="8"/>
      <c r="C142" s="8"/>
      <c r="D142" s="8"/>
    </row>
    <row r="143" spans="1:4" ht="12.75">
      <c r="A143" s="3">
        <v>50161</v>
      </c>
      <c r="B143" s="7">
        <v>118000</v>
      </c>
      <c r="C143" s="7">
        <v>9300</v>
      </c>
      <c r="D143" s="7">
        <f>SUM(B143:C143)</f>
        <v>127300</v>
      </c>
    </row>
    <row r="144" spans="1:4" ht="12.75">
      <c r="A144" s="3">
        <v>50345</v>
      </c>
      <c r="B144" s="7">
        <v>0</v>
      </c>
      <c r="C144" s="7">
        <v>6350</v>
      </c>
      <c r="D144" s="7">
        <f>SUM(B144:C144)</f>
        <v>6350</v>
      </c>
    </row>
    <row r="145" spans="2:4" ht="12.75">
      <c r="B145" s="7"/>
      <c r="C145" s="7"/>
      <c r="D145" s="7"/>
    </row>
    <row r="146" spans="1:4" ht="12.75">
      <c r="A146" s="2" t="s">
        <v>30</v>
      </c>
      <c r="B146" s="8">
        <f>SUM(B143:B145)</f>
        <v>118000</v>
      </c>
      <c r="C146" s="8">
        <f>SUM(C143:C145)</f>
        <v>15650</v>
      </c>
      <c r="D146" s="8">
        <f>SUM(D143:D145)</f>
        <v>133650</v>
      </c>
    </row>
    <row r="147" spans="1:4" ht="12.75">
      <c r="A147" s="2"/>
      <c r="B147" s="8"/>
      <c r="C147" s="8"/>
      <c r="D147" s="8"/>
    </row>
    <row r="148" spans="1:4" ht="12.75">
      <c r="A148" s="3">
        <v>50526</v>
      </c>
      <c r="B148" s="7">
        <v>124000</v>
      </c>
      <c r="C148" s="7">
        <v>6350</v>
      </c>
      <c r="D148" s="7">
        <f>SUM(B148:C148)</f>
        <v>130350</v>
      </c>
    </row>
    <row r="149" spans="1:4" ht="12.75">
      <c r="A149" s="3">
        <v>50710</v>
      </c>
      <c r="B149" s="7">
        <v>0</v>
      </c>
      <c r="C149" s="7">
        <v>3250</v>
      </c>
      <c r="D149" s="7">
        <f>SUM(B149:C149)</f>
        <v>3250</v>
      </c>
    </row>
    <row r="150" spans="2:4" ht="12.75">
      <c r="B150" s="7"/>
      <c r="C150" s="7"/>
      <c r="D150" s="7"/>
    </row>
    <row r="151" spans="1:4" ht="12.75">
      <c r="A151" s="2" t="s">
        <v>31</v>
      </c>
      <c r="B151" s="8">
        <f>SUM(B148:B150)</f>
        <v>124000</v>
      </c>
      <c r="C151" s="8">
        <f>SUM(C148:C150)</f>
        <v>9600</v>
      </c>
      <c r="D151" s="8">
        <f>SUM(D148:D150)</f>
        <v>133600</v>
      </c>
    </row>
    <row r="152" spans="1:4" ht="12.75">
      <c r="A152" s="2"/>
      <c r="B152" s="8"/>
      <c r="C152" s="8"/>
      <c r="D152" s="8"/>
    </row>
    <row r="153" spans="1:4" ht="12.75">
      <c r="A153" s="3">
        <v>50891</v>
      </c>
      <c r="B153" s="7">
        <v>130000</v>
      </c>
      <c r="C153" s="7">
        <v>3250</v>
      </c>
      <c r="D153" s="7">
        <f>SUM(B153:C153)</f>
        <v>133250</v>
      </c>
    </row>
    <row r="154" spans="1:4" ht="12.75">
      <c r="A154" s="2" t="s">
        <v>32</v>
      </c>
      <c r="B154" s="8">
        <f>B153</f>
        <v>130000</v>
      </c>
      <c r="C154" s="8">
        <f>C153</f>
        <v>3250</v>
      </c>
      <c r="D154" s="8">
        <f>SUM(D153)</f>
        <v>133250</v>
      </c>
    </row>
    <row r="155" spans="1:4" ht="12.75">
      <c r="A155" s="2" t="s">
        <v>27</v>
      </c>
      <c r="B155" s="8">
        <f>SUMIF(A1:A154,"Total*",B1:B154)</f>
        <v>1873000</v>
      </c>
      <c r="C155" s="8">
        <f>SUMIF(A1:A154,"Total*",C1:C154)</f>
        <v>1386750</v>
      </c>
      <c r="D155" s="8">
        <f>B155+C155</f>
        <v>3259750</v>
      </c>
    </row>
  </sheetData>
  <sheetProtection/>
  <mergeCells count="3">
    <mergeCell ref="A1:D1"/>
    <mergeCell ref="A53:D53"/>
    <mergeCell ref="A104:D104"/>
  </mergeCells>
  <printOptions gridLines="1" horizontalCentered="1"/>
  <pageMargins left="0.25" right="0.25" top="1" bottom="1" header="0.5" footer="0.5"/>
  <pageSetup horizontalDpi="600" verticalDpi="600" orientation="portrait" scale="98" r:id="rId1"/>
  <rowBreaks count="2" manualBreakCount="2">
    <brk id="51" max="255" man="1"/>
    <brk id="1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51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2001A Defeased 2012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12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2" t="s">
        <v>27</v>
      </c>
      <c r="B87" s="8">
        <f>SUMIF(A1:A85,"Total*",B1:B85)</f>
        <v>0</v>
      </c>
      <c r="C87" s="8">
        <f>SUMIF(A1:A85,"Total*",C1:C85)</f>
        <v>0</v>
      </c>
      <c r="D87" s="8">
        <f>B87+C87</f>
        <v>0</v>
      </c>
    </row>
  </sheetData>
  <sheetProtection/>
  <mergeCells count="2">
    <mergeCell ref="A1:D1"/>
    <mergeCell ref="A53:D53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52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2002A Defeased 2012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12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0</v>
      </c>
      <c r="C87" s="7">
        <v>0</v>
      </c>
      <c r="D87" s="7">
        <f>SUM(B87:C87)</f>
        <v>0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0</v>
      </c>
      <c r="C90" s="8">
        <f>SUM(C87:C89)</f>
        <v>0</v>
      </c>
      <c r="D90" s="8">
        <f>SUM(D87:D89)</f>
        <v>0</v>
      </c>
    </row>
    <row r="91" spans="1:4" ht="12.75">
      <c r="A91" s="2"/>
      <c r="B91" s="8"/>
      <c r="C91" s="8"/>
      <c r="D91" s="8"/>
    </row>
    <row r="92" spans="1:4" ht="12.75">
      <c r="A92" s="2" t="s">
        <v>27</v>
      </c>
      <c r="B92" s="8">
        <f>SUMIF(A1:A90,"Total*",B1:B90)</f>
        <v>0</v>
      </c>
      <c r="C92" s="8">
        <f>SUMIF(A1:A90,"Total*",C1:C90)</f>
        <v>0</v>
      </c>
      <c r="D92" s="8">
        <f>B92+C92</f>
        <v>0</v>
      </c>
    </row>
  </sheetData>
  <sheetProtection/>
  <mergeCells count="2">
    <mergeCell ref="A1:D1"/>
    <mergeCell ref="A53:D53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55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2002B Defeased 2013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12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0</v>
      </c>
      <c r="C87" s="7">
        <v>0</v>
      </c>
      <c r="D87" s="7">
        <f>SUM(B87:C87)</f>
        <v>0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0</v>
      </c>
      <c r="C90" s="8">
        <f>SUM(C87:C89)</f>
        <v>0</v>
      </c>
      <c r="D90" s="8">
        <f>SUM(D87:D89)</f>
        <v>0</v>
      </c>
    </row>
    <row r="91" spans="1:4" ht="12.75">
      <c r="A91" s="2"/>
      <c r="B91" s="8"/>
      <c r="C91" s="8"/>
      <c r="D91" s="8"/>
    </row>
    <row r="92" spans="1:4" ht="12.75">
      <c r="A92" s="2" t="s">
        <v>27</v>
      </c>
      <c r="B92" s="8">
        <f>SUMIF(A1:A90,"Total*",B1:B90)</f>
        <v>0</v>
      </c>
      <c r="C92" s="8">
        <f>SUMIF(A1:A90,"Total*",C1:C90)</f>
        <v>0</v>
      </c>
      <c r="D92" s="8">
        <f>B92+C92</f>
        <v>0</v>
      </c>
    </row>
  </sheetData>
  <sheetProtection/>
  <mergeCells count="2">
    <mergeCell ref="A1:D1"/>
    <mergeCell ref="A53:D53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56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2003A Defeased 2013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12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0</v>
      </c>
      <c r="C87" s="7">
        <v>0</v>
      </c>
      <c r="D87" s="7">
        <f>SUM(B87:C87)</f>
        <v>0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0</v>
      </c>
      <c r="C90" s="8">
        <f>SUM(C87:C89)</f>
        <v>0</v>
      </c>
      <c r="D90" s="8">
        <f>SUM(D87:D89)</f>
        <v>0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0</v>
      </c>
      <c r="C92" s="7">
        <v>0</v>
      </c>
      <c r="D92" s="7">
        <f>SUM(B92:C92)</f>
        <v>0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0</v>
      </c>
      <c r="C95" s="8">
        <f>SUM(C92:C94)</f>
        <v>0</v>
      </c>
      <c r="D95" s="8">
        <f>SUM(D92:D94)</f>
        <v>0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0</v>
      </c>
      <c r="C97" s="7">
        <v>0</v>
      </c>
      <c r="D97" s="7">
        <f>SUM(B97:C97)</f>
        <v>0</v>
      </c>
    </row>
    <row r="98" spans="1:4" ht="12.75">
      <c r="A98" s="3">
        <v>47331</v>
      </c>
      <c r="B98" s="7">
        <v>0</v>
      </c>
      <c r="C98" s="7">
        <v>0</v>
      </c>
      <c r="D98" s="7">
        <f>SUM(B98:C98)</f>
        <v>0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0</v>
      </c>
      <c r="C100" s="8">
        <f>SUM(C97:C99)</f>
        <v>0</v>
      </c>
      <c r="D100" s="8">
        <f>SUM(D97:D99)</f>
        <v>0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2003A Defeased 2013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0</v>
      </c>
      <c r="C109" s="7">
        <v>0</v>
      </c>
      <c r="D109" s="7">
        <f>SUM(B109:C109)</f>
        <v>0</v>
      </c>
    </row>
    <row r="110" spans="1:4" ht="12.75">
      <c r="A110" s="3">
        <v>47696</v>
      </c>
      <c r="B110" s="7">
        <v>0</v>
      </c>
      <c r="C110" s="7">
        <v>0</v>
      </c>
      <c r="D110" s="7">
        <f>SUM(B110:C110)</f>
        <v>0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0</v>
      </c>
      <c r="C112" s="8">
        <f>SUM(C109:C111)</f>
        <v>0</v>
      </c>
      <c r="D112" s="8">
        <f>SUM(D109:D111)</f>
        <v>0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0</v>
      </c>
      <c r="C114" s="7">
        <v>0</v>
      </c>
      <c r="D114" s="7">
        <f>SUM(B114:C114)</f>
        <v>0</v>
      </c>
    </row>
    <row r="115" spans="1:4" ht="12.75">
      <c r="A115" s="3">
        <v>48061</v>
      </c>
      <c r="B115" s="7">
        <v>0</v>
      </c>
      <c r="C115" s="7">
        <v>0</v>
      </c>
      <c r="D115" s="7">
        <f>SUM(B115:C115)</f>
        <v>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0</v>
      </c>
      <c r="C117" s="8">
        <f>SUM(C114:C116)</f>
        <v>0</v>
      </c>
      <c r="D117" s="8">
        <f>SUM(D114:D116)</f>
        <v>0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0</v>
      </c>
      <c r="C119" s="7">
        <v>0</v>
      </c>
      <c r="D119" s="7">
        <f>SUM(B119:C119)</f>
        <v>0</v>
      </c>
    </row>
    <row r="120" spans="1:4" ht="12.75">
      <c r="A120" s="3">
        <v>48427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24</v>
      </c>
      <c r="B122" s="8">
        <f>SUM(B119:B121)</f>
        <v>0</v>
      </c>
      <c r="C122" s="8">
        <f>SUM(C119:C121)</f>
        <v>0</v>
      </c>
      <c r="D122" s="8">
        <f>SUM(D119:D121)</f>
        <v>0</v>
      </c>
    </row>
    <row r="123" spans="1:4" ht="12.75">
      <c r="A123" s="2"/>
      <c r="B123" s="8"/>
      <c r="C123" s="8"/>
      <c r="D123" s="8"/>
    </row>
    <row r="124" spans="1:4" ht="12.75">
      <c r="A124" s="2"/>
      <c r="B124" s="8"/>
      <c r="C124" s="8"/>
      <c r="D124" s="8"/>
    </row>
    <row r="125" spans="1:4" ht="12.75">
      <c r="A125" s="2" t="s">
        <v>27</v>
      </c>
      <c r="B125" s="8">
        <f>SUMIF(A1:A122,"Total*",B1:B122)</f>
        <v>0</v>
      </c>
      <c r="C125" s="8">
        <f>SUMIF(A1:A122,"Total*",C1:C122)</f>
        <v>0</v>
      </c>
      <c r="D125" s="8">
        <f>B125+C125</f>
        <v>0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3.7109375" style="4" customWidth="1"/>
    <col min="2" max="2" width="12.8515625" style="6" customWidth="1"/>
    <col min="3" max="3" width="12.7109375" style="6" customWidth="1"/>
    <col min="4" max="4" width="13.8515625" style="6" customWidth="1"/>
  </cols>
  <sheetData>
    <row r="1" spans="1:4" ht="12.75">
      <c r="A1" s="10" t="s">
        <v>57</v>
      </c>
      <c r="B1" s="10"/>
      <c r="C1" s="10"/>
      <c r="D1" s="10"/>
    </row>
    <row r="3" spans="1:4" ht="12.75">
      <c r="A3" s="2" t="s">
        <v>0</v>
      </c>
      <c r="B3" s="5" t="s">
        <v>1</v>
      </c>
      <c r="C3" s="5" t="s">
        <v>3</v>
      </c>
      <c r="D3" s="5" t="s">
        <v>4</v>
      </c>
    </row>
    <row r="5" spans="1:4" ht="12.75">
      <c r="A5" s="3">
        <v>40940</v>
      </c>
      <c r="B5" s="7">
        <v>0</v>
      </c>
      <c r="C5" s="7">
        <v>0</v>
      </c>
      <c r="D5" s="7">
        <f>SUM(B5:C5)</f>
        <v>0</v>
      </c>
    </row>
    <row r="6" spans="1:4" ht="12.75">
      <c r="A6" s="3">
        <v>41122</v>
      </c>
      <c r="B6" s="7">
        <v>0</v>
      </c>
      <c r="C6" s="7">
        <v>0</v>
      </c>
      <c r="D6" s="7">
        <f>SUM(B6:C6)</f>
        <v>0</v>
      </c>
    </row>
    <row r="7" spans="2:4" ht="12.75">
      <c r="B7" s="7"/>
      <c r="C7" s="7"/>
      <c r="D7" s="7"/>
    </row>
    <row r="8" spans="1:4" ht="12.75">
      <c r="A8" s="2" t="s">
        <v>2</v>
      </c>
      <c r="B8" s="8">
        <f>SUM(B5:B7)</f>
        <v>0</v>
      </c>
      <c r="C8" s="8">
        <f>SUM(C5:C7)</f>
        <v>0</v>
      </c>
      <c r="D8" s="8">
        <f>SUM(D5:D7)</f>
        <v>0</v>
      </c>
    </row>
    <row r="9" spans="2:4" ht="12.75">
      <c r="B9" s="7"/>
      <c r="C9" s="7"/>
      <c r="D9" s="7"/>
    </row>
    <row r="10" spans="1:4" ht="12.75">
      <c r="A10" s="3">
        <v>41306</v>
      </c>
      <c r="B10" s="7">
        <v>0</v>
      </c>
      <c r="C10" s="7">
        <v>0</v>
      </c>
      <c r="D10" s="7">
        <f>SUM(B10:C10)</f>
        <v>0</v>
      </c>
    </row>
    <row r="11" spans="1:4" ht="12.75">
      <c r="A11" s="3">
        <v>41487</v>
      </c>
      <c r="B11" s="7">
        <v>0</v>
      </c>
      <c r="C11" s="7">
        <v>0</v>
      </c>
      <c r="D11" s="7">
        <f>SUM(B11:C11)</f>
        <v>0</v>
      </c>
    </row>
    <row r="12" spans="2:4" ht="12.75">
      <c r="B12" s="7"/>
      <c r="C12" s="7"/>
      <c r="D12" s="7"/>
    </row>
    <row r="13" spans="1:4" ht="12.75">
      <c r="A13" s="2" t="s">
        <v>5</v>
      </c>
      <c r="B13" s="8">
        <f>SUM(B10:B12)</f>
        <v>0</v>
      </c>
      <c r="C13" s="8">
        <f>SUM(C10:C12)</f>
        <v>0</v>
      </c>
      <c r="D13" s="8">
        <f>SUM(D10:D12)</f>
        <v>0</v>
      </c>
    </row>
    <row r="14" spans="2:4" ht="12.75">
      <c r="B14" s="7"/>
      <c r="C14" s="7"/>
      <c r="D14" s="7"/>
    </row>
    <row r="15" spans="1:4" ht="12.75">
      <c r="A15" s="3">
        <v>41671</v>
      </c>
      <c r="B15" s="7">
        <v>0</v>
      </c>
      <c r="C15" s="7">
        <v>0</v>
      </c>
      <c r="D15" s="7">
        <f>SUM(B15:C15)</f>
        <v>0</v>
      </c>
    </row>
    <row r="16" spans="1:4" ht="12.75">
      <c r="A16" s="3">
        <v>41852</v>
      </c>
      <c r="B16" s="7">
        <v>0</v>
      </c>
      <c r="C16" s="7">
        <v>0</v>
      </c>
      <c r="D16" s="7">
        <f>SUM(B16:C16)</f>
        <v>0</v>
      </c>
    </row>
    <row r="17" spans="2:4" ht="12.75">
      <c r="B17" s="7"/>
      <c r="C17" s="7"/>
      <c r="D17" s="7"/>
    </row>
    <row r="18" spans="1:4" ht="12.75">
      <c r="A18" s="2" t="s">
        <v>6</v>
      </c>
      <c r="B18" s="8">
        <f>SUM(B15:B17)</f>
        <v>0</v>
      </c>
      <c r="C18" s="8">
        <f>SUM(C15:C17)</f>
        <v>0</v>
      </c>
      <c r="D18" s="8">
        <f>SUM(D15:D17)</f>
        <v>0</v>
      </c>
    </row>
    <row r="19" spans="2:4" ht="12.75">
      <c r="B19" s="7"/>
      <c r="C19" s="7"/>
      <c r="D19" s="7"/>
    </row>
    <row r="20" spans="1:4" ht="12.75">
      <c r="A20" s="3">
        <v>42036</v>
      </c>
      <c r="B20" s="7">
        <v>0</v>
      </c>
      <c r="C20" s="7">
        <v>0</v>
      </c>
      <c r="D20" s="7">
        <f>SUM(B20:C20)</f>
        <v>0</v>
      </c>
    </row>
    <row r="21" spans="1:4" ht="12.75">
      <c r="A21" s="3">
        <v>42217</v>
      </c>
      <c r="B21" s="7">
        <v>0</v>
      </c>
      <c r="C21" s="7">
        <v>0</v>
      </c>
      <c r="D21" s="7">
        <f>SUM(B21:C21)</f>
        <v>0</v>
      </c>
    </row>
    <row r="22" spans="2:4" ht="12.75">
      <c r="B22" s="7"/>
      <c r="C22" s="7"/>
      <c r="D22" s="7"/>
    </row>
    <row r="23" spans="1:4" ht="12.75">
      <c r="A23" s="2" t="s">
        <v>7</v>
      </c>
      <c r="B23" s="8">
        <f>SUM(B20:B22)</f>
        <v>0</v>
      </c>
      <c r="C23" s="8">
        <f>SUM(C20:C22)</f>
        <v>0</v>
      </c>
      <c r="D23" s="8">
        <f>SUM(D20:D22)</f>
        <v>0</v>
      </c>
    </row>
    <row r="24" spans="2:4" ht="12.75">
      <c r="B24" s="7"/>
      <c r="C24" s="7"/>
      <c r="D24" s="7"/>
    </row>
    <row r="25" spans="1:4" ht="12.75">
      <c r="A25" s="3">
        <v>42401</v>
      </c>
      <c r="B25" s="7">
        <v>0</v>
      </c>
      <c r="C25" s="7">
        <v>0</v>
      </c>
      <c r="D25" s="7">
        <f>SUM(B25:C25)</f>
        <v>0</v>
      </c>
    </row>
    <row r="26" spans="1:4" ht="12.75">
      <c r="A26" s="3">
        <v>42583</v>
      </c>
      <c r="B26" s="7">
        <v>0</v>
      </c>
      <c r="C26" s="7">
        <v>0</v>
      </c>
      <c r="D26" s="7">
        <f>SUM(B26:C26)</f>
        <v>0</v>
      </c>
    </row>
    <row r="27" spans="2:4" ht="12.75">
      <c r="B27" s="7"/>
      <c r="C27" s="7"/>
      <c r="D27" s="7"/>
    </row>
    <row r="28" spans="1:4" ht="12.75">
      <c r="A28" s="2" t="s">
        <v>8</v>
      </c>
      <c r="B28" s="8">
        <f>SUM(B25:B27)</f>
        <v>0</v>
      </c>
      <c r="C28" s="8">
        <f>SUM(C25:C27)</f>
        <v>0</v>
      </c>
      <c r="D28" s="8">
        <f>SUM(D25:D27)</f>
        <v>0</v>
      </c>
    </row>
    <row r="29" spans="2:4" ht="12.75">
      <c r="B29" s="7"/>
      <c r="C29" s="7"/>
      <c r="D29" s="7"/>
    </row>
    <row r="30" spans="1:4" ht="12.75">
      <c r="A30" s="3">
        <v>42767</v>
      </c>
      <c r="B30" s="7">
        <v>0</v>
      </c>
      <c r="C30" s="7">
        <v>0</v>
      </c>
      <c r="D30" s="7">
        <f>SUM(B30:C30)</f>
        <v>0</v>
      </c>
    </row>
    <row r="31" spans="1:4" ht="12.75">
      <c r="A31" s="3">
        <v>42948</v>
      </c>
      <c r="B31" s="7">
        <v>0</v>
      </c>
      <c r="C31" s="7">
        <v>0</v>
      </c>
      <c r="D31" s="7">
        <f>SUM(B31:C31)</f>
        <v>0</v>
      </c>
    </row>
    <row r="32" spans="2:4" ht="12.75">
      <c r="B32" s="7"/>
      <c r="C32" s="7"/>
      <c r="D32" s="7"/>
    </row>
    <row r="33" spans="1:4" ht="12.75">
      <c r="A33" s="2" t="s">
        <v>9</v>
      </c>
      <c r="B33" s="8">
        <f>SUM(B30:B32)</f>
        <v>0</v>
      </c>
      <c r="C33" s="8">
        <f>SUM(C30:C32)</f>
        <v>0</v>
      </c>
      <c r="D33" s="8">
        <f>SUM(D30:D32)</f>
        <v>0</v>
      </c>
    </row>
    <row r="34" spans="2:4" ht="12.75">
      <c r="B34" s="7"/>
      <c r="C34" s="7"/>
      <c r="D34" s="7"/>
    </row>
    <row r="35" spans="1:4" ht="12.75">
      <c r="A35" s="3">
        <v>43132</v>
      </c>
      <c r="B35" s="7">
        <v>0</v>
      </c>
      <c r="C35" s="7">
        <v>0</v>
      </c>
      <c r="D35" s="7">
        <f>SUM(B35:C35)</f>
        <v>0</v>
      </c>
    </row>
    <row r="36" spans="1:4" ht="12.75">
      <c r="A36" s="3">
        <v>43313</v>
      </c>
      <c r="B36" s="7">
        <v>0</v>
      </c>
      <c r="C36" s="7">
        <v>0</v>
      </c>
      <c r="D36" s="7">
        <f>SUM(B36:C36)</f>
        <v>0</v>
      </c>
    </row>
    <row r="37" spans="2:4" ht="12.75">
      <c r="B37" s="7"/>
      <c r="C37" s="7"/>
      <c r="D37" s="7"/>
    </row>
    <row r="38" spans="1:4" ht="12.75">
      <c r="A38" s="2" t="s">
        <v>10</v>
      </c>
      <c r="B38" s="8">
        <f>SUM(B35:B37)</f>
        <v>0</v>
      </c>
      <c r="C38" s="8">
        <f>SUM(C35:C37)</f>
        <v>0</v>
      </c>
      <c r="D38" s="8">
        <f>SUM(D35:D37)</f>
        <v>0</v>
      </c>
    </row>
    <row r="39" spans="2:4" ht="12.75">
      <c r="B39" s="7"/>
      <c r="C39" s="7"/>
      <c r="D39" s="7"/>
    </row>
    <row r="40" spans="1:4" ht="12.75">
      <c r="A40" s="3">
        <v>43497</v>
      </c>
      <c r="B40" s="7">
        <v>0</v>
      </c>
      <c r="C40" s="7">
        <v>0</v>
      </c>
      <c r="D40" s="7">
        <f>SUM(B40:C40)</f>
        <v>0</v>
      </c>
    </row>
    <row r="41" spans="1:4" ht="12.75">
      <c r="A41" s="3">
        <v>43678</v>
      </c>
      <c r="B41" s="7">
        <v>0</v>
      </c>
      <c r="C41" s="7">
        <v>0</v>
      </c>
      <c r="D41" s="7">
        <f>SUM(B41:C41)</f>
        <v>0</v>
      </c>
    </row>
    <row r="42" spans="2:4" ht="12.75">
      <c r="B42" s="7"/>
      <c r="C42" s="7"/>
      <c r="D42" s="7"/>
    </row>
    <row r="43" spans="1:4" ht="12.75">
      <c r="A43" s="2" t="s">
        <v>11</v>
      </c>
      <c r="B43" s="8">
        <f>SUM(B40:B42)</f>
        <v>0</v>
      </c>
      <c r="C43" s="8">
        <f>SUM(C40:C42)</f>
        <v>0</v>
      </c>
      <c r="D43" s="8">
        <f>SUM(D40:D42)</f>
        <v>0</v>
      </c>
    </row>
    <row r="44" spans="2:4" ht="12.75">
      <c r="B44" s="7"/>
      <c r="C44" s="7"/>
      <c r="D44" s="7"/>
    </row>
    <row r="45" spans="1:4" ht="12.75">
      <c r="A45" s="3">
        <v>43862</v>
      </c>
      <c r="B45" s="7">
        <v>0</v>
      </c>
      <c r="C45" s="7">
        <v>0</v>
      </c>
      <c r="D45" s="7">
        <f>SUM(B45:C45)</f>
        <v>0</v>
      </c>
    </row>
    <row r="46" spans="1:4" ht="12.75">
      <c r="A46" s="3">
        <v>44044</v>
      </c>
      <c r="B46" s="7">
        <v>0</v>
      </c>
      <c r="C46" s="7">
        <v>0</v>
      </c>
      <c r="D46" s="7">
        <f>SUM(B46:C46)</f>
        <v>0</v>
      </c>
    </row>
    <row r="47" spans="2:4" ht="12.75">
      <c r="B47" s="7"/>
      <c r="C47" s="7"/>
      <c r="D47" s="7"/>
    </row>
    <row r="48" spans="1:4" ht="12.75">
      <c r="A48" s="2" t="s">
        <v>12</v>
      </c>
      <c r="B48" s="8">
        <f>SUM(B45:B47)</f>
        <v>0</v>
      </c>
      <c r="C48" s="8">
        <f>SUM(C45:C47)</f>
        <v>0</v>
      </c>
      <c r="D48" s="8">
        <f>SUM(D45:D47)</f>
        <v>0</v>
      </c>
    </row>
    <row r="53" spans="1:4" ht="12.75">
      <c r="A53" s="10" t="str">
        <f>A1</f>
        <v>Series 2003B Defeased 2013</v>
      </c>
      <c r="B53" s="10"/>
      <c r="C53" s="10"/>
      <c r="D53" s="10"/>
    </row>
    <row r="55" spans="1:4" ht="12.75">
      <c r="A55" s="2" t="s">
        <v>0</v>
      </c>
      <c r="B55" s="5" t="s">
        <v>1</v>
      </c>
      <c r="C55" s="5" t="s">
        <v>3</v>
      </c>
      <c r="D55" s="5" t="s">
        <v>4</v>
      </c>
    </row>
    <row r="57" spans="1:4" ht="12.75">
      <c r="A57" s="3">
        <v>44228</v>
      </c>
      <c r="B57" s="7">
        <v>0</v>
      </c>
      <c r="C57" s="7">
        <v>0</v>
      </c>
      <c r="D57" s="7">
        <f>SUM(B57:C57)</f>
        <v>0</v>
      </c>
    </row>
    <row r="58" spans="1:4" ht="12.75">
      <c r="A58" s="3">
        <v>44409</v>
      </c>
      <c r="B58" s="7">
        <v>0</v>
      </c>
      <c r="C58" s="7">
        <v>0</v>
      </c>
      <c r="D58" s="7">
        <f>SUM(B58:C58)</f>
        <v>0</v>
      </c>
    </row>
    <row r="59" spans="2:4" ht="12.75">
      <c r="B59" s="7"/>
      <c r="C59" s="7"/>
      <c r="D59" s="7"/>
    </row>
    <row r="60" spans="1:4" ht="12.75">
      <c r="A60" s="2" t="s">
        <v>33</v>
      </c>
      <c r="B60" s="8">
        <f>SUM(B57:B59)</f>
        <v>0</v>
      </c>
      <c r="C60" s="8">
        <f>SUM(C57:C59)</f>
        <v>0</v>
      </c>
      <c r="D60" s="8">
        <f>SUM(D57:D59)</f>
        <v>0</v>
      </c>
    </row>
    <row r="61" spans="2:4" ht="12.75">
      <c r="B61" s="7"/>
      <c r="C61" s="7"/>
      <c r="D61" s="7"/>
    </row>
    <row r="62" spans="1:4" ht="12.75">
      <c r="A62" s="3">
        <v>44593</v>
      </c>
      <c r="B62" s="7">
        <v>0</v>
      </c>
      <c r="C62" s="7">
        <v>0</v>
      </c>
      <c r="D62" s="7">
        <f>SUM(B62:C62)</f>
        <v>0</v>
      </c>
    </row>
    <row r="63" spans="1:4" ht="12.75">
      <c r="A63" s="3">
        <v>44774</v>
      </c>
      <c r="B63" s="7">
        <v>0</v>
      </c>
      <c r="C63" s="7">
        <v>0</v>
      </c>
      <c r="D63" s="7">
        <f>SUM(B63:C63)</f>
        <v>0</v>
      </c>
    </row>
    <row r="64" spans="2:4" ht="12.75">
      <c r="B64" s="7"/>
      <c r="C64" s="7"/>
      <c r="D64" s="7"/>
    </row>
    <row r="65" spans="1:4" ht="12.75">
      <c r="A65" s="2" t="s">
        <v>13</v>
      </c>
      <c r="B65" s="8">
        <f>SUM(B62:B64)</f>
        <v>0</v>
      </c>
      <c r="C65" s="8">
        <f>SUM(C62:C64)</f>
        <v>0</v>
      </c>
      <c r="D65" s="8">
        <f>SUM(D62:D64)</f>
        <v>0</v>
      </c>
    </row>
    <row r="66" spans="2:4" ht="12.75">
      <c r="B66" s="7"/>
      <c r="C66" s="7"/>
      <c r="D66" s="7"/>
    </row>
    <row r="67" spans="1:4" ht="12.75">
      <c r="A67" s="3">
        <v>44958</v>
      </c>
      <c r="B67" s="7">
        <v>0</v>
      </c>
      <c r="C67" s="7">
        <v>0</v>
      </c>
      <c r="D67" s="7">
        <f>SUM(B67:C67)</f>
        <v>0</v>
      </c>
    </row>
    <row r="68" spans="1:4" ht="12.75">
      <c r="A68" s="3">
        <v>45139</v>
      </c>
      <c r="B68" s="7">
        <v>0</v>
      </c>
      <c r="C68" s="7">
        <v>0</v>
      </c>
      <c r="D68" s="7">
        <f>SUM(B68:C68)</f>
        <v>0</v>
      </c>
    </row>
    <row r="69" spans="2:4" ht="12.75">
      <c r="B69" s="7"/>
      <c r="C69" s="7"/>
      <c r="D69" s="7"/>
    </row>
    <row r="70" spans="1:4" ht="12.75">
      <c r="A70" s="2" t="s">
        <v>14</v>
      </c>
      <c r="B70" s="8">
        <f>SUM(B67:B69)</f>
        <v>0</v>
      </c>
      <c r="C70" s="8">
        <f>SUM(C67:C69)</f>
        <v>0</v>
      </c>
      <c r="D70" s="8">
        <f>SUM(D67:D69)</f>
        <v>0</v>
      </c>
    </row>
    <row r="71" spans="2:4" ht="12.75">
      <c r="B71" s="7"/>
      <c r="C71" s="7"/>
      <c r="D71" s="7"/>
    </row>
    <row r="72" spans="1:4" ht="12.75">
      <c r="A72" s="3">
        <v>45323</v>
      </c>
      <c r="B72" s="7">
        <v>0</v>
      </c>
      <c r="C72" s="7">
        <v>0</v>
      </c>
      <c r="D72" s="7">
        <f>SUM(B72:C72)</f>
        <v>0</v>
      </c>
    </row>
    <row r="73" spans="1:4" ht="12.75">
      <c r="A73" s="3">
        <v>45505</v>
      </c>
      <c r="B73" s="7">
        <v>0</v>
      </c>
      <c r="C73" s="7">
        <v>0</v>
      </c>
      <c r="D73" s="7">
        <f>SUM(B73:C73)</f>
        <v>0</v>
      </c>
    </row>
    <row r="74" spans="2:4" ht="12.75">
      <c r="B74" s="7"/>
      <c r="C74" s="7"/>
      <c r="D74" s="7"/>
    </row>
    <row r="75" spans="1:4" ht="12.75">
      <c r="A75" s="2" t="s">
        <v>15</v>
      </c>
      <c r="B75" s="8">
        <f>SUM(B72:B74)</f>
        <v>0</v>
      </c>
      <c r="C75" s="8">
        <f>SUM(C72:C74)</f>
        <v>0</v>
      </c>
      <c r="D75" s="8">
        <f>SUM(D72:D74)</f>
        <v>0</v>
      </c>
    </row>
    <row r="76" spans="2:4" ht="12.75">
      <c r="B76" s="7"/>
      <c r="C76" s="7"/>
      <c r="D76" s="7"/>
    </row>
    <row r="77" spans="1:4" ht="12.75">
      <c r="A77" s="3">
        <v>45689</v>
      </c>
      <c r="B77" s="7">
        <v>0</v>
      </c>
      <c r="C77" s="7">
        <v>0</v>
      </c>
      <c r="D77" s="7">
        <f>SUM(B77:C77)</f>
        <v>0</v>
      </c>
    </row>
    <row r="78" spans="1:4" ht="12.75">
      <c r="A78" s="3">
        <v>45870</v>
      </c>
      <c r="B78" s="7">
        <v>0</v>
      </c>
      <c r="C78" s="7">
        <v>0</v>
      </c>
      <c r="D78" s="7">
        <f>SUM(B78:C78)</f>
        <v>0</v>
      </c>
    </row>
    <row r="79" spans="2:4" ht="12.75">
      <c r="B79" s="7"/>
      <c r="C79" s="7"/>
      <c r="D79" s="7"/>
    </row>
    <row r="80" spans="1:4" ht="12.75">
      <c r="A80" s="2" t="s">
        <v>16</v>
      </c>
      <c r="B80" s="8">
        <f>SUM(B77:B79)</f>
        <v>0</v>
      </c>
      <c r="C80" s="8">
        <f>SUM(C77:C79)</f>
        <v>0</v>
      </c>
      <c r="D80" s="8">
        <f>SUM(D77:D79)</f>
        <v>0</v>
      </c>
    </row>
    <row r="81" spans="2:4" ht="12.75">
      <c r="B81" s="7"/>
      <c r="C81" s="7"/>
      <c r="D81" s="7"/>
    </row>
    <row r="82" spans="1:4" ht="12.75">
      <c r="A82" s="3">
        <v>46054</v>
      </c>
      <c r="B82" s="7">
        <v>0</v>
      </c>
      <c r="C82" s="7">
        <v>0</v>
      </c>
      <c r="D82" s="7">
        <f>SUM(B82:C82)</f>
        <v>0</v>
      </c>
    </row>
    <row r="83" spans="1:4" ht="12.75">
      <c r="A83" s="3">
        <v>46235</v>
      </c>
      <c r="B83" s="7">
        <v>0</v>
      </c>
      <c r="C83" s="7">
        <v>0</v>
      </c>
      <c r="D83" s="7">
        <f>SUM(B83:C83)</f>
        <v>0</v>
      </c>
    </row>
    <row r="84" spans="2:4" ht="12.75">
      <c r="B84" s="7"/>
      <c r="C84" s="7"/>
      <c r="D84" s="7"/>
    </row>
    <row r="85" spans="1:4" ht="12.75">
      <c r="A85" s="2" t="s">
        <v>17</v>
      </c>
      <c r="B85" s="8">
        <f>SUM(B82:B84)</f>
        <v>0</v>
      </c>
      <c r="C85" s="8">
        <f>SUM(C82:C84)</f>
        <v>0</v>
      </c>
      <c r="D85" s="8">
        <f>SUM(D82:D84)</f>
        <v>0</v>
      </c>
    </row>
    <row r="86" spans="2:4" ht="12.75">
      <c r="B86" s="7"/>
      <c r="C86" s="7"/>
      <c r="D86" s="7"/>
    </row>
    <row r="87" spans="1:4" ht="12.75">
      <c r="A87" s="3">
        <v>46419</v>
      </c>
      <c r="B87" s="7">
        <v>0</v>
      </c>
      <c r="C87" s="7">
        <v>0</v>
      </c>
      <c r="D87" s="7">
        <f>SUM(B87:C87)</f>
        <v>0</v>
      </c>
    </row>
    <row r="88" spans="1:4" ht="12.75">
      <c r="A88" s="3">
        <v>46600</v>
      </c>
      <c r="B88" s="7">
        <v>0</v>
      </c>
      <c r="C88" s="7">
        <v>0</v>
      </c>
      <c r="D88" s="7">
        <f>SUM(B88:C88)</f>
        <v>0</v>
      </c>
    </row>
    <row r="89" spans="2:4" ht="12.75">
      <c r="B89" s="7"/>
      <c r="C89" s="7"/>
      <c r="D89" s="7"/>
    </row>
    <row r="90" spans="1:4" ht="12.75">
      <c r="A90" s="2" t="s">
        <v>18</v>
      </c>
      <c r="B90" s="8">
        <f>SUM(B87:B89)</f>
        <v>0</v>
      </c>
      <c r="C90" s="8">
        <f>SUM(C87:C89)</f>
        <v>0</v>
      </c>
      <c r="D90" s="8">
        <f>SUM(D87:D89)</f>
        <v>0</v>
      </c>
    </row>
    <row r="91" spans="1:4" ht="12.75">
      <c r="A91" s="2"/>
      <c r="B91" s="8"/>
      <c r="C91" s="8"/>
      <c r="D91" s="8"/>
    </row>
    <row r="92" spans="1:4" ht="12.75">
      <c r="A92" s="3">
        <v>46784</v>
      </c>
      <c r="B92" s="7">
        <v>0</v>
      </c>
      <c r="C92" s="7">
        <v>0</v>
      </c>
      <c r="D92" s="7">
        <f>SUM(B92:C92)</f>
        <v>0</v>
      </c>
    </row>
    <row r="93" spans="1:4" ht="12.75">
      <c r="A93" s="3">
        <v>46966</v>
      </c>
      <c r="B93" s="7">
        <v>0</v>
      </c>
      <c r="C93" s="7">
        <v>0</v>
      </c>
      <c r="D93" s="7">
        <f>SUM(B93:C93)</f>
        <v>0</v>
      </c>
    </row>
    <row r="94" spans="2:4" ht="12.75">
      <c r="B94" s="7"/>
      <c r="C94" s="7"/>
      <c r="D94" s="7"/>
    </row>
    <row r="95" spans="1:4" ht="12.75">
      <c r="A95" s="2" t="s">
        <v>19</v>
      </c>
      <c r="B95" s="8">
        <f>SUM(B92:B94)</f>
        <v>0</v>
      </c>
      <c r="C95" s="8">
        <f>SUM(C92:C94)</f>
        <v>0</v>
      </c>
      <c r="D95" s="8">
        <f>SUM(D92:D94)</f>
        <v>0</v>
      </c>
    </row>
    <row r="96" spans="1:4" ht="12.75">
      <c r="A96" s="2"/>
      <c r="B96" s="8"/>
      <c r="C96" s="8"/>
      <c r="D96" s="8"/>
    </row>
    <row r="97" spans="1:4" ht="12.75">
      <c r="A97" s="3">
        <v>47150</v>
      </c>
      <c r="B97" s="7">
        <v>0</v>
      </c>
      <c r="C97" s="7">
        <v>0</v>
      </c>
      <c r="D97" s="7">
        <f>SUM(B97:C97)</f>
        <v>0</v>
      </c>
    </row>
    <row r="98" spans="1:4" ht="12.75">
      <c r="A98" s="3">
        <v>47331</v>
      </c>
      <c r="B98" s="7">
        <v>0</v>
      </c>
      <c r="C98" s="7">
        <v>0</v>
      </c>
      <c r="D98" s="7">
        <f>SUM(B98:C98)</f>
        <v>0</v>
      </c>
    </row>
    <row r="99" spans="2:4" ht="12.75">
      <c r="B99" s="7"/>
      <c r="C99" s="7"/>
      <c r="D99" s="7"/>
    </row>
    <row r="100" spans="1:4" ht="12.75">
      <c r="A100" s="2" t="s">
        <v>21</v>
      </c>
      <c r="B100" s="8">
        <f>SUM(B97:B99)</f>
        <v>0</v>
      </c>
      <c r="C100" s="8">
        <f>SUM(C97:C99)</f>
        <v>0</v>
      </c>
      <c r="D100" s="8">
        <f>SUM(D97:D99)</f>
        <v>0</v>
      </c>
    </row>
    <row r="101" spans="1:4" ht="12.75">
      <c r="A101" s="2"/>
      <c r="B101" s="8"/>
      <c r="C101" s="8"/>
      <c r="D101" s="8"/>
    </row>
    <row r="102" spans="1:4" ht="12.75">
      <c r="A102" s="2"/>
      <c r="B102" s="8"/>
      <c r="C102" s="8"/>
      <c r="D102" s="8"/>
    </row>
    <row r="103" spans="1:4" ht="12.75">
      <c r="A103" s="2"/>
      <c r="B103" s="8"/>
      <c r="C103" s="8"/>
      <c r="D103" s="8"/>
    </row>
    <row r="104" spans="1:4" ht="12.75">
      <c r="A104" s="2"/>
      <c r="B104" s="8"/>
      <c r="C104" s="8"/>
      <c r="D104" s="8"/>
    </row>
    <row r="105" spans="1:4" ht="12.75">
      <c r="A105" s="10" t="str">
        <f>A1</f>
        <v>Series 2003B Defeased 2013</v>
      </c>
      <c r="B105" s="10"/>
      <c r="C105" s="10"/>
      <c r="D105" s="10"/>
    </row>
    <row r="107" spans="1:4" ht="12.75">
      <c r="A107" s="2" t="s">
        <v>0</v>
      </c>
      <c r="B107" s="5" t="s">
        <v>1</v>
      </c>
      <c r="C107" s="5" t="s">
        <v>3</v>
      </c>
      <c r="D107" s="5" t="s">
        <v>4</v>
      </c>
    </row>
    <row r="108" spans="1:4" ht="12.75">
      <c r="A108" s="2"/>
      <c r="B108" s="8"/>
      <c r="C108" s="8"/>
      <c r="D108" s="8"/>
    </row>
    <row r="109" spans="1:4" ht="12.75">
      <c r="A109" s="3">
        <v>47515</v>
      </c>
      <c r="B109" s="7">
        <v>0</v>
      </c>
      <c r="C109" s="7">
        <v>0</v>
      </c>
      <c r="D109" s="7">
        <f>SUM(B109:C109)</f>
        <v>0</v>
      </c>
    </row>
    <row r="110" spans="1:4" ht="12.75">
      <c r="A110" s="3">
        <v>47696</v>
      </c>
      <c r="B110" s="7">
        <v>0</v>
      </c>
      <c r="C110" s="7">
        <v>0</v>
      </c>
      <c r="D110" s="7">
        <f>SUM(B110:C110)</f>
        <v>0</v>
      </c>
    </row>
    <row r="111" spans="2:4" ht="12.75">
      <c r="B111" s="7"/>
      <c r="C111" s="7"/>
      <c r="D111" s="7"/>
    </row>
    <row r="112" spans="1:4" ht="12.75">
      <c r="A112" s="2" t="s">
        <v>22</v>
      </c>
      <c r="B112" s="8">
        <f>SUM(B109:B111)</f>
        <v>0</v>
      </c>
      <c r="C112" s="8">
        <f>SUM(C109:C111)</f>
        <v>0</v>
      </c>
      <c r="D112" s="8">
        <f>SUM(D109:D111)</f>
        <v>0</v>
      </c>
    </row>
    <row r="113" spans="1:4" ht="12.75">
      <c r="A113" s="2"/>
      <c r="B113" s="8"/>
      <c r="C113" s="8"/>
      <c r="D113" s="8"/>
    </row>
    <row r="114" spans="1:4" ht="12.75">
      <c r="A114" s="3">
        <v>47880</v>
      </c>
      <c r="B114" s="7">
        <v>0</v>
      </c>
      <c r="C114" s="7">
        <v>0</v>
      </c>
      <c r="D114" s="7">
        <f>SUM(B114:C114)</f>
        <v>0</v>
      </c>
    </row>
    <row r="115" spans="1:4" ht="12.75">
      <c r="A115" s="3">
        <v>48061</v>
      </c>
      <c r="B115" s="7">
        <v>0</v>
      </c>
      <c r="C115" s="7">
        <v>0</v>
      </c>
      <c r="D115" s="7">
        <f>SUM(B115:C115)</f>
        <v>0</v>
      </c>
    </row>
    <row r="116" spans="2:4" ht="12.75">
      <c r="B116" s="7"/>
      <c r="C116" s="7"/>
      <c r="D116" s="7"/>
    </row>
    <row r="117" spans="1:4" ht="12.75">
      <c r="A117" s="2" t="s">
        <v>23</v>
      </c>
      <c r="B117" s="8">
        <f>SUM(B114:B116)</f>
        <v>0</v>
      </c>
      <c r="C117" s="8">
        <f>SUM(C114:C116)</f>
        <v>0</v>
      </c>
      <c r="D117" s="8">
        <f>SUM(D114:D116)</f>
        <v>0</v>
      </c>
    </row>
    <row r="118" spans="1:4" ht="12.75">
      <c r="A118" s="2"/>
      <c r="B118" s="8"/>
      <c r="C118" s="8"/>
      <c r="D118" s="8"/>
    </row>
    <row r="119" spans="1:4" ht="12.75">
      <c r="A119" s="3">
        <v>48245</v>
      </c>
      <c r="B119" s="7">
        <v>0</v>
      </c>
      <c r="C119" s="7">
        <v>0</v>
      </c>
      <c r="D119" s="7">
        <f>SUM(B119:C119)</f>
        <v>0</v>
      </c>
    </row>
    <row r="120" spans="1:4" ht="12.75">
      <c r="A120" s="3">
        <v>48427</v>
      </c>
      <c r="B120" s="7">
        <v>0</v>
      </c>
      <c r="C120" s="7">
        <v>0</v>
      </c>
      <c r="D120" s="7">
        <f>SUM(B120:C120)</f>
        <v>0</v>
      </c>
    </row>
    <row r="121" spans="2:4" ht="12.75">
      <c r="B121" s="7"/>
      <c r="C121" s="7"/>
      <c r="D121" s="7"/>
    </row>
    <row r="122" spans="1:4" ht="12.75">
      <c r="A122" s="2" t="s">
        <v>23</v>
      </c>
      <c r="B122" s="8">
        <f>SUM(B119:B121)</f>
        <v>0</v>
      </c>
      <c r="C122" s="8">
        <f>SUM(C119:C121)</f>
        <v>0</v>
      </c>
      <c r="D122" s="8">
        <f>SUM(D119:D121)</f>
        <v>0</v>
      </c>
    </row>
    <row r="123" spans="1:4" ht="12.75">
      <c r="A123" s="2"/>
      <c r="B123" s="8"/>
      <c r="C123" s="8"/>
      <c r="D123" s="8"/>
    </row>
    <row r="124" spans="1:4" ht="12.75">
      <c r="A124" s="2"/>
      <c r="B124" s="8"/>
      <c r="C124" s="8"/>
      <c r="D124" s="8"/>
    </row>
    <row r="125" spans="1:4" ht="12.75">
      <c r="A125" s="2" t="s">
        <v>27</v>
      </c>
      <c r="B125" s="8">
        <f>SUMIF(A1:A122,"Total*",B1:B122)</f>
        <v>0</v>
      </c>
      <c r="C125" s="8">
        <f>SUMIF(A1:A122,"Total*",C1:C122)</f>
        <v>0</v>
      </c>
      <c r="D125" s="8">
        <f>B125+C125</f>
        <v>0</v>
      </c>
    </row>
  </sheetData>
  <sheetProtection/>
  <mergeCells count="3">
    <mergeCell ref="A1:D1"/>
    <mergeCell ref="A53:D53"/>
    <mergeCell ref="A105:D105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jbragg</dc:creator>
  <cp:keywords/>
  <dc:description/>
  <cp:lastModifiedBy>Jack Bragg</cp:lastModifiedBy>
  <cp:lastPrinted>2015-09-13T13:01:16Z</cp:lastPrinted>
  <dcterms:created xsi:type="dcterms:W3CDTF">2012-03-05T18:40:11Z</dcterms:created>
  <dcterms:modified xsi:type="dcterms:W3CDTF">2015-09-13T13:03:33Z</dcterms:modified>
  <cp:category/>
  <cp:version/>
  <cp:contentType/>
  <cp:contentStatus/>
</cp:coreProperties>
</file>